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omnetpp\samples\Exocoetidae\Project Wing\Model\"/>
    </mc:Choice>
  </mc:AlternateContent>
  <xr:revisionPtr revIDLastSave="0" documentId="13_ncr:1_{A36A742B-9572-4EB5-A487-6CB19D7961A2}" xr6:coauthVersionLast="37" xr6:coauthVersionMax="37" xr10:uidLastSave="{00000000-0000-0000-0000-000000000000}"/>
  <bookViews>
    <workbookView xWindow="0" yWindow="0" windowWidth="8775" windowHeight="8505" activeTab="2" xr2:uid="{00000000-000D-0000-FFFF-FFFF00000000}"/>
  </bookViews>
  <sheets>
    <sheet name="TABLE" sheetId="1" r:id="rId1"/>
    <sheet name="DATA" sheetId="2" r:id="rId2"/>
    <sheet name="TOPOLOGY" sheetId="6"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4" i="6" l="1"/>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P81" i="6"/>
  <c r="P82" i="6" s="1"/>
  <c r="P83" i="6" s="1"/>
  <c r="P84" i="6" s="1"/>
  <c r="H81" i="6"/>
  <c r="H82" i="6" s="1"/>
  <c r="H83" i="6" s="1"/>
  <c r="H84" i="6" s="1"/>
  <c r="P74" i="6"/>
  <c r="O74" i="6"/>
  <c r="O93" i="6" s="1"/>
  <c r="O94" i="6" s="1"/>
  <c r="O95" i="6" s="1"/>
  <c r="O96" i="6" s="1"/>
  <c r="O97" i="6" s="1"/>
  <c r="O98" i="6" s="1"/>
  <c r="O99" i="6" s="1"/>
  <c r="O100" i="6" s="1"/>
  <c r="O101" i="6" s="1"/>
  <c r="O102" i="6" s="1"/>
  <c r="N74" i="6"/>
  <c r="M74" i="6"/>
  <c r="L74" i="6"/>
  <c r="K74" i="6"/>
  <c r="K93" i="6" s="1"/>
  <c r="K94" i="6" s="1"/>
  <c r="K95" i="6" s="1"/>
  <c r="K96" i="6" s="1"/>
  <c r="K97" i="6" s="1"/>
  <c r="K98" i="6" s="1"/>
  <c r="K99" i="6" s="1"/>
  <c r="K100" i="6" s="1"/>
  <c r="K101" i="6" s="1"/>
  <c r="K102" i="6" s="1"/>
  <c r="J74" i="6"/>
  <c r="I74" i="6"/>
  <c r="H74" i="6"/>
  <c r="G74" i="6"/>
  <c r="G93" i="6" s="1"/>
  <c r="G94" i="6" s="1"/>
  <c r="G95" i="6" s="1"/>
  <c r="G96" i="6" s="1"/>
  <c r="G97" i="6" s="1"/>
  <c r="G98" i="6" s="1"/>
  <c r="G99" i="6" s="1"/>
  <c r="G100" i="6" s="1"/>
  <c r="G101" i="6" s="1"/>
  <c r="G102" i="6" s="1"/>
  <c r="F74" i="6"/>
  <c r="E74" i="6"/>
  <c r="P70" i="6"/>
  <c r="P80" i="6" s="1"/>
  <c r="O70" i="6"/>
  <c r="N70" i="6"/>
  <c r="M70" i="6"/>
  <c r="L70" i="6"/>
  <c r="L80" i="6" s="1"/>
  <c r="L81" i="6" s="1"/>
  <c r="L82" i="6" s="1"/>
  <c r="L83" i="6" s="1"/>
  <c r="L84" i="6" s="1"/>
  <c r="K70" i="6"/>
  <c r="J70" i="6"/>
  <c r="I70" i="6"/>
  <c r="H70" i="6"/>
  <c r="H80" i="6" s="1"/>
  <c r="G70" i="6"/>
  <c r="F70" i="6"/>
  <c r="E70" i="6"/>
  <c r="D70" i="6"/>
  <c r="P56" i="6"/>
  <c r="O56" i="6"/>
  <c r="N56" i="6"/>
  <c r="M56" i="6"/>
  <c r="L56" i="6"/>
  <c r="K56" i="6"/>
  <c r="J56" i="6"/>
  <c r="I56" i="6"/>
  <c r="H56" i="6"/>
  <c r="G56" i="6"/>
  <c r="F56" i="6"/>
  <c r="E56" i="6"/>
  <c r="D56" i="6"/>
  <c r="P51" i="6"/>
  <c r="O51" i="6"/>
  <c r="N51" i="6"/>
  <c r="M51" i="6"/>
  <c r="L51" i="6"/>
  <c r="K51" i="6"/>
  <c r="J51" i="6"/>
  <c r="I51" i="6"/>
  <c r="H51" i="6"/>
  <c r="G51" i="6"/>
  <c r="F51" i="6"/>
  <c r="E51" i="6"/>
  <c r="D51" i="6"/>
  <c r="O42" i="6"/>
  <c r="G42" i="6"/>
  <c r="O41" i="6"/>
  <c r="L41" i="6"/>
  <c r="G41" i="6"/>
  <c r="O40" i="6"/>
  <c r="K40" i="6"/>
  <c r="J40" i="6"/>
  <c r="G40" i="6"/>
  <c r="P39" i="6"/>
  <c r="O39" i="6"/>
  <c r="L39" i="6"/>
  <c r="K39" i="6"/>
  <c r="H39" i="6"/>
  <c r="G39" i="6"/>
  <c r="D39" i="6"/>
  <c r="P38" i="6"/>
  <c r="L38" i="6"/>
  <c r="H38" i="6"/>
  <c r="D38" i="6"/>
  <c r="P31" i="6"/>
  <c r="L31" i="6"/>
  <c r="K31" i="6"/>
  <c r="H31" i="6"/>
  <c r="D31" i="6"/>
  <c r="P30" i="6"/>
  <c r="M30" i="6"/>
  <c r="L30" i="6"/>
  <c r="I30" i="6"/>
  <c r="H30" i="6"/>
  <c r="E30" i="6"/>
  <c r="D30" i="6"/>
  <c r="M29" i="6"/>
  <c r="I29" i="6"/>
  <c r="E29" i="6"/>
  <c r="P27" i="6"/>
  <c r="O27" i="6"/>
  <c r="L27" i="6"/>
  <c r="H27" i="6"/>
  <c r="G27" i="6"/>
  <c r="D27" i="6"/>
  <c r="P26" i="6"/>
  <c r="M26" i="6"/>
  <c r="L26" i="6"/>
  <c r="I26" i="6"/>
  <c r="H26" i="6"/>
  <c r="E26" i="6"/>
  <c r="D26" i="6"/>
  <c r="P16" i="6"/>
  <c r="P41" i="6" s="1"/>
  <c r="O16" i="6"/>
  <c r="O66" i="6" s="1"/>
  <c r="N16" i="6"/>
  <c r="M16" i="6"/>
  <c r="M37" i="6" s="1"/>
  <c r="L16" i="6"/>
  <c r="L40" i="6" s="1"/>
  <c r="K16" i="6"/>
  <c r="K66" i="6" s="1"/>
  <c r="J16" i="6"/>
  <c r="I16" i="6"/>
  <c r="H16" i="6"/>
  <c r="H41" i="6" s="1"/>
  <c r="G16" i="6"/>
  <c r="G66" i="6" s="1"/>
  <c r="F16" i="6"/>
  <c r="E16" i="6"/>
  <c r="E37" i="6" s="1"/>
  <c r="D16" i="6"/>
  <c r="D40" i="6" s="1"/>
  <c r="P15" i="6"/>
  <c r="P62" i="6" s="1"/>
  <c r="O15" i="6"/>
  <c r="N15" i="6"/>
  <c r="N28" i="6" s="1"/>
  <c r="M15" i="6"/>
  <c r="M31" i="6" s="1"/>
  <c r="L15" i="6"/>
  <c r="L62" i="6" s="1"/>
  <c r="K15" i="6"/>
  <c r="J15" i="6"/>
  <c r="I15" i="6"/>
  <c r="I31" i="6" s="1"/>
  <c r="H15" i="6"/>
  <c r="H62" i="6" s="1"/>
  <c r="F28" i="6"/>
  <c r="E31" i="6"/>
  <c r="D62" i="6"/>
  <c r="D80" i="6" l="1"/>
  <c r="D81" i="6" s="1"/>
  <c r="D82" i="6" s="1"/>
  <c r="D83" i="6" s="1"/>
  <c r="D84" i="6" s="1"/>
  <c r="J62" i="6"/>
  <c r="J80" i="6" s="1"/>
  <c r="J81" i="6" s="1"/>
  <c r="J82" i="6" s="1"/>
  <c r="J83" i="6" s="1"/>
  <c r="J84" i="6" s="1"/>
  <c r="J31" i="6"/>
  <c r="J27" i="6"/>
  <c r="J30" i="6"/>
  <c r="J26" i="6"/>
  <c r="I42" i="6"/>
  <c r="I41" i="6"/>
  <c r="I40" i="6"/>
  <c r="I39" i="6"/>
  <c r="G30" i="6"/>
  <c r="G26" i="6"/>
  <c r="G62" i="6"/>
  <c r="G29" i="6"/>
  <c r="K62" i="6"/>
  <c r="K30" i="6"/>
  <c r="K26" i="6"/>
  <c r="K29" i="6"/>
  <c r="O30" i="6"/>
  <c r="O26" i="6"/>
  <c r="O62" i="6"/>
  <c r="O29" i="6"/>
  <c r="F41" i="6"/>
  <c r="F66" i="6"/>
  <c r="F93" i="6" s="1"/>
  <c r="F94" i="6" s="1"/>
  <c r="F95" i="6" s="1"/>
  <c r="F96" i="6" s="1"/>
  <c r="F97" i="6" s="1"/>
  <c r="F98" i="6" s="1"/>
  <c r="F99" i="6" s="1"/>
  <c r="F100" i="6" s="1"/>
  <c r="F101" i="6" s="1"/>
  <c r="F102" i="6" s="1"/>
  <c r="F42" i="6"/>
  <c r="F39" i="6"/>
  <c r="F38" i="6"/>
  <c r="J41" i="6"/>
  <c r="J39" i="6"/>
  <c r="J66" i="6"/>
  <c r="J93" i="6" s="1"/>
  <c r="J94" i="6" s="1"/>
  <c r="J95" i="6" s="1"/>
  <c r="J96" i="6" s="1"/>
  <c r="J97" i="6" s="1"/>
  <c r="J98" i="6" s="1"/>
  <c r="J99" i="6" s="1"/>
  <c r="J100" i="6" s="1"/>
  <c r="J101" i="6" s="1"/>
  <c r="J102" i="6" s="1"/>
  <c r="J38" i="6"/>
  <c r="N41" i="6"/>
  <c r="N66" i="6"/>
  <c r="N93" i="6" s="1"/>
  <c r="N94" i="6" s="1"/>
  <c r="N95" i="6" s="1"/>
  <c r="N96" i="6" s="1"/>
  <c r="N97" i="6" s="1"/>
  <c r="N98" i="6" s="1"/>
  <c r="N99" i="6" s="1"/>
  <c r="N100" i="6" s="1"/>
  <c r="N101" i="6" s="1"/>
  <c r="N102" i="6" s="1"/>
  <c r="N42" i="6"/>
  <c r="N39" i="6"/>
  <c r="N38" i="6"/>
  <c r="K28" i="6"/>
  <c r="F29" i="6"/>
  <c r="N29" i="6"/>
  <c r="J37" i="6"/>
  <c r="E38" i="6"/>
  <c r="E43" i="6" s="1"/>
  <c r="E92" i="6" s="1"/>
  <c r="M38" i="6"/>
  <c r="J42" i="6"/>
  <c r="N62" i="6"/>
  <c r="N80" i="6" s="1"/>
  <c r="N81" i="6" s="1"/>
  <c r="N82" i="6" s="1"/>
  <c r="N83" i="6" s="1"/>
  <c r="N84" i="6" s="1"/>
  <c r="H32" i="6"/>
  <c r="H79" i="6" s="1"/>
  <c r="K27" i="6"/>
  <c r="G31" i="6"/>
  <c r="O31" i="6"/>
  <c r="F40" i="6"/>
  <c r="N40" i="6"/>
  <c r="I66" i="6"/>
  <c r="I93" i="6" s="1"/>
  <c r="I94" i="6" s="1"/>
  <c r="I95" i="6" s="1"/>
  <c r="I96" i="6" s="1"/>
  <c r="I97" i="6" s="1"/>
  <c r="I98" i="6" s="1"/>
  <c r="I99" i="6" s="1"/>
  <c r="I100" i="6" s="1"/>
  <c r="I101" i="6" s="1"/>
  <c r="I102" i="6" s="1"/>
  <c r="F31" i="6"/>
  <c r="F27" i="6"/>
  <c r="F30" i="6"/>
  <c r="F26" i="6"/>
  <c r="N31" i="6"/>
  <c r="N27" i="6"/>
  <c r="N30" i="6"/>
  <c r="N26" i="6"/>
  <c r="M42" i="6"/>
  <c r="M41" i="6"/>
  <c r="M66" i="6"/>
  <c r="M93" i="6" s="1"/>
  <c r="M94" i="6" s="1"/>
  <c r="M95" i="6" s="1"/>
  <c r="M96" i="6" s="1"/>
  <c r="M97" i="6" s="1"/>
  <c r="M98" i="6" s="1"/>
  <c r="M99" i="6" s="1"/>
  <c r="M100" i="6" s="1"/>
  <c r="M101" i="6" s="1"/>
  <c r="M102" i="6" s="1"/>
  <c r="M40" i="6"/>
  <c r="M39" i="6"/>
  <c r="M43" i="6" s="1"/>
  <c r="M92" i="6" s="1"/>
  <c r="J28" i="6"/>
  <c r="I37" i="6"/>
  <c r="G28" i="6"/>
  <c r="O28" i="6"/>
  <c r="J29" i="6"/>
  <c r="F37" i="6"/>
  <c r="F43" i="6" s="1"/>
  <c r="F92" i="6" s="1"/>
  <c r="N37" i="6"/>
  <c r="N43" i="6" s="1"/>
  <c r="N92" i="6" s="1"/>
  <c r="I38" i="6"/>
  <c r="E42" i="6"/>
  <c r="E66" i="6"/>
  <c r="E93" i="6" s="1"/>
  <c r="E94" i="6" s="1"/>
  <c r="E95" i="6" s="1"/>
  <c r="E96" i="6" s="1"/>
  <c r="E97" i="6" s="1"/>
  <c r="E98" i="6" s="1"/>
  <c r="E99" i="6" s="1"/>
  <c r="E100" i="6" s="1"/>
  <c r="E101" i="6" s="1"/>
  <c r="E102" i="6" s="1"/>
  <c r="E40" i="6"/>
  <c r="E39" i="6"/>
  <c r="E41" i="6"/>
  <c r="F62" i="6"/>
  <c r="F80" i="6" s="1"/>
  <c r="F81" i="6" s="1"/>
  <c r="F82" i="6" s="1"/>
  <c r="F83" i="6" s="1"/>
  <c r="F84" i="6" s="1"/>
  <c r="E27" i="6"/>
  <c r="I27" i="6"/>
  <c r="I32" i="6" s="1"/>
  <c r="I79" i="6" s="1"/>
  <c r="M27" i="6"/>
  <c r="M32" i="6" s="1"/>
  <c r="M79" i="6" s="1"/>
  <c r="D28" i="6"/>
  <c r="H28" i="6"/>
  <c r="L28" i="6"/>
  <c r="L32" i="6" s="1"/>
  <c r="L79" i="6" s="1"/>
  <c r="P28" i="6"/>
  <c r="P32" i="6" s="1"/>
  <c r="P79" i="6" s="1"/>
  <c r="G37" i="6"/>
  <c r="K37" i="6"/>
  <c r="O37" i="6"/>
  <c r="H40" i="6"/>
  <c r="P40" i="6"/>
  <c r="K42" i="6"/>
  <c r="D93" i="6"/>
  <c r="D94" i="6" s="1"/>
  <c r="D95" i="6" s="1"/>
  <c r="D96" i="6" s="1"/>
  <c r="D97" i="6" s="1"/>
  <c r="D98" i="6" s="1"/>
  <c r="D99" i="6" s="1"/>
  <c r="D100" i="6" s="1"/>
  <c r="D101" i="6" s="1"/>
  <c r="D102" i="6" s="1"/>
  <c r="E62" i="6"/>
  <c r="E80" i="6" s="1"/>
  <c r="E81" i="6" s="1"/>
  <c r="E82" i="6" s="1"/>
  <c r="E83" i="6" s="1"/>
  <c r="E84" i="6" s="1"/>
  <c r="I62" i="6"/>
  <c r="I80" i="6" s="1"/>
  <c r="I81" i="6" s="1"/>
  <c r="I82" i="6" s="1"/>
  <c r="I83" i="6" s="1"/>
  <c r="I84" i="6" s="1"/>
  <c r="M62" i="6"/>
  <c r="M80" i="6" s="1"/>
  <c r="M81" i="6" s="1"/>
  <c r="M82" i="6" s="1"/>
  <c r="M83" i="6" s="1"/>
  <c r="M84" i="6" s="1"/>
  <c r="D66" i="6"/>
  <c r="D42" i="6"/>
  <c r="H66" i="6"/>
  <c r="H93" i="6" s="1"/>
  <c r="H94" i="6" s="1"/>
  <c r="H95" i="6" s="1"/>
  <c r="H96" i="6" s="1"/>
  <c r="H97" i="6" s="1"/>
  <c r="H98" i="6" s="1"/>
  <c r="H99" i="6" s="1"/>
  <c r="H100" i="6" s="1"/>
  <c r="H101" i="6" s="1"/>
  <c r="H102" i="6" s="1"/>
  <c r="H42" i="6"/>
  <c r="L66" i="6"/>
  <c r="L93" i="6" s="1"/>
  <c r="L94" i="6" s="1"/>
  <c r="L95" i="6" s="1"/>
  <c r="L96" i="6" s="1"/>
  <c r="L97" i="6" s="1"/>
  <c r="L98" i="6" s="1"/>
  <c r="L99" i="6" s="1"/>
  <c r="L100" i="6" s="1"/>
  <c r="L101" i="6" s="1"/>
  <c r="L102" i="6" s="1"/>
  <c r="L42" i="6"/>
  <c r="P66" i="6"/>
  <c r="P93" i="6" s="1"/>
  <c r="P94" i="6" s="1"/>
  <c r="P95" i="6" s="1"/>
  <c r="P96" i="6" s="1"/>
  <c r="P97" i="6" s="1"/>
  <c r="P98" i="6" s="1"/>
  <c r="P99" i="6" s="1"/>
  <c r="P100" i="6" s="1"/>
  <c r="P101" i="6" s="1"/>
  <c r="P102" i="6" s="1"/>
  <c r="P42" i="6"/>
  <c r="E28" i="6"/>
  <c r="I28" i="6"/>
  <c r="M28" i="6"/>
  <c r="D29" i="6"/>
  <c r="H29" i="6"/>
  <c r="L29" i="6"/>
  <c r="P29" i="6"/>
  <c r="D37" i="6"/>
  <c r="H37" i="6"/>
  <c r="L37" i="6"/>
  <c r="L43" i="6" s="1"/>
  <c r="L92" i="6" s="1"/>
  <c r="P37" i="6"/>
  <c r="P43" i="6" s="1"/>
  <c r="P92" i="6" s="1"/>
  <c r="G38" i="6"/>
  <c r="K38" i="6"/>
  <c r="O38" i="6"/>
  <c r="D41" i="6"/>
  <c r="K41" i="6"/>
  <c r="G80" i="6"/>
  <c r="G81" i="6" s="1"/>
  <c r="G82" i="6" s="1"/>
  <c r="G83" i="6" s="1"/>
  <c r="G84" i="6" s="1"/>
  <c r="K80" i="6"/>
  <c r="K81" i="6" s="1"/>
  <c r="K82" i="6" s="1"/>
  <c r="K83" i="6" s="1"/>
  <c r="K84" i="6" s="1"/>
  <c r="O80" i="6"/>
  <c r="O81" i="6" s="1"/>
  <c r="O82" i="6" s="1"/>
  <c r="O83" i="6" s="1"/>
  <c r="O84" i="6" s="1"/>
  <c r="E51" i="2"/>
  <c r="F51" i="2"/>
  <c r="G51" i="2"/>
  <c r="H51" i="2"/>
  <c r="I51" i="2"/>
  <c r="J51" i="2"/>
  <c r="K51" i="2"/>
  <c r="L51" i="2"/>
  <c r="M51" i="2"/>
  <c r="N51" i="2"/>
  <c r="O51" i="2"/>
  <c r="P51" i="2"/>
  <c r="D51" i="2"/>
  <c r="E56" i="2"/>
  <c r="F56" i="2"/>
  <c r="G56" i="2"/>
  <c r="H56" i="2"/>
  <c r="I56" i="2"/>
  <c r="J56" i="2"/>
  <c r="K56" i="2"/>
  <c r="L56" i="2"/>
  <c r="M56" i="2"/>
  <c r="N56" i="2"/>
  <c r="O56" i="2"/>
  <c r="P56" i="2"/>
  <c r="D56" i="2"/>
  <c r="E32" i="6" l="1"/>
  <c r="E79" i="6" s="1"/>
  <c r="D32" i="6"/>
  <c r="D79" i="6" s="1"/>
  <c r="P85" i="6"/>
  <c r="P86" i="6"/>
  <c r="L86" i="6"/>
  <c r="L85" i="6"/>
  <c r="M104" i="6"/>
  <c r="M103" i="6"/>
  <c r="E86" i="6"/>
  <c r="E85" i="6"/>
  <c r="M86" i="6"/>
  <c r="M85" i="6"/>
  <c r="E104" i="6"/>
  <c r="E103" i="6"/>
  <c r="I86" i="6"/>
  <c r="I85" i="6"/>
  <c r="D86" i="6"/>
  <c r="D85" i="6"/>
  <c r="K43" i="6"/>
  <c r="K92" i="6" s="1"/>
  <c r="I43" i="6"/>
  <c r="I92" i="6" s="1"/>
  <c r="K32" i="6"/>
  <c r="K79" i="6" s="1"/>
  <c r="J32" i="6"/>
  <c r="J79" i="6" s="1"/>
  <c r="L104" i="6"/>
  <c r="L103" i="6"/>
  <c r="O43" i="6"/>
  <c r="O92" i="6" s="1"/>
  <c r="F103" i="6"/>
  <c r="F104" i="6"/>
  <c r="N32" i="6"/>
  <c r="N79" i="6" s="1"/>
  <c r="F32" i="6"/>
  <c r="F79" i="6" s="1"/>
  <c r="J43" i="6"/>
  <c r="J92" i="6" s="1"/>
  <c r="H43" i="6"/>
  <c r="H92" i="6" s="1"/>
  <c r="D43" i="6"/>
  <c r="D92" i="6" s="1"/>
  <c r="G43" i="6"/>
  <c r="G92" i="6" s="1"/>
  <c r="O32" i="6"/>
  <c r="O79" i="6" s="1"/>
  <c r="G32" i="6"/>
  <c r="G79" i="6" s="1"/>
  <c r="P104" i="6"/>
  <c r="P103" i="6"/>
  <c r="N103" i="6"/>
  <c r="N104" i="6"/>
  <c r="H85" i="6"/>
  <c r="H86" i="6"/>
  <c r="E115" i="2"/>
  <c r="E116" i="2"/>
  <c r="E117" i="2"/>
  <c r="E118" i="2"/>
  <c r="E119" i="2"/>
  <c r="E120" i="2"/>
  <c r="E121" i="2"/>
  <c r="E122" i="2"/>
  <c r="E123" i="2"/>
  <c r="E124" i="2"/>
  <c r="E125" i="2"/>
  <c r="E126" i="2"/>
  <c r="E127" i="2"/>
  <c r="E128" i="2"/>
  <c r="E129" i="2"/>
  <c r="E130" i="2"/>
  <c r="E131" i="2"/>
  <c r="E132" i="2"/>
  <c r="E133" i="2"/>
  <c r="E134" i="2"/>
  <c r="E135" i="2"/>
  <c r="E136" i="2"/>
  <c r="E137" i="2"/>
  <c r="E138" i="2"/>
  <c r="E114" i="2"/>
  <c r="D115" i="2"/>
  <c r="D116" i="2"/>
  <c r="D117" i="2"/>
  <c r="D118" i="2"/>
  <c r="D119" i="2"/>
  <c r="D120" i="2"/>
  <c r="D121" i="2"/>
  <c r="D122" i="2"/>
  <c r="D123" i="2"/>
  <c r="D124" i="2"/>
  <c r="D125" i="2"/>
  <c r="D126" i="2"/>
  <c r="D127" i="2"/>
  <c r="D128" i="2"/>
  <c r="D129" i="2"/>
  <c r="D130" i="2"/>
  <c r="D131" i="2"/>
  <c r="D132" i="2"/>
  <c r="D133" i="2"/>
  <c r="D134" i="2"/>
  <c r="D135" i="2"/>
  <c r="D136" i="2"/>
  <c r="D137" i="2"/>
  <c r="D138" i="2"/>
  <c r="D114" i="2"/>
  <c r="O85" i="6" l="1"/>
  <c r="O86" i="6"/>
  <c r="J86" i="6"/>
  <c r="J85" i="6"/>
  <c r="G103" i="6"/>
  <c r="G104" i="6"/>
  <c r="F86" i="6"/>
  <c r="F85" i="6"/>
  <c r="O103" i="6"/>
  <c r="O104" i="6"/>
  <c r="K85" i="6"/>
  <c r="K86" i="6"/>
  <c r="G85" i="6"/>
  <c r="G86" i="6"/>
  <c r="H104" i="6"/>
  <c r="H103" i="6"/>
  <c r="J103" i="6"/>
  <c r="J104" i="6"/>
  <c r="D104" i="6"/>
  <c r="D103" i="6"/>
  <c r="N86" i="6"/>
  <c r="N85" i="6"/>
  <c r="I104" i="6"/>
  <c r="I103" i="6"/>
  <c r="K104" i="6"/>
  <c r="K103" i="6"/>
  <c r="E74" i="2"/>
  <c r="D74" i="2"/>
  <c r="D70" i="2"/>
  <c r="F74" i="2"/>
  <c r="G74" i="2"/>
  <c r="H74" i="2"/>
  <c r="I74" i="2"/>
  <c r="J74" i="2"/>
  <c r="K74" i="2"/>
  <c r="L74" i="2"/>
  <c r="M74" i="2"/>
  <c r="N74" i="2"/>
  <c r="O74" i="2"/>
  <c r="P74" i="2"/>
  <c r="E70" i="2"/>
  <c r="F70" i="2"/>
  <c r="G70" i="2"/>
  <c r="H70" i="2"/>
  <c r="I70" i="2"/>
  <c r="J70" i="2"/>
  <c r="K70" i="2"/>
  <c r="L70" i="2"/>
  <c r="M70" i="2"/>
  <c r="N70" i="2"/>
  <c r="O70" i="2"/>
  <c r="P70" i="2"/>
  <c r="E16" i="2" l="1"/>
  <c r="E66" i="2" s="1"/>
  <c r="E93" i="2" s="1"/>
  <c r="F16" i="2"/>
  <c r="F66" i="2" s="1"/>
  <c r="F93" i="2" s="1"/>
  <c r="G16" i="2"/>
  <c r="G66" i="2" s="1"/>
  <c r="G93" i="2" s="1"/>
  <c r="H16" i="2"/>
  <c r="H66" i="2" s="1"/>
  <c r="H93" i="2" s="1"/>
  <c r="I16" i="2"/>
  <c r="I66" i="2" s="1"/>
  <c r="I93" i="2" s="1"/>
  <c r="I94" i="2" s="1"/>
  <c r="I95" i="2" s="1"/>
  <c r="I96" i="2" s="1"/>
  <c r="I97" i="2" s="1"/>
  <c r="I98" i="2" s="1"/>
  <c r="I99" i="2" s="1"/>
  <c r="I100" i="2" s="1"/>
  <c r="I101" i="2" s="1"/>
  <c r="I102" i="2" s="1"/>
  <c r="J16" i="2"/>
  <c r="J66" i="2" s="1"/>
  <c r="J93" i="2" s="1"/>
  <c r="K16" i="2"/>
  <c r="K66" i="2" s="1"/>
  <c r="K93" i="2" s="1"/>
  <c r="L16" i="2"/>
  <c r="L66" i="2" s="1"/>
  <c r="L93" i="2" s="1"/>
  <c r="M16" i="2"/>
  <c r="M66" i="2" s="1"/>
  <c r="M93" i="2" s="1"/>
  <c r="M94" i="2" s="1"/>
  <c r="M95" i="2" s="1"/>
  <c r="M96" i="2" s="1"/>
  <c r="M97" i="2" s="1"/>
  <c r="M98" i="2" s="1"/>
  <c r="M99" i="2" s="1"/>
  <c r="M100" i="2" s="1"/>
  <c r="M101" i="2" s="1"/>
  <c r="M102" i="2" s="1"/>
  <c r="N16" i="2"/>
  <c r="N66" i="2" s="1"/>
  <c r="N93" i="2" s="1"/>
  <c r="O16" i="2"/>
  <c r="O66" i="2" s="1"/>
  <c r="O93" i="2" s="1"/>
  <c r="P16" i="2"/>
  <c r="P66" i="2" s="1"/>
  <c r="P93" i="2" s="1"/>
  <c r="D16" i="2"/>
  <c r="D66" i="2" s="1"/>
  <c r="D93" i="2" s="1"/>
  <c r="P15" i="2"/>
  <c r="P62" i="2" s="1"/>
  <c r="P80" i="2" s="1"/>
  <c r="E15" i="2"/>
  <c r="E62" i="2" s="1"/>
  <c r="E80" i="2" s="1"/>
  <c r="F15" i="2"/>
  <c r="F62" i="2" s="1"/>
  <c r="F80" i="2" s="1"/>
  <c r="G15" i="2"/>
  <c r="G62" i="2" s="1"/>
  <c r="G80" i="2" s="1"/>
  <c r="H15" i="2"/>
  <c r="H62" i="2" s="1"/>
  <c r="H80" i="2" s="1"/>
  <c r="I15" i="2"/>
  <c r="I62" i="2" s="1"/>
  <c r="I80" i="2" s="1"/>
  <c r="J15" i="2"/>
  <c r="J62" i="2" s="1"/>
  <c r="J80" i="2" s="1"/>
  <c r="K15" i="2"/>
  <c r="K62" i="2" s="1"/>
  <c r="K80" i="2" s="1"/>
  <c r="L15" i="2"/>
  <c r="L62" i="2" s="1"/>
  <c r="L80" i="2" s="1"/>
  <c r="M15" i="2"/>
  <c r="M62" i="2" s="1"/>
  <c r="M80" i="2" s="1"/>
  <c r="N15" i="2"/>
  <c r="N62" i="2" s="1"/>
  <c r="N80" i="2" s="1"/>
  <c r="O15" i="2"/>
  <c r="O62" i="2" s="1"/>
  <c r="O80" i="2" s="1"/>
  <c r="D15" i="2"/>
  <c r="D62" i="2" s="1"/>
  <c r="D80" i="2" s="1"/>
  <c r="D22" i="1"/>
  <c r="P34" i="1"/>
  <c r="O34" i="1"/>
  <c r="N34" i="1"/>
  <c r="M34" i="1"/>
  <c r="L34" i="1"/>
  <c r="K34" i="1"/>
  <c r="J34" i="1"/>
  <c r="I34" i="1"/>
  <c r="H34" i="1"/>
  <c r="G34" i="1"/>
  <c r="F34" i="1"/>
  <c r="E34" i="1"/>
  <c r="D34" i="1"/>
  <c r="P33" i="1"/>
  <c r="O33" i="1"/>
  <c r="N33" i="1"/>
  <c r="M33" i="1"/>
  <c r="L33" i="1"/>
  <c r="K33" i="1"/>
  <c r="J33" i="1"/>
  <c r="I33" i="1"/>
  <c r="H33" i="1"/>
  <c r="G33" i="1"/>
  <c r="F33" i="1"/>
  <c r="E33" i="1"/>
  <c r="D33" i="1"/>
  <c r="F3" i="1"/>
  <c r="F2" i="1"/>
  <c r="N94" i="2" l="1"/>
  <c r="N95" i="2" s="1"/>
  <c r="N96" i="2" s="1"/>
  <c r="N97" i="2" s="1"/>
  <c r="N98" i="2" s="1"/>
  <c r="N99" i="2" s="1"/>
  <c r="N100" i="2" s="1"/>
  <c r="N101" i="2" s="1"/>
  <c r="N102" i="2" s="1"/>
  <c r="P81" i="2"/>
  <c r="P82" i="2" s="1"/>
  <c r="P83" i="2" s="1"/>
  <c r="P84" i="2" s="1"/>
  <c r="O81" i="2"/>
  <c r="O82" i="2" s="1"/>
  <c r="O83" i="2" s="1"/>
  <c r="O84" i="2" s="1"/>
  <c r="N81" i="2"/>
  <c r="N82" i="2" s="1"/>
  <c r="N83" i="2" s="1"/>
  <c r="N84" i="2" s="1"/>
  <c r="J81" i="2"/>
  <c r="J82" i="2" s="1"/>
  <c r="J83" i="2" s="1"/>
  <c r="J84" i="2" s="1"/>
  <c r="F81" i="2"/>
  <c r="F82" i="2" s="1"/>
  <c r="F83" i="2" s="1"/>
  <c r="F84" i="2" s="1"/>
  <c r="M81" i="2"/>
  <c r="M82" i="2" s="1"/>
  <c r="M83" i="2" s="1"/>
  <c r="M84" i="2" s="1"/>
  <c r="E81" i="2"/>
  <c r="E82" i="2" s="1"/>
  <c r="E83" i="2" s="1"/>
  <c r="E84" i="2" s="1"/>
  <c r="I81" i="2"/>
  <c r="L81" i="2"/>
  <c r="H81" i="2"/>
  <c r="H82" i="2" s="1"/>
  <c r="H83" i="2" s="1"/>
  <c r="H84" i="2" s="1"/>
  <c r="G81" i="2"/>
  <c r="G82" i="2" s="1"/>
  <c r="G83" i="2" s="1"/>
  <c r="G84" i="2" s="1"/>
  <c r="K81" i="2"/>
  <c r="O94" i="2"/>
  <c r="O95" i="2" s="1"/>
  <c r="O96" i="2" s="1"/>
  <c r="O97" i="2" s="1"/>
  <c r="O98" i="2" s="1"/>
  <c r="O99" i="2" s="1"/>
  <c r="O100" i="2" s="1"/>
  <c r="O101" i="2" s="1"/>
  <c r="O102" i="2" s="1"/>
  <c r="K94" i="2"/>
  <c r="K95" i="2" s="1"/>
  <c r="K96" i="2" s="1"/>
  <c r="K97" i="2" s="1"/>
  <c r="K98" i="2" s="1"/>
  <c r="K99" i="2" s="1"/>
  <c r="K100" i="2" s="1"/>
  <c r="K101" i="2" s="1"/>
  <c r="K102" i="2" s="1"/>
  <c r="G94" i="2"/>
  <c r="G95" i="2" s="1"/>
  <c r="G96" i="2" s="1"/>
  <c r="G97" i="2" s="1"/>
  <c r="G98" i="2" s="1"/>
  <c r="G99" i="2" s="1"/>
  <c r="G100" i="2" s="1"/>
  <c r="G101" i="2" s="1"/>
  <c r="G102" i="2" s="1"/>
  <c r="J94" i="2"/>
  <c r="J95" i="2" s="1"/>
  <c r="J96" i="2" s="1"/>
  <c r="J97" i="2" s="1"/>
  <c r="J98" i="2" s="1"/>
  <c r="J99" i="2" s="1"/>
  <c r="J100" i="2" s="1"/>
  <c r="J101" i="2" s="1"/>
  <c r="J102" i="2" s="1"/>
  <c r="F94" i="2"/>
  <c r="F95" i="2" s="1"/>
  <c r="F96" i="2" s="1"/>
  <c r="F97" i="2" s="1"/>
  <c r="F98" i="2" s="1"/>
  <c r="F99" i="2" s="1"/>
  <c r="F100" i="2" s="1"/>
  <c r="F101" i="2" s="1"/>
  <c r="F102" i="2" s="1"/>
  <c r="E94" i="2"/>
  <c r="E95" i="2" s="1"/>
  <c r="E96" i="2" s="1"/>
  <c r="E97" i="2" s="1"/>
  <c r="E98" i="2" s="1"/>
  <c r="E99" i="2" s="1"/>
  <c r="E100" i="2" s="1"/>
  <c r="E101" i="2" s="1"/>
  <c r="E102" i="2" s="1"/>
  <c r="P94" i="2"/>
  <c r="P95" i="2" s="1"/>
  <c r="P96" i="2" s="1"/>
  <c r="P97" i="2" s="1"/>
  <c r="P98" i="2" s="1"/>
  <c r="P99" i="2" s="1"/>
  <c r="P100" i="2" s="1"/>
  <c r="P101" i="2" s="1"/>
  <c r="P102" i="2" s="1"/>
  <c r="L94" i="2"/>
  <c r="L95" i="2" s="1"/>
  <c r="L96" i="2" s="1"/>
  <c r="L97" i="2" s="1"/>
  <c r="L98" i="2" s="1"/>
  <c r="L99" i="2" s="1"/>
  <c r="L100" i="2" s="1"/>
  <c r="L101" i="2" s="1"/>
  <c r="L102" i="2" s="1"/>
  <c r="H94" i="2"/>
  <c r="H95" i="2" s="1"/>
  <c r="H96" i="2" s="1"/>
  <c r="H97" i="2" s="1"/>
  <c r="H98" i="2" s="1"/>
  <c r="H99" i="2" s="1"/>
  <c r="H100" i="2" s="1"/>
  <c r="H101" i="2" s="1"/>
  <c r="H102" i="2" s="1"/>
  <c r="D94" i="2"/>
  <c r="D95" i="2" s="1"/>
  <c r="D96" i="2" s="1"/>
  <c r="D97" i="2" s="1"/>
  <c r="D98" i="2" s="1"/>
  <c r="D99" i="2" s="1"/>
  <c r="D100" i="2" s="1"/>
  <c r="D101" i="2" s="1"/>
  <c r="D102" i="2" s="1"/>
  <c r="D81" i="2"/>
  <c r="D82" i="2" s="1"/>
  <c r="D83" i="2" s="1"/>
  <c r="D84" i="2" s="1"/>
  <c r="H42" i="2"/>
  <c r="H41" i="2"/>
  <c r="H40" i="2"/>
  <c r="H39" i="2"/>
  <c r="H38" i="2"/>
  <c r="H37" i="2"/>
  <c r="O26" i="2"/>
  <c r="O31" i="2"/>
  <c r="O30" i="2"/>
  <c r="O29" i="2"/>
  <c r="O28" i="2"/>
  <c r="O27" i="2"/>
  <c r="G26" i="2"/>
  <c r="G31" i="2"/>
  <c r="G30" i="2"/>
  <c r="G29" i="2"/>
  <c r="G28" i="2"/>
  <c r="G27" i="2"/>
  <c r="M42" i="2"/>
  <c r="M41" i="2"/>
  <c r="M40" i="2"/>
  <c r="M39" i="2"/>
  <c r="M38" i="2"/>
  <c r="M37" i="2"/>
  <c r="N31" i="2"/>
  <c r="N30" i="2"/>
  <c r="N29" i="2"/>
  <c r="N28" i="2"/>
  <c r="N27" i="2"/>
  <c r="N26" i="2"/>
  <c r="F31" i="2"/>
  <c r="F30" i="2"/>
  <c r="F29" i="2"/>
  <c r="F28" i="2"/>
  <c r="F27" i="2"/>
  <c r="F26" i="2"/>
  <c r="L42" i="2"/>
  <c r="L41" i="2"/>
  <c r="L40" i="2"/>
  <c r="L39" i="2"/>
  <c r="L38" i="2"/>
  <c r="L37" i="2"/>
  <c r="M31" i="2"/>
  <c r="M30" i="2"/>
  <c r="M29" i="2"/>
  <c r="M28" i="2"/>
  <c r="M27" i="2"/>
  <c r="M26" i="2"/>
  <c r="I31" i="2"/>
  <c r="I30" i="2"/>
  <c r="I29" i="2"/>
  <c r="I28" i="2"/>
  <c r="I27" i="2"/>
  <c r="I26" i="2"/>
  <c r="E31" i="2"/>
  <c r="E30" i="2"/>
  <c r="E29" i="2"/>
  <c r="E28" i="2"/>
  <c r="E27" i="2"/>
  <c r="E26" i="2"/>
  <c r="O42" i="2"/>
  <c r="O41" i="2"/>
  <c r="O40" i="2"/>
  <c r="O39" i="2"/>
  <c r="O38" i="2"/>
  <c r="O37" i="2"/>
  <c r="K42" i="2"/>
  <c r="K41" i="2"/>
  <c r="K40" i="2"/>
  <c r="K39" i="2"/>
  <c r="K38" i="2"/>
  <c r="K37" i="2"/>
  <c r="G42" i="2"/>
  <c r="G41" i="2"/>
  <c r="G40" i="2"/>
  <c r="G39" i="2"/>
  <c r="G38" i="2"/>
  <c r="G37" i="2"/>
  <c r="K31" i="2"/>
  <c r="K30" i="2"/>
  <c r="K29" i="2"/>
  <c r="K28" i="2"/>
  <c r="K27" i="2"/>
  <c r="K26" i="2"/>
  <c r="D40" i="2"/>
  <c r="D39" i="2"/>
  <c r="D37" i="2"/>
  <c r="D42" i="2"/>
  <c r="D38" i="2"/>
  <c r="D41" i="2"/>
  <c r="I42" i="2"/>
  <c r="I41" i="2"/>
  <c r="I40" i="2"/>
  <c r="I39" i="2"/>
  <c r="I38" i="2"/>
  <c r="I37" i="2"/>
  <c r="J31" i="2"/>
  <c r="J30" i="2"/>
  <c r="J29" i="2"/>
  <c r="J28" i="2"/>
  <c r="J27" i="2"/>
  <c r="J26" i="2"/>
  <c r="P42" i="2"/>
  <c r="P41" i="2"/>
  <c r="P40" i="2"/>
  <c r="P39" i="2"/>
  <c r="P38" i="2"/>
  <c r="P37" i="2"/>
  <c r="D26" i="2"/>
  <c r="D31" i="2"/>
  <c r="D27" i="2"/>
  <c r="D30" i="2"/>
  <c r="D29" i="2"/>
  <c r="D28" i="2"/>
  <c r="L31" i="2"/>
  <c r="L29" i="2"/>
  <c r="L30" i="2"/>
  <c r="L28" i="2"/>
  <c r="L27" i="2"/>
  <c r="L26" i="2"/>
  <c r="H26" i="2"/>
  <c r="H30" i="2"/>
  <c r="H28" i="2"/>
  <c r="H27" i="2"/>
  <c r="H31" i="2"/>
  <c r="H29" i="2"/>
  <c r="P30" i="2"/>
  <c r="P27" i="2"/>
  <c r="P26" i="2"/>
  <c r="P31" i="2"/>
  <c r="P29" i="2"/>
  <c r="P28" i="2"/>
  <c r="N42" i="2"/>
  <c r="N40" i="2"/>
  <c r="N38" i="2"/>
  <c r="N37" i="2"/>
  <c r="N41" i="2"/>
  <c r="N39" i="2"/>
  <c r="J41" i="2"/>
  <c r="J39" i="2"/>
  <c r="J42" i="2"/>
  <c r="J40" i="2"/>
  <c r="J38" i="2"/>
  <c r="J37" i="2"/>
  <c r="F42" i="2"/>
  <c r="F40" i="2"/>
  <c r="F38" i="2"/>
  <c r="F37" i="2"/>
  <c r="F41" i="2"/>
  <c r="F39" i="2"/>
  <c r="E42" i="2"/>
  <c r="E41" i="2"/>
  <c r="E40" i="2"/>
  <c r="E39" i="2"/>
  <c r="E38" i="2"/>
  <c r="E37" i="2"/>
  <c r="D32" i="2" l="1"/>
  <c r="D79" i="2" s="1"/>
  <c r="J103" i="2"/>
  <c r="H104" i="2"/>
  <c r="F85" i="2"/>
  <c r="F103" i="2"/>
  <c r="P104" i="2"/>
  <c r="D86" i="2"/>
  <c r="F86" i="2"/>
  <c r="L82" i="2"/>
  <c r="L83" i="2" s="1"/>
  <c r="L84" i="2" s="1"/>
  <c r="P86" i="2"/>
  <c r="P85" i="2"/>
  <c r="K82" i="2"/>
  <c r="I82" i="2"/>
  <c r="M86" i="2"/>
  <c r="O86" i="2"/>
  <c r="E86" i="2"/>
  <c r="M85" i="2"/>
  <c r="P103" i="2"/>
  <c r="D85" i="2"/>
  <c r="P32" i="2"/>
  <c r="P79" i="2" s="1"/>
  <c r="H32" i="2"/>
  <c r="H79" i="2" s="1"/>
  <c r="H85" i="2" s="1"/>
  <c r="G32" i="2"/>
  <c r="G79" i="2" s="1"/>
  <c r="G86" i="2" s="1"/>
  <c r="E43" i="2"/>
  <c r="E92" i="2" s="1"/>
  <c r="E103" i="2" s="1"/>
  <c r="F43" i="2"/>
  <c r="F92" i="2" s="1"/>
  <c r="F104" i="2" s="1"/>
  <c r="J43" i="2"/>
  <c r="J92" i="2" s="1"/>
  <c r="J104" i="2" s="1"/>
  <c r="N43" i="2"/>
  <c r="N92" i="2" s="1"/>
  <c r="L32" i="2"/>
  <c r="L79" i="2" s="1"/>
  <c r="P43" i="2"/>
  <c r="P92" i="2" s="1"/>
  <c r="I43" i="2"/>
  <c r="I92" i="2" s="1"/>
  <c r="K32" i="2"/>
  <c r="K79" i="2" s="1"/>
  <c r="K43" i="2"/>
  <c r="K92" i="2" s="1"/>
  <c r="K103" i="2" s="1"/>
  <c r="E32" i="2"/>
  <c r="E79" i="2" s="1"/>
  <c r="E85" i="2" s="1"/>
  <c r="M32" i="2"/>
  <c r="M79" i="2" s="1"/>
  <c r="F32" i="2"/>
  <c r="F79" i="2" s="1"/>
  <c r="M43" i="2"/>
  <c r="M92" i="2" s="1"/>
  <c r="D43" i="2"/>
  <c r="D92" i="2" s="1"/>
  <c r="D104" i="2" s="1"/>
  <c r="O32" i="2"/>
  <c r="O79" i="2" s="1"/>
  <c r="O85" i="2" s="1"/>
  <c r="J32" i="2"/>
  <c r="J79" i="2" s="1"/>
  <c r="J86" i="2" s="1"/>
  <c r="G43" i="2"/>
  <c r="G92" i="2" s="1"/>
  <c r="G103" i="2" s="1"/>
  <c r="O43" i="2"/>
  <c r="O92" i="2" s="1"/>
  <c r="O103" i="2" s="1"/>
  <c r="I32" i="2"/>
  <c r="I79" i="2" s="1"/>
  <c r="L43" i="2"/>
  <c r="L92" i="2" s="1"/>
  <c r="L103" i="2" s="1"/>
  <c r="N32" i="2"/>
  <c r="N79" i="2" s="1"/>
  <c r="N85" i="2" s="1"/>
  <c r="H43" i="2"/>
  <c r="H92" i="2" s="1"/>
  <c r="H103" i="2" s="1"/>
  <c r="M103" i="2" l="1"/>
  <c r="M104" i="2"/>
  <c r="N104" i="2"/>
  <c r="N103" i="2"/>
  <c r="K104" i="2"/>
  <c r="I104" i="2"/>
  <c r="I103" i="2"/>
  <c r="G104" i="2"/>
  <c r="E104" i="2"/>
  <c r="O104" i="2"/>
  <c r="D103" i="2"/>
  <c r="N86" i="2"/>
  <c r="L104" i="2"/>
  <c r="G85" i="2"/>
  <c r="J85" i="2"/>
  <c r="H86" i="2"/>
  <c r="L86" i="2"/>
  <c r="L85" i="2"/>
  <c r="I83" i="2"/>
  <c r="K83" i="2"/>
  <c r="K84" i="2" l="1"/>
  <c r="K85" i="2" s="1"/>
  <c r="K86" i="2"/>
  <c r="I84" i="2"/>
  <c r="I85" i="2" s="1"/>
  <c r="I86" i="2" l="1"/>
</calcChain>
</file>

<file path=xl/sharedStrings.xml><?xml version="1.0" encoding="utf-8"?>
<sst xmlns="http://schemas.openxmlformats.org/spreadsheetml/2006/main" count="897" uniqueCount="265">
  <si>
    <t>γ</t>
  </si>
  <si>
    <t>Nu</t>
  </si>
  <si>
    <t>α</t>
  </si>
  <si>
    <t>T</t>
  </si>
  <si>
    <t>Nc</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</si>
  <si>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</si>
  <si>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</si>
  <si>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</si>
  <si>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</si>
  <si>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</si>
  <si>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</si>
  <si>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</si>
  <si>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</si>
  <si>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</si>
  <si>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</si>
  <si>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</si>
  <si>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</si>
  <si>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</si>
  <si>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</si>
  <si>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</si>
  <si>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</si>
  <si>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</si>
  <si>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</si>
  <si>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1 092 507</t>
  </si>
  <si>
    <t>1 294 722</t>
  </si>
  <si>
    <t>679 336</t>
  </si>
  <si>
    <t>795 461</t>
  </si>
  <si>
    <t>1 271 628</t>
  </si>
  <si>
    <t>391 749</t>
  </si>
  <si>
    <t>14 464</t>
  </si>
  <si>
    <t>UAV - Based</t>
  </si>
  <si>
    <t>LC - Based</t>
  </si>
  <si>
    <t>Site Acquisition Costs</t>
  </si>
  <si>
    <r>
      <t>N</t>
    </r>
    <r>
      <rPr>
        <i/>
        <vertAlign val="subscript"/>
        <sz val="10"/>
        <color theme="1"/>
        <rFont val="Times New Roman"/>
        <family val="1"/>
      </rPr>
      <t>U</t>
    </r>
  </si>
  <si>
    <r>
      <t>C</t>
    </r>
    <r>
      <rPr>
        <i/>
        <vertAlign val="subscript"/>
        <sz val="10"/>
        <color theme="1"/>
        <rFont val="Times New Roman"/>
        <family val="1"/>
      </rPr>
      <t>E</t>
    </r>
  </si>
  <si>
    <r>
      <t>P</t>
    </r>
    <r>
      <rPr>
        <i/>
        <vertAlign val="subscript"/>
        <sz val="10"/>
        <color theme="1"/>
        <rFont val="Times New Roman"/>
        <family val="1"/>
      </rPr>
      <t>SP</t>
    </r>
  </si>
  <si>
    <r>
      <t>N</t>
    </r>
    <r>
      <rPr>
        <i/>
        <vertAlign val="subscript"/>
        <sz val="10"/>
        <color theme="1"/>
        <rFont val="Times New Roman"/>
        <family val="1"/>
      </rPr>
      <t>B</t>
    </r>
  </si>
  <si>
    <r>
      <t>N</t>
    </r>
    <r>
      <rPr>
        <i/>
        <vertAlign val="subscript"/>
        <sz val="10"/>
        <color theme="1"/>
        <rFont val="Times New Roman"/>
        <family val="1"/>
      </rPr>
      <t>C</t>
    </r>
  </si>
  <si>
    <r>
      <t>C</t>
    </r>
    <r>
      <rPr>
        <i/>
        <vertAlign val="subscript"/>
        <sz val="10"/>
        <color theme="1"/>
        <rFont val="Times New Roman"/>
        <family val="1"/>
      </rPr>
      <t>SA</t>
    </r>
  </si>
  <si>
    <t xml:space="preserve">6 400 </t>
  </si>
  <si>
    <t xml:space="preserve">10 000 </t>
  </si>
  <si>
    <t xml:space="preserve">2 200 </t>
  </si>
  <si>
    <t xml:space="preserve">- </t>
  </si>
  <si>
    <t xml:space="preserve">20 011 </t>
  </si>
  <si>
    <t xml:space="preserve">25 596 </t>
  </si>
  <si>
    <t xml:space="preserve">44 913 </t>
  </si>
  <si>
    <t xml:space="preserve">36 407 </t>
  </si>
  <si>
    <t xml:space="preserve">12 836 </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</si>
  <si>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</si>
  <si>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</si>
  <si>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</si>
  <si>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</si>
  <si>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</si>
  <si>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</si>
  <si>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</si>
  <si>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</si>
  <si>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</si>
  <si>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</si>
  <si>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</si>
  <si>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</si>
  <si>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</si>
  <si>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</si>
  <si>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</si>
  <si>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</si>
  <si>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</si>
  <si>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</si>
  <si>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</si>
  <si>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r>
      <t>P</t>
    </r>
    <r>
      <rPr>
        <i/>
        <vertAlign val="superscript"/>
        <sz val="10"/>
        <color theme="1"/>
        <rFont val="Times New Roman"/>
        <family val="1"/>
      </rPr>
      <t>MAX</t>
    </r>
  </si>
  <si>
    <r>
      <t>P</t>
    </r>
    <r>
      <rPr>
        <i/>
        <vertAlign val="superscript"/>
        <sz val="10"/>
        <color theme="1"/>
        <rFont val="Times New Roman"/>
        <family val="1"/>
      </rPr>
      <t>MIN</t>
    </r>
  </si>
  <si>
    <r>
      <t>C</t>
    </r>
    <r>
      <rPr>
        <i/>
        <vertAlign val="subscript"/>
        <sz val="10"/>
        <color theme="1"/>
        <rFont val="Times New Roman"/>
        <family val="1"/>
      </rPr>
      <t>B</t>
    </r>
  </si>
  <si>
    <r>
      <t>C</t>
    </r>
    <r>
      <rPr>
        <i/>
        <vertAlign val="subscript"/>
        <sz val="10"/>
        <color theme="1"/>
        <rFont val="Times New Roman"/>
        <family val="1"/>
      </rPr>
      <t>SP</t>
    </r>
  </si>
  <si>
    <r>
      <t>C</t>
    </r>
    <r>
      <rPr>
        <i/>
        <vertAlign val="subscript"/>
        <sz val="10"/>
        <color theme="1"/>
        <rFont val="Times New Roman"/>
        <family val="1"/>
      </rPr>
      <t>CHW</t>
    </r>
  </si>
  <si>
    <r>
      <t>C</t>
    </r>
    <r>
      <rPr>
        <i/>
        <vertAlign val="subscript"/>
        <sz val="10"/>
        <color theme="1"/>
        <rFont val="Times New Roman"/>
        <family val="1"/>
      </rPr>
      <t>DHW</t>
    </r>
  </si>
  <si>
    <r>
      <t>C</t>
    </r>
    <r>
      <rPr>
        <i/>
        <vertAlign val="subscript"/>
        <sz val="10"/>
        <color theme="1"/>
        <rFont val="Times New Roman"/>
        <family val="1"/>
      </rPr>
      <t>UAV</t>
    </r>
  </si>
  <si>
    <r>
      <t>C</t>
    </r>
    <r>
      <rPr>
        <i/>
        <vertAlign val="subscript"/>
        <sz val="10"/>
        <color theme="1"/>
        <rFont val="Times New Roman"/>
        <family val="1"/>
      </rPr>
      <t>M</t>
    </r>
  </si>
  <si>
    <t>Paamete</t>
  </si>
  <si>
    <t>Scenaio</t>
  </si>
  <si>
    <t>Featue</t>
  </si>
  <si>
    <t>Desciption</t>
  </si>
  <si>
    <t>Watebeg</t>
  </si>
  <si>
    <t>Chis-Hani</t>
  </si>
  <si>
    <t>Fances Baad</t>
  </si>
  <si>
    <t>Zeeust</t>
  </si>
  <si>
    <t>Aveage time befoe disposal.</t>
  </si>
  <si>
    <t>5 [yeas]</t>
  </si>
  <si>
    <t>10 [yeas]</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</si>
  <si>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</si>
  <si>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</si>
  <si>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</si>
  <si>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</si>
  <si>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</si>
  <si>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</si>
  <si>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</si>
  <si>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</si>
  <si>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</si>
  <si>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</si>
  <si>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</si>
  <si>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</si>
  <si>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</si>
  <si>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</si>
  <si>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</si>
  <si>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</si>
  <si>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</si>
  <si>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</si>
  <si>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</si>
  <si>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</si>
  <si>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</si>
  <si>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</si>
  <si>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</si>
  <si>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</si>
  <si>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</si>
  <si>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</si>
  <si>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</si>
  <si>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</si>
  <si>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</si>
  <si>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</si>
  <si>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</si>
  <si>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Sola Panel Powe</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</si>
  <si>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</si>
  <si>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</si>
  <si>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</si>
  <si>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</si>
  <si>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Numbe of Deployed 5G – Nodes</t>
  </si>
  <si>
    <t>Batteries</t>
  </si>
  <si>
    <t>Solar Panel</t>
  </si>
  <si>
    <t>Commodity HW</t>
  </si>
  <si>
    <t>Dedicated HW</t>
  </si>
  <si>
    <t>UAV</t>
  </si>
  <si>
    <t>Site Acquisition</t>
  </si>
  <si>
    <t>`</t>
  </si>
  <si>
    <t>NU</t>
  </si>
  <si>
    <t>CE</t>
  </si>
  <si>
    <t>PSP</t>
  </si>
  <si>
    <t>NB</t>
  </si>
  <si>
    <t>NC</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</si>
  <si>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</si>
  <si>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</si>
  <si>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</si>
  <si>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</si>
  <si>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</si>
  <si>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</si>
  <si>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</si>
  <si>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</si>
  <si>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</si>
  <si>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</si>
  <si>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</si>
  <si>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</si>
  <si>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</si>
  <si>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</si>
  <si>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</si>
  <si>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</si>
  <si>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</si>
  <si>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</si>
  <si>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Scenario</t>
  </si>
  <si>
    <t>Waterberg</t>
  </si>
  <si>
    <t>Chris-Hani</t>
  </si>
  <si>
    <t>Frances Baard</t>
  </si>
  <si>
    <t>Zeerust</t>
  </si>
  <si>
    <t>District</t>
  </si>
  <si>
    <t>Rural Residential</t>
  </si>
  <si>
    <t>Area Description</t>
  </si>
  <si>
    <t>Category C Municipality located in Limpopo</t>
  </si>
  <si>
    <t>Category C Municipality located in Eastern Cape</t>
  </si>
  <si>
    <t>Category C Municipality located in Northern Cape</t>
  </si>
  <si>
    <t>Next to Johannesburg</t>
  </si>
  <si>
    <t>Outside Phalaborwa in Limpopo</t>
  </si>
  <si>
    <t xml:space="preserve">Commercial town situated in North West </t>
  </si>
  <si>
    <t>A township west of Nigel on the East Rand</t>
  </si>
  <si>
    <t>A village next to Qumbu and Mthatha in Eastern Cape</t>
  </si>
  <si>
    <r>
      <t xml:space="preserve">A village next to </t>
    </r>
    <r>
      <rPr>
        <sz val="10"/>
        <color theme="1"/>
        <rFont val="Lato"/>
        <family val="2"/>
      </rPr>
      <t xml:space="preserve"> </t>
    </r>
    <r>
      <rPr>
        <sz val="7"/>
        <color theme="1"/>
        <rFont val="Lato"/>
        <family val="2"/>
      </rPr>
      <t>Mthatha in Eastern Cape</t>
    </r>
  </si>
  <si>
    <t>Area Size</t>
  </si>
  <si>
    <r>
      <t>20 011 [km</t>
    </r>
    <r>
      <rPr>
        <vertAlign val="superscript"/>
        <sz val="7"/>
        <color theme="1"/>
        <rFont val="Lato"/>
        <family val="2"/>
      </rPr>
      <t>2</t>
    </r>
    <r>
      <rPr>
        <sz val="7"/>
        <color theme="1"/>
        <rFont val="Lato"/>
        <family val="2"/>
      </rPr>
      <t>]</t>
    </r>
  </si>
  <si>
    <r>
      <t>25 596 [km</t>
    </r>
    <r>
      <rPr>
        <vertAlign val="superscript"/>
        <sz val="7"/>
        <color theme="1"/>
        <rFont val="Lato"/>
        <family val="2"/>
      </rPr>
      <t>2</t>
    </r>
    <r>
      <rPr>
        <sz val="7"/>
        <color theme="1"/>
        <rFont val="Lato"/>
        <family val="2"/>
      </rPr>
      <t>]</t>
    </r>
  </si>
  <si>
    <r>
      <t>44 913 [km</t>
    </r>
    <r>
      <rPr>
        <vertAlign val="superscript"/>
        <sz val="7"/>
        <color theme="1"/>
        <rFont val="Lato"/>
        <family val="2"/>
      </rPr>
      <t>2</t>
    </r>
    <r>
      <rPr>
        <sz val="7"/>
        <color theme="1"/>
        <rFont val="Lato"/>
        <family val="2"/>
      </rPr>
      <t>]</t>
    </r>
  </si>
  <si>
    <r>
      <t>36 407 [km</t>
    </r>
    <r>
      <rPr>
        <vertAlign val="superscript"/>
        <sz val="7"/>
        <color theme="1"/>
        <rFont val="Lato"/>
        <family val="2"/>
      </rPr>
      <t>2</t>
    </r>
    <r>
      <rPr>
        <sz val="7"/>
        <color theme="1"/>
        <rFont val="Lato"/>
        <family val="2"/>
      </rPr>
      <t>]</t>
    </r>
  </si>
  <si>
    <r>
      <t>12 836 [km</t>
    </r>
    <r>
      <rPr>
        <vertAlign val="superscript"/>
        <sz val="7"/>
        <color theme="1"/>
        <rFont val="Lato"/>
        <family val="2"/>
      </rPr>
      <t>2</t>
    </r>
    <r>
      <rPr>
        <sz val="7"/>
        <color theme="1"/>
        <rFont val="Lato"/>
        <family val="2"/>
      </rPr>
      <t>]</t>
    </r>
  </si>
  <si>
    <r>
      <t>200.03 [km</t>
    </r>
    <r>
      <rPr>
        <vertAlign val="superscript"/>
        <sz val="7"/>
        <color theme="1"/>
        <rFont val="Lato"/>
        <family val="2"/>
      </rPr>
      <t>2</t>
    </r>
    <r>
      <rPr>
        <sz val="7"/>
        <color theme="1"/>
        <rFont val="Lato"/>
        <family val="2"/>
      </rPr>
      <t>]</t>
    </r>
  </si>
  <si>
    <r>
      <t>38.71 [km</t>
    </r>
    <r>
      <rPr>
        <vertAlign val="superscript"/>
        <sz val="7"/>
        <color theme="1"/>
        <rFont val="Lato"/>
        <family val="2"/>
      </rPr>
      <t>2</t>
    </r>
    <r>
      <rPr>
        <sz val="7"/>
        <color theme="1"/>
        <rFont val="Lato"/>
        <family val="2"/>
      </rPr>
      <t>]</t>
    </r>
  </si>
  <si>
    <r>
      <t>6.61 [km</t>
    </r>
    <r>
      <rPr>
        <vertAlign val="superscript"/>
        <sz val="7"/>
        <color theme="1"/>
        <rFont val="Lato"/>
        <family val="2"/>
      </rPr>
      <t>2</t>
    </r>
    <r>
      <rPr>
        <sz val="7"/>
        <color theme="1"/>
        <rFont val="Lato"/>
        <family val="2"/>
      </rPr>
      <t>]</t>
    </r>
  </si>
  <si>
    <r>
      <t>57.09 [km</t>
    </r>
    <r>
      <rPr>
        <vertAlign val="superscript"/>
        <sz val="7"/>
        <color theme="1"/>
        <rFont val="Lato"/>
        <family val="2"/>
      </rPr>
      <t>2</t>
    </r>
    <r>
      <rPr>
        <sz val="7"/>
        <color theme="1"/>
        <rFont val="Lato"/>
        <family val="2"/>
      </rPr>
      <t>]</t>
    </r>
  </si>
  <si>
    <r>
      <t>11.23 [km</t>
    </r>
    <r>
      <rPr>
        <vertAlign val="superscript"/>
        <sz val="7"/>
        <color theme="1"/>
        <rFont val="Lato"/>
        <family val="2"/>
      </rPr>
      <t>2</t>
    </r>
    <r>
      <rPr>
        <sz val="7"/>
        <color theme="1"/>
        <rFont val="Lato"/>
        <family val="2"/>
      </rPr>
      <t>]</t>
    </r>
  </si>
  <si>
    <r>
      <t>- [km</t>
    </r>
    <r>
      <rPr>
        <vertAlign val="superscript"/>
        <sz val="7"/>
        <color theme="1"/>
        <rFont val="Lato"/>
        <family val="2"/>
      </rPr>
      <t>2</t>
    </r>
    <r>
      <rPr>
        <sz val="7"/>
        <color theme="1"/>
        <rFont val="Lato"/>
        <family val="2"/>
      </rPr>
      <t>]</t>
    </r>
  </si>
  <si>
    <t>Average Density</t>
  </si>
  <si>
    <r>
      <t>55 [users/km</t>
    </r>
    <r>
      <rPr>
        <vertAlign val="superscript"/>
        <sz val="7"/>
        <color theme="1"/>
        <rFont val="Lato"/>
        <family val="2"/>
      </rPr>
      <t>2</t>
    </r>
    <r>
      <rPr>
        <sz val="7"/>
        <color theme="1"/>
        <rFont val="Lato"/>
        <family val="2"/>
      </rPr>
      <t>]</t>
    </r>
  </si>
  <si>
    <r>
      <t>51 [users/km</t>
    </r>
    <r>
      <rPr>
        <vertAlign val="superscript"/>
        <sz val="7"/>
        <color theme="1"/>
        <rFont val="Lato"/>
        <family val="2"/>
      </rPr>
      <t>2</t>
    </r>
    <r>
      <rPr>
        <sz val="7"/>
        <color theme="1"/>
        <rFont val="Lato"/>
        <family val="2"/>
      </rPr>
      <t>]</t>
    </r>
  </si>
  <si>
    <r>
      <t>15 [users/km</t>
    </r>
    <r>
      <rPr>
        <vertAlign val="superscript"/>
        <sz val="7"/>
        <color theme="1"/>
        <rFont val="Lato"/>
        <family val="2"/>
      </rPr>
      <t>2</t>
    </r>
    <r>
      <rPr>
        <sz val="7"/>
        <color theme="1"/>
        <rFont val="Lato"/>
        <family val="2"/>
      </rPr>
      <t>]</t>
    </r>
  </si>
  <si>
    <r>
      <t>22 [users/km</t>
    </r>
    <r>
      <rPr>
        <vertAlign val="superscript"/>
        <sz val="7"/>
        <color theme="1"/>
        <rFont val="Lato"/>
        <family val="2"/>
      </rPr>
      <t>2</t>
    </r>
    <r>
      <rPr>
        <sz val="7"/>
        <color theme="1"/>
        <rFont val="Lato"/>
        <family val="2"/>
      </rPr>
      <t>]</t>
    </r>
  </si>
  <si>
    <r>
      <t>30 [users/km</t>
    </r>
    <r>
      <rPr>
        <vertAlign val="superscript"/>
        <sz val="7"/>
        <color theme="1"/>
        <rFont val="Lato"/>
        <family val="2"/>
      </rPr>
      <t>2</t>
    </r>
    <r>
      <rPr>
        <sz val="7"/>
        <color theme="1"/>
        <rFont val="Lato"/>
        <family val="2"/>
      </rPr>
      <t>]</t>
    </r>
  </si>
  <si>
    <r>
      <t>6 400 [users/km</t>
    </r>
    <r>
      <rPr>
        <vertAlign val="superscript"/>
        <sz val="7"/>
        <color theme="1"/>
        <rFont val="Lato"/>
        <family val="2"/>
      </rPr>
      <t>2</t>
    </r>
    <r>
      <rPr>
        <sz val="7"/>
        <color theme="1"/>
        <rFont val="Lato"/>
        <family val="2"/>
      </rPr>
      <t>]</t>
    </r>
  </si>
  <si>
    <r>
      <t>10 000 [users/km</t>
    </r>
    <r>
      <rPr>
        <vertAlign val="superscript"/>
        <sz val="7"/>
        <color theme="1"/>
        <rFont val="Lato"/>
        <family val="2"/>
      </rPr>
      <t>2</t>
    </r>
    <r>
      <rPr>
        <sz val="7"/>
        <color theme="1"/>
        <rFont val="Lato"/>
        <family val="2"/>
      </rPr>
      <t>]</t>
    </r>
  </si>
  <si>
    <r>
      <t>2 200 [users/km</t>
    </r>
    <r>
      <rPr>
        <vertAlign val="superscript"/>
        <sz val="7"/>
        <color theme="1"/>
        <rFont val="Lato"/>
        <family val="2"/>
      </rPr>
      <t>2</t>
    </r>
    <r>
      <rPr>
        <sz val="7"/>
        <color theme="1"/>
        <rFont val="Lato"/>
        <family val="2"/>
      </rPr>
      <t>]</t>
    </r>
  </si>
  <si>
    <r>
      <t>160 [users/km</t>
    </r>
    <r>
      <rPr>
        <vertAlign val="superscript"/>
        <sz val="7"/>
        <color theme="1"/>
        <rFont val="Lato"/>
        <family val="2"/>
      </rPr>
      <t>2</t>
    </r>
    <r>
      <rPr>
        <sz val="7"/>
        <color theme="1"/>
        <rFont val="Lato"/>
        <family val="2"/>
      </rPr>
      <t>]</t>
    </r>
  </si>
  <si>
    <r>
      <t>6,500 [users/km</t>
    </r>
    <r>
      <rPr>
        <vertAlign val="superscript"/>
        <sz val="7"/>
        <color theme="1"/>
        <rFont val="Lato"/>
        <family val="2"/>
      </rPr>
      <t>2</t>
    </r>
    <r>
      <rPr>
        <sz val="7"/>
        <color theme="1"/>
        <rFont val="Lato"/>
        <family val="2"/>
      </rPr>
      <t>]</t>
    </r>
  </si>
  <si>
    <r>
      <t>- [users/km</t>
    </r>
    <r>
      <rPr>
        <vertAlign val="superscript"/>
        <sz val="7"/>
        <color theme="1"/>
        <rFont val="Lato"/>
        <family val="2"/>
      </rPr>
      <t>2</t>
    </r>
    <r>
      <rPr>
        <sz val="7"/>
        <color theme="1"/>
        <rFont val="Lato"/>
        <family val="2"/>
      </rPr>
      <t>]</t>
    </r>
  </si>
  <si>
    <t>Average Downlink Throughput</t>
  </si>
  <si>
    <t>50 [Mbps/user]</t>
  </si>
  <si>
    <t>100 [Mbps/user]</t>
  </si>
  <si>
    <t>10 [Mbps/user]</t>
  </si>
  <si>
    <t>Number of Inhabitants</t>
  </si>
  <si>
    <r>
      <t>N</t>
    </r>
    <r>
      <rPr>
        <i/>
        <vertAlign val="subscript"/>
        <sz val="7"/>
        <color theme="1"/>
        <rFont val="Lato"/>
        <family val="2"/>
      </rPr>
      <t>U</t>
    </r>
  </si>
  <si>
    <t>~3000</t>
  </si>
  <si>
    <t>~3500</t>
  </si>
  <si>
    <t>~5000</t>
  </si>
  <si>
    <t>Active Users Ratio</t>
  </si>
  <si>
    <t>Electricity Grid Cost</t>
  </si>
  <si>
    <r>
      <t>C</t>
    </r>
    <r>
      <rPr>
        <i/>
        <vertAlign val="subscript"/>
        <sz val="7"/>
        <color theme="1"/>
        <rFont val="Lato"/>
        <family val="2"/>
      </rPr>
      <t>E</t>
    </r>
  </si>
  <si>
    <t>R 2.89 [/kWh]</t>
  </si>
  <si>
    <t>No legal connection</t>
  </si>
  <si>
    <t>No connection</t>
  </si>
  <si>
    <t>Solar Panel Power</t>
  </si>
  <si>
    <r>
      <t>P</t>
    </r>
    <r>
      <rPr>
        <i/>
        <vertAlign val="subscript"/>
        <sz val="7"/>
        <color theme="1"/>
        <rFont val="Lato"/>
        <family val="2"/>
      </rPr>
      <t>SP</t>
    </r>
  </si>
  <si>
    <t>6.5 [kWp/site]</t>
  </si>
  <si>
    <t>5.5 [kWp/site]</t>
  </si>
  <si>
    <t>6.1 [kWp/site]</t>
  </si>
  <si>
    <t>5.8 [kWp/site]</t>
  </si>
  <si>
    <t>5.1 [kWp/site]</t>
  </si>
  <si>
    <t>4.8 [kWp/site]</t>
  </si>
  <si>
    <t>4.6 [kWp/site]</t>
  </si>
  <si>
    <t>2.6 [kWp/site]</t>
  </si>
  <si>
    <t>3.2 [kWp/site]</t>
  </si>
  <si>
    <t>3.4 [kWp/site]</t>
  </si>
  <si>
    <t>1.8 [kWp/site]</t>
  </si>
  <si>
    <t>1.9 [kWp/site]</t>
  </si>
  <si>
    <t>2.1 [kWp/site]</t>
  </si>
  <si>
    <t>13.7 [kWp/site]</t>
  </si>
  <si>
    <t>13.6 [kWp/site]</t>
  </si>
  <si>
    <t>12.5 [kWp/site]</t>
  </si>
  <si>
    <t>11.7 [kWp/site]</t>
  </si>
  <si>
    <t>13 [kWp/site]</t>
  </si>
  <si>
    <t>12.8 [kWp/site]</t>
  </si>
  <si>
    <t>11.2 [kWp/site]</t>
  </si>
  <si>
    <t>11.5 [kWp/site]</t>
  </si>
  <si>
    <t>Number of Batteries</t>
  </si>
  <si>
    <r>
      <t>N</t>
    </r>
    <r>
      <rPr>
        <i/>
        <vertAlign val="subscript"/>
        <sz val="7"/>
        <color theme="1"/>
        <rFont val="Lato"/>
        <family val="2"/>
      </rPr>
      <t>B</t>
    </r>
  </si>
  <si>
    <t>24 [units/site]</t>
  </si>
  <si>
    <t>18 [units/site]</t>
  </si>
  <si>
    <t>12 [units/site]</t>
  </si>
  <si>
    <t>30 [units/site]</t>
  </si>
  <si>
    <t>15 [units/site]</t>
  </si>
  <si>
    <t>0 [units/site]</t>
  </si>
  <si>
    <t>6 [units/site]</t>
  </si>
  <si>
    <t>5 [units/site]</t>
  </si>
  <si>
    <t>3 [units/site]</t>
  </si>
  <si>
    <t>10 [units/site]</t>
  </si>
  <si>
    <t>7 [units/site]</t>
  </si>
  <si>
    <t>36 [units/site]</t>
  </si>
  <si>
    <t>27 [units/site]</t>
  </si>
  <si>
    <t>45 [units/site]</t>
  </si>
  <si>
    <t>13 [units/site]</t>
  </si>
  <si>
    <t>2 [units/site]</t>
  </si>
  <si>
    <t>17 [units/site]</t>
  </si>
  <si>
    <t>11 [units/site]</t>
  </si>
  <si>
    <r>
      <t>Number of Deployed 5</t>
    </r>
    <r>
      <rPr>
        <i/>
        <vertAlign val="superscript"/>
        <sz val="7"/>
        <color theme="1"/>
        <rFont val="Lato"/>
        <family val="2"/>
      </rPr>
      <t xml:space="preserve">G </t>
    </r>
    <r>
      <rPr>
        <i/>
        <sz val="7"/>
        <color theme="1"/>
        <rFont val="Lato"/>
        <family val="2"/>
      </rPr>
      <t>– Nodes</t>
    </r>
  </si>
  <si>
    <r>
      <t>N</t>
    </r>
    <r>
      <rPr>
        <i/>
        <vertAlign val="subscript"/>
        <sz val="7"/>
        <color theme="1"/>
        <rFont val="Lato"/>
        <family val="2"/>
      </rPr>
      <t>C</t>
    </r>
  </si>
  <si>
    <r>
      <t>C</t>
    </r>
    <r>
      <rPr>
        <i/>
        <vertAlign val="subscript"/>
        <sz val="7"/>
        <color theme="1"/>
        <rFont val="Lato"/>
        <family val="2"/>
      </rPr>
      <t>SA</t>
    </r>
  </si>
  <si>
    <t>R577.3 [k/site]</t>
  </si>
  <si>
    <t>R173.3 [k/site]</t>
  </si>
  <si>
    <t>R120 [k/site]</t>
  </si>
  <si>
    <t>R178.5 [k/site]</t>
  </si>
  <si>
    <t>R 173.3 [k/site]</t>
  </si>
  <si>
    <t>R1732 [k/site]</t>
  </si>
  <si>
    <t>R519.6 [k/site]</t>
  </si>
  <si>
    <t>R480.8 [k/site]</t>
  </si>
  <si>
    <t>R 511 [k/site]</t>
  </si>
  <si>
    <t>R 519.6 [k/site]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</si>
</sst>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7">
    <font>
      <sz val="11"/>
      <color theme="1"/>
      <name val="Calibri"/>
      <family val="2"/>
      <scheme val="minor"/>
    </font>
    <font>
      <sz val="11"/>
      <color theme="1"/>
      <name val="Calibri"/>
      <family val="2"/>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i/>
      <vertAlign val="subscript"/>
      <sz val="10"/>
      <color theme="1"/>
      <name val="Times New Roman"/>
      <family val="1"/>
    </font>
    <font>
      <i/>
      <vertAlign val="superscript"/>
      <sz val="10"/>
      <color theme="1"/>
      <name val="Times New Roman"/>
      <family val="1"/>
    </font>
    <font>
      <sz val="10"/>
      <color theme="1"/>
      <name val="Calibri"/>
      <family val="2"/>
      <scheme val="minor"/>
    </font>
    <font>
      <sz val="10"/>
      <color theme="1"/>
      <name val="Lato"/>
      <family val="2"/>
    </font>
    <font>
      <b/>
      <sz val="8"/>
      <color theme="1"/>
      <name val="Lato"/>
      <family val="2"/>
    </font>
    <font>
      <b/>
      <i/>
      <sz val="7"/>
      <color theme="1"/>
      <name val="Lato"/>
      <family val="2"/>
    </font>
    <font>
      <sz val="7"/>
      <color theme="1"/>
      <name val="Lato"/>
      <family val="2"/>
    </font>
    <font>
      <i/>
      <sz val="7"/>
      <color theme="1"/>
      <name val="Lato"/>
      <family val="2"/>
    </font>
    <font>
      <vertAlign val="superscript"/>
      <sz val="7"/>
      <color theme="1"/>
      <name val="Lato"/>
      <family val="2"/>
    </font>
    <font>
      <i/>
      <vertAlign val="subscript"/>
      <sz val="7"/>
      <color theme="1"/>
      <name val="Lato"/>
      <family val="2"/>
    </font>
    <font>
      <i/>
      <vertAlign val="superscript"/>
      <sz val="7"/>
      <color theme="1"/>
      <name val="Lato"/>
      <family val="2"/>
    </font>
  </fonts>
  <fills count="4">
    <fill>
      <patternFill patternType="none"/>
    </fill>
    <fill>
      <patternFill patternType="gray125"/>
    </fill>
    <fill>
      <patternFill patternType="solid">
        <fgColor rgb="FFDDDDDD"/>
        <bgColor indexed="64"/>
      </patternFill>
    </fill>
    <fill>
      <patternFill patternType="solid">
        <fgColor rgb="FFFFFFFF"/>
        <bgColor indexed="64"/>
      </patternFill>
    </fill>
  </fills>
  <borders count="12">
    <border>
      <left/>
      <right/>
      <top/>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83">
    <xf numFmtId="0" fontId="0" fillId="0" borderId="0" xfId="0"/>
    <xf numFmtId="0" fontId="1" fillId="0" borderId="0" xfId="0" applyFont="1"/>
    <xf numFmtId="0" fontId="2" fillId="0" borderId="5"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2" fillId="0" borderId="0" xfId="0" applyFont="1" applyAlignment="1">
      <alignment horizontal="justify"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5" fillId="3" borderId="7" xfId="0" applyFont="1" applyFill="1" applyBorder="1" applyAlignment="1">
      <alignment horizontal="right" vertical="center" wrapText="1"/>
    </xf>
    <xf numFmtId="0" fontId="2" fillId="0" borderId="8" xfId="0" applyFont="1" applyBorder="1" applyAlignment="1">
      <alignment horizontal="justify" vertical="center" wrapText="1"/>
    </xf>
    <xf numFmtId="0" fontId="5" fillId="3" borderId="9" xfId="0" applyFont="1" applyFill="1" applyBorder="1" applyAlignment="1">
      <alignment horizontal="right" vertical="center" wrapText="1"/>
    </xf>
    <xf numFmtId="0" fontId="5"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8" fillId="0" borderId="0" xfId="0" applyFont="1"/>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2" fontId="2" fillId="0" borderId="0" xfId="0" applyNumberFormat="1" applyFont="1" applyAlignment="1">
      <alignment horizontal="left" vertical="center" wrapText="1"/>
    </xf>
    <xf numFmtId="2" fontId="2" fillId="0" borderId="8" xfId="0" applyNumberFormat="1" applyFont="1" applyBorder="1" applyAlignment="1">
      <alignment horizontal="left" vertical="center" wrapText="1"/>
    </xf>
    <xf numFmtId="2" fontId="2" fillId="0" borderId="5" xfId="0" applyNumberFormat="1" applyFont="1" applyBorder="1" applyAlignment="1">
      <alignment horizontal="left" vertical="center" wrapText="1"/>
    </xf>
    <xf numFmtId="2" fontId="2" fillId="0" borderId="6" xfId="0" applyNumberFormat="1" applyFont="1" applyBorder="1" applyAlignment="1">
      <alignment horizontal="left" vertical="center" wrapText="1"/>
    </xf>
    <xf numFmtId="2" fontId="0" fillId="0" borderId="0" xfId="0" applyNumberFormat="1"/>
    <xf numFmtId="0" fontId="0" fillId="0" borderId="0" xfId="0" applyNumberFormat="1"/>
    <xf numFmtId="9" fontId="0" fillId="0" borderId="0" xfId="0" applyNumberFormat="1"/>
    <xf numFmtId="164" fontId="0" fillId="0" borderId="0" xfId="0" applyNumberFormat="1"/>
    <xf numFmtId="0" fontId="10" fillId="2" borderId="2"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6" xfId="0" applyFont="1" applyBorder="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3" fontId="12" fillId="0" borderId="5" xfId="0" applyNumberFormat="1" applyFont="1" applyBorder="1" applyAlignment="1">
      <alignment horizontal="left" vertical="center" wrapText="1"/>
    </xf>
    <xf numFmtId="0" fontId="13" fillId="0" borderId="0" xfId="0" applyFont="1" applyAlignment="1">
      <alignment horizontal="justify" vertical="center" wrapText="1"/>
    </xf>
    <xf numFmtId="0" fontId="13" fillId="0" borderId="5" xfId="0" applyFont="1" applyBorder="1" applyAlignment="1">
      <alignment horizontal="justify" vertical="center" wrapText="1"/>
    </xf>
    <xf numFmtId="0" fontId="12" fillId="0" borderId="0" xfId="0" applyFont="1" applyAlignment="1">
      <alignment horizontal="justify" vertical="center" wrapText="1"/>
    </xf>
    <xf numFmtId="0" fontId="12" fillId="0" borderId="8" xfId="0" applyFont="1" applyBorder="1" applyAlignment="1">
      <alignment horizontal="justify"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5" fillId="3" borderId="1" xfId="0" applyFont="1" applyFill="1" applyBorder="1" applyAlignment="1">
      <alignment horizontal="right" vertical="center" wrapText="1"/>
    </xf>
    <xf numFmtId="0" fontId="5" fillId="3" borderId="9" xfId="0" applyFont="1" applyFill="1" applyBorder="1" applyAlignment="1">
      <alignment horizontal="right"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2" fontId="2" fillId="0" borderId="5" xfId="0" applyNumberFormat="1" applyFont="1" applyBorder="1" applyAlignment="1">
      <alignment horizontal="center" vertical="center" wrapText="1"/>
    </xf>
    <xf numFmtId="2" fontId="2" fillId="0" borderId="6" xfId="0" applyNumberFormat="1"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1" xfId="0" applyFont="1" applyFill="1" applyBorder="1" applyAlignment="1">
      <alignment horizontal="right" vertical="center" wrapText="1"/>
    </xf>
    <xf numFmtId="0" fontId="13" fillId="3" borderId="9" xfId="0" applyFont="1" applyFill="1" applyBorder="1" applyAlignment="1">
      <alignment horizontal="right"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DATA!$C$26</c:f>
              <c:strCache>
                <c:ptCount val="1"/>
                <c:pt idx="0">
                  <c:v>Batteies</c:v>
                </c:pt>
              </c:strCache>
            </c:strRef>
          </c:tx>
          <c:spPr>
            <a:solidFill>
              <a:schemeClr val="accent1"/>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DATA!$D$26:$P$26</c:f>
              <c:numCache>
                <c:formatCode>General</c:formatCode>
                <c:ptCount val="13"/>
                <c:pt idx="0">
                  <c:v>335332.80000000005</c:v>
                </c:pt>
                <c:pt idx="1">
                  <c:v>298069.2</c:v>
                </c:pt>
                <c:pt idx="2">
                  <c:v>104253.6</c:v>
                </c:pt>
                <c:pt idx="3">
                  <c:v>305184</c:v>
                </c:pt>
                <c:pt idx="4">
                  <c:v>73326</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B873-4790-9673-DC8AC3D8D5E2}"/>
            </c:ext>
          </c:extLst>
        </c:ser>
        <c:ser>
          <c:idx val="1"/>
          <c:order val="1"/>
          <c:tx>
            <c:strRef>
              <c:f>DATA!$C$27</c:f>
              <c:strCache>
                <c:ptCount val="1"/>
                <c:pt idx="0">
                  <c:v>Sola Panel</c:v>
                </c:pt>
              </c:strCache>
            </c:strRef>
          </c:tx>
          <c:spPr>
            <a:solidFill>
              <a:schemeClr val="accent2"/>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DATA!$D$27:$P$27</c:f>
              <c:numCache>
                <c:formatCode>General</c:formatCode>
                <c:ptCount val="13"/>
                <c:pt idx="0">
                  <c:v>476801.32500000001</c:v>
                </c:pt>
                <c:pt idx="1">
                  <c:v>478152.67500000005</c:v>
                </c:pt>
                <c:pt idx="2">
                  <c:v>278226.79499999998</c:v>
                </c:pt>
                <c:pt idx="3">
                  <c:v>309761.76000000007</c:v>
                </c:pt>
                <c:pt idx="4">
                  <c:v>130886.91</c:v>
                </c:pt>
                <c:pt idx="5">
                  <c:v>1311377.76</c:v>
                </c:pt>
                <c:pt idx="6">
                  <c:v>387158.31</c:v>
                </c:pt>
                <c:pt idx="7">
                  <c:v>3813.81</c:v>
                </c:pt>
                <c:pt idx="8">
                  <c:v>3141.6</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B873-4790-9673-DC8AC3D8D5E2}"/>
            </c:ext>
          </c:extLst>
        </c:ser>
        <c:ser>
          <c:idx val="2"/>
          <c:order val="2"/>
          <c:tx>
            <c:strRef>
              <c:f>DATA!$C$28</c:f>
              <c:strCache>
                <c:ptCount val="1"/>
                <c:pt idx="0">
                  <c:v>Commodity HW</c:v>
                </c:pt>
              </c:strCache>
            </c:strRef>
          </c:tx>
          <c:spPr>
            <a:solidFill>
              <a:schemeClr val="accent3"/>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DATA!$D$28:$P$28</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2-B873-4790-9673-DC8AC3D8D5E2}"/>
            </c:ext>
          </c:extLst>
        </c:ser>
        <c:ser>
          <c:idx val="3"/>
          <c:order val="3"/>
          <c:tx>
            <c:strRef>
              <c:f>DATA!$C$29</c:f>
              <c:strCache>
                <c:ptCount val="1"/>
                <c:pt idx="0">
                  <c:v>Dedicated HW</c:v>
                </c:pt>
              </c:strCache>
            </c:strRef>
          </c:tx>
          <c:spPr>
            <a:solidFill>
              <a:schemeClr val="accent4"/>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DATA!$D$29:$P$29</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3-B873-4790-9673-DC8AC3D8D5E2}"/>
            </c:ext>
          </c:extLst>
        </c:ser>
        <c:ser>
          <c:idx val="4"/>
          <c:order val="4"/>
          <c:tx>
            <c:strRef>
              <c:f>DATA!$C$30</c:f>
              <c:strCache>
                <c:ptCount val="1"/>
                <c:pt idx="0">
                  <c:v>UAV</c:v>
                </c:pt>
              </c:strCache>
            </c:strRef>
          </c:tx>
          <c:spPr>
            <a:solidFill>
              <a:schemeClr val="accent5"/>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DATA!$D$30:$P$30</c:f>
              <c:numCache>
                <c:formatCode>0.00</c:formatCode>
                <c:ptCount val="13"/>
                <c:pt idx="0">
                  <c:v>394397.10000000003</c:v>
                </c:pt>
                <c:pt idx="1">
                  <c:v>467426.7</c:v>
                </c:pt>
                <c:pt idx="2">
                  <c:v>245232.9</c:v>
                </c:pt>
                <c:pt idx="3">
                  <c:v>287150.40000000002</c:v>
                </c:pt>
                <c:pt idx="4">
                  <c:v>137986.20000000001</c:v>
                </c:pt>
                <c:pt idx="5">
                  <c:v>1468913.4000000001</c:v>
                </c:pt>
                <c:pt idx="6">
                  <c:v>452522.7</c:v>
                </c:pt>
                <c:pt idx="7">
                  <c:v>7886.7</c:v>
                </c:pt>
                <c:pt idx="8">
                  <c:v>5278.5</c:v>
                </c:pt>
                <c:pt idx="9">
                  <c:v>84704.400000000009</c:v>
                </c:pt>
                <c:pt idx="10">
                  <c:v>186.3</c:v>
                </c:pt>
                <c:pt idx="11">
                  <c:v>186.3</c:v>
                </c:pt>
                <c:pt idx="12">
                  <c:v>310.5</c:v>
                </c:pt>
              </c:numCache>
            </c:numRef>
          </c:val>
          <c:extLst>
            <c:ext xmlns:c16="http://schemas.microsoft.com/office/drawing/2014/chart" uri="{C3380CC4-5D6E-409C-BE32-E72D297353CC}">
              <c16:uniqueId val="{00000004-B873-4790-9673-DC8AC3D8D5E2}"/>
            </c:ext>
          </c:extLst>
        </c:ser>
        <c:ser>
          <c:idx val="5"/>
          <c:order val="5"/>
          <c:tx>
            <c:strRef>
              <c:f>DATA!$C$31</c:f>
              <c:strCache>
                <c:ptCount val="1"/>
                <c:pt idx="0">
                  <c:v>Site Acquisition</c:v>
                </c:pt>
              </c:strCache>
            </c:strRef>
          </c:tx>
          <c:spPr>
            <a:solidFill>
              <a:schemeClr val="accent6"/>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DATA!$D$31:$P$31</c:f>
              <c:numCache>
                <c:formatCode>General</c:formatCode>
                <c:ptCount val="13"/>
                <c:pt idx="0">
                  <c:v>3666432.3</c:v>
                </c:pt>
                <c:pt idx="1">
                  <c:v>4345337.0999999996</c:v>
                </c:pt>
                <c:pt idx="2">
                  <c:v>2279757.6999999997</c:v>
                </c:pt>
                <c:pt idx="3">
                  <c:v>2669435.1999999997</c:v>
                </c:pt>
                <c:pt idx="4">
                  <c:v>1282760.5999999999</c:v>
                </c:pt>
                <c:pt idx="5">
                  <c:v>4099238.2</c:v>
                </c:pt>
                <c:pt idx="6">
                  <c:v>1262837.1000000001</c:v>
                </c:pt>
                <c:pt idx="7">
                  <c:v>15240</c:v>
                </c:pt>
                <c:pt idx="8">
                  <c:v>15172.5</c:v>
                </c:pt>
                <c:pt idx="9">
                  <c:v>236381.2</c:v>
                </c:pt>
                <c:pt idx="10">
                  <c:v>360</c:v>
                </c:pt>
                <c:pt idx="11">
                  <c:v>360</c:v>
                </c:pt>
                <c:pt idx="12">
                  <c:v>600</c:v>
                </c:pt>
              </c:numCache>
            </c:numRef>
          </c:val>
          <c:extLst>
            <c:ext xmlns:c16="http://schemas.microsoft.com/office/drawing/2014/chart" uri="{C3380CC4-5D6E-409C-BE32-E72D297353CC}">
              <c16:uniqueId val="{00000005-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DATA!$C$37</c:f>
              <c:strCache>
                <c:ptCount val="1"/>
                <c:pt idx="0">
                  <c:v>Batteies</c:v>
                </c:pt>
              </c:strCache>
            </c:strRef>
          </c:tx>
          <c:spPr>
            <a:solidFill>
              <a:schemeClr val="accent1"/>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DATA!$D$37:$P$37</c:f>
              <c:numCache>
                <c:formatCode>General</c:formatCode>
                <c:ptCount val="13"/>
                <c:pt idx="0">
                  <c:v>167666.4</c:v>
                </c:pt>
                <c:pt idx="1">
                  <c:v>149034.6</c:v>
                </c:pt>
                <c:pt idx="2">
                  <c:v>52153.200000000004</c:v>
                </c:pt>
                <c:pt idx="3">
                  <c:v>152658.00000000003</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79C5-4127-9AE7-B3498616D787}"/>
            </c:ext>
          </c:extLst>
        </c:ser>
        <c:ser>
          <c:idx val="1"/>
          <c:order val="1"/>
          <c:tx>
            <c:strRef>
              <c:f>DATA!$C$38</c:f>
              <c:strCache>
                <c:ptCount val="1"/>
                <c:pt idx="0">
                  <c:v>Sola Panel</c:v>
                </c:pt>
              </c:strCache>
            </c:strRef>
          </c:tx>
          <c:spPr>
            <a:solidFill>
              <a:schemeClr val="accent2"/>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DATA!$D$38:$P$38</c:f>
              <c:numCache>
                <c:formatCode>General</c:formatCode>
                <c:ptCount val="13"/>
                <c:pt idx="0">
                  <c:v>880248.6</c:v>
                </c:pt>
                <c:pt idx="1">
                  <c:v>782431.65</c:v>
                </c:pt>
                <c:pt idx="2">
                  <c:v>273804.3</c:v>
                </c:pt>
                <c:pt idx="3">
                  <c:v>801454.5</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79C5-4127-9AE7-B3498616D787}"/>
            </c:ext>
          </c:extLst>
        </c:ser>
        <c:ser>
          <c:idx val="2"/>
          <c:order val="2"/>
          <c:tx>
            <c:strRef>
              <c:f>DATA!$C$39</c:f>
              <c:strCache>
                <c:ptCount val="1"/>
                <c:pt idx="0">
                  <c:v>Commodity HW</c:v>
                </c:pt>
              </c:strCache>
            </c:strRef>
          </c:tx>
          <c:spPr>
            <a:solidFill>
              <a:schemeClr val="accent3"/>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DATA!$D$39:$P$39</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79C5-4127-9AE7-B3498616D787}"/>
            </c:ext>
          </c:extLst>
        </c:ser>
        <c:ser>
          <c:idx val="3"/>
          <c:order val="3"/>
          <c:tx>
            <c:strRef>
              <c:f>DATA!$C$40</c:f>
              <c:strCache>
                <c:ptCount val="1"/>
                <c:pt idx="0">
                  <c:v>Dedicated HW</c:v>
                </c:pt>
              </c:strCache>
            </c:strRef>
          </c:tx>
          <c:spPr>
            <a:solidFill>
              <a:schemeClr val="accent4"/>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DATA!$D$40:$P$40</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79C5-4127-9AE7-B3498616D787}"/>
            </c:ext>
          </c:extLst>
        </c:ser>
        <c:ser>
          <c:idx val="4"/>
          <c:order val="4"/>
          <c:tx>
            <c:strRef>
              <c:f>DATA!$C$41</c:f>
              <c:strCache>
                <c:ptCount val="1"/>
                <c:pt idx="0">
                  <c:v>UAV</c:v>
                </c:pt>
              </c:strCache>
            </c:strRef>
          </c:tx>
          <c:spPr>
            <a:solidFill>
              <a:schemeClr val="accent5"/>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DATA!$D$41:$P$41</c:f>
              <c:numCache>
                <c:formatCode>0.00</c:formatCode>
                <c:ptCount val="13"/>
                <c:pt idx="0">
                  <c:v>131465.70000000001</c:v>
                </c:pt>
                <c:pt idx="1">
                  <c:v>155808.9</c:v>
                </c:pt>
                <c:pt idx="2">
                  <c:v>81785.7</c:v>
                </c:pt>
                <c:pt idx="3">
                  <c:v>95758.2</c:v>
                </c:pt>
                <c:pt idx="4">
                  <c:v>46016.1</c:v>
                </c:pt>
                <c:pt idx="5">
                  <c:v>489658.5</c:v>
                </c:pt>
                <c:pt idx="6">
                  <c:v>150840.9</c:v>
                </c:pt>
                <c:pt idx="7">
                  <c:v>2670.3</c:v>
                </c:pt>
                <c:pt idx="8">
                  <c:v>1800.9</c:v>
                </c:pt>
                <c:pt idx="9">
                  <c:v>28255.5</c:v>
                </c:pt>
                <c:pt idx="10">
                  <c:v>62.1</c:v>
                </c:pt>
                <c:pt idx="11">
                  <c:v>62.1</c:v>
                </c:pt>
                <c:pt idx="12">
                  <c:v>124.2</c:v>
                </c:pt>
              </c:numCache>
            </c:numRef>
          </c:val>
          <c:extLst>
            <c:ext xmlns:c16="http://schemas.microsoft.com/office/drawing/2014/chart" uri="{C3380CC4-5D6E-409C-BE32-E72D297353CC}">
              <c16:uniqueId val="{00000004-79C5-4127-9AE7-B3498616D787}"/>
            </c:ext>
          </c:extLst>
        </c:ser>
        <c:ser>
          <c:idx val="5"/>
          <c:order val="5"/>
          <c:tx>
            <c:strRef>
              <c:f>DATA!$C$42</c:f>
              <c:strCache>
                <c:ptCount val="1"/>
                <c:pt idx="0">
                  <c:v>Site Acquisition</c:v>
                </c:pt>
              </c:strCache>
            </c:strRef>
          </c:tx>
          <c:spPr>
            <a:solidFill>
              <a:schemeClr val="accent6"/>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DATA!$D$42:$P$42</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5-79C5-4127-9AE7-B3498616D787}"/>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DATA!$D$113</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DATA!$C$114:$C$138</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DATA!$D$114:$D$138</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DATA!$E$113</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DATA!$C$114:$C$138</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DATA!$E$114:$E$138</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DATA!$C$26</c:f>
              <c:strCache>
                <c:ptCount val="1"/>
                <c:pt idx="0">
                  <c:v>Batteies</c:v>
                </c:pt>
              </c:strCache>
            </c:strRef>
          </c:tx>
          <c:spPr>
            <a:solidFill>
              <a:schemeClr val="accent1"/>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DATA!$D$26:$P$26</c:f>
              <c:numCache>
                <c:formatCode>General</c:formatCode>
                <c:ptCount val="13"/>
                <c:pt idx="0">
                  <c:v>335332.80000000005</c:v>
                </c:pt>
                <c:pt idx="1">
                  <c:v>298069.2</c:v>
                </c:pt>
                <c:pt idx="2">
                  <c:v>104253.6</c:v>
                </c:pt>
                <c:pt idx="3">
                  <c:v>305184</c:v>
                </c:pt>
                <c:pt idx="4">
                  <c:v>73326</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2DC2-4682-BABF-37CA4FC04F05}"/>
            </c:ext>
          </c:extLst>
        </c:ser>
        <c:ser>
          <c:idx val="1"/>
          <c:order val="1"/>
          <c:tx>
            <c:strRef>
              <c:f>DATA!$C$27</c:f>
              <c:strCache>
                <c:ptCount val="1"/>
                <c:pt idx="0">
                  <c:v>Sola Panel</c:v>
                </c:pt>
              </c:strCache>
            </c:strRef>
          </c:tx>
          <c:spPr>
            <a:solidFill>
              <a:schemeClr val="accent2"/>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DATA!$D$27:$P$27</c:f>
              <c:numCache>
                <c:formatCode>General</c:formatCode>
                <c:ptCount val="13"/>
                <c:pt idx="0">
                  <c:v>476801.32500000001</c:v>
                </c:pt>
                <c:pt idx="1">
                  <c:v>478152.67500000005</c:v>
                </c:pt>
                <c:pt idx="2">
                  <c:v>278226.79499999998</c:v>
                </c:pt>
                <c:pt idx="3">
                  <c:v>309761.76000000007</c:v>
                </c:pt>
                <c:pt idx="4">
                  <c:v>130886.91</c:v>
                </c:pt>
                <c:pt idx="5">
                  <c:v>1311377.76</c:v>
                </c:pt>
                <c:pt idx="6">
                  <c:v>387158.31</c:v>
                </c:pt>
                <c:pt idx="7">
                  <c:v>3813.81</c:v>
                </c:pt>
                <c:pt idx="8">
                  <c:v>3141.6</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2DC2-4682-BABF-37CA4FC04F05}"/>
            </c:ext>
          </c:extLst>
        </c:ser>
        <c:ser>
          <c:idx val="2"/>
          <c:order val="2"/>
          <c:tx>
            <c:strRef>
              <c:f>DATA!$C$28</c:f>
              <c:strCache>
                <c:ptCount val="1"/>
                <c:pt idx="0">
                  <c:v>Commodity HW</c:v>
                </c:pt>
              </c:strCache>
            </c:strRef>
          </c:tx>
          <c:spPr>
            <a:solidFill>
              <a:schemeClr val="accent3"/>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DATA!$D$28:$P$28</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2-2DC2-4682-BABF-37CA4FC04F05}"/>
            </c:ext>
          </c:extLst>
        </c:ser>
        <c:ser>
          <c:idx val="3"/>
          <c:order val="3"/>
          <c:tx>
            <c:strRef>
              <c:f>DATA!$C$29</c:f>
              <c:strCache>
                <c:ptCount val="1"/>
                <c:pt idx="0">
                  <c:v>Dedicated HW</c:v>
                </c:pt>
              </c:strCache>
            </c:strRef>
          </c:tx>
          <c:spPr>
            <a:solidFill>
              <a:schemeClr val="accent4"/>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DATA!$D$29:$P$29</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3-2DC2-4682-BABF-37CA4FC04F05}"/>
            </c:ext>
          </c:extLst>
        </c:ser>
        <c:ser>
          <c:idx val="4"/>
          <c:order val="4"/>
          <c:tx>
            <c:strRef>
              <c:f>DATA!$C$30</c:f>
              <c:strCache>
                <c:ptCount val="1"/>
                <c:pt idx="0">
                  <c:v>UAV</c:v>
                </c:pt>
              </c:strCache>
            </c:strRef>
          </c:tx>
          <c:spPr>
            <a:solidFill>
              <a:schemeClr val="accent5"/>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DATA!$D$30:$P$30</c:f>
              <c:numCache>
                <c:formatCode>0.00</c:formatCode>
                <c:ptCount val="13"/>
                <c:pt idx="0">
                  <c:v>394397.10000000003</c:v>
                </c:pt>
                <c:pt idx="1">
                  <c:v>467426.7</c:v>
                </c:pt>
                <c:pt idx="2">
                  <c:v>245232.9</c:v>
                </c:pt>
                <c:pt idx="3">
                  <c:v>287150.40000000002</c:v>
                </c:pt>
                <c:pt idx="4">
                  <c:v>137986.20000000001</c:v>
                </c:pt>
                <c:pt idx="5">
                  <c:v>1468913.4000000001</c:v>
                </c:pt>
                <c:pt idx="6">
                  <c:v>452522.7</c:v>
                </c:pt>
                <c:pt idx="7">
                  <c:v>7886.7</c:v>
                </c:pt>
                <c:pt idx="8">
                  <c:v>5278.5</c:v>
                </c:pt>
                <c:pt idx="9">
                  <c:v>84704.400000000009</c:v>
                </c:pt>
                <c:pt idx="10">
                  <c:v>186.3</c:v>
                </c:pt>
                <c:pt idx="11">
                  <c:v>186.3</c:v>
                </c:pt>
                <c:pt idx="12">
                  <c:v>310.5</c:v>
                </c:pt>
              </c:numCache>
            </c:numRef>
          </c:val>
          <c:extLst>
            <c:ext xmlns:c16="http://schemas.microsoft.com/office/drawing/2014/chart" uri="{C3380CC4-5D6E-409C-BE32-E72D297353CC}">
              <c16:uniqueId val="{00000004-2DC2-4682-BABF-37CA4FC04F05}"/>
            </c:ext>
          </c:extLst>
        </c:ser>
        <c:ser>
          <c:idx val="5"/>
          <c:order val="5"/>
          <c:tx>
            <c:strRef>
              <c:f>DATA!$C$31</c:f>
              <c:strCache>
                <c:ptCount val="1"/>
                <c:pt idx="0">
                  <c:v>Site Acquisition</c:v>
                </c:pt>
              </c:strCache>
            </c:strRef>
          </c:tx>
          <c:spPr>
            <a:solidFill>
              <a:schemeClr val="accent6"/>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DATA!$D$31:$P$31</c:f>
              <c:numCache>
                <c:formatCode>General</c:formatCode>
                <c:ptCount val="13"/>
                <c:pt idx="0">
                  <c:v>3666432.3</c:v>
                </c:pt>
                <c:pt idx="1">
                  <c:v>4345337.0999999996</c:v>
                </c:pt>
                <c:pt idx="2">
                  <c:v>2279757.6999999997</c:v>
                </c:pt>
                <c:pt idx="3">
                  <c:v>2669435.1999999997</c:v>
                </c:pt>
                <c:pt idx="4">
                  <c:v>1282760.5999999999</c:v>
                </c:pt>
                <c:pt idx="5">
                  <c:v>4099238.2</c:v>
                </c:pt>
                <c:pt idx="6">
                  <c:v>1262837.1000000001</c:v>
                </c:pt>
                <c:pt idx="7">
                  <c:v>15240</c:v>
                </c:pt>
                <c:pt idx="8">
                  <c:v>15172.5</c:v>
                </c:pt>
                <c:pt idx="9">
                  <c:v>236381.2</c:v>
                </c:pt>
                <c:pt idx="10">
                  <c:v>360</c:v>
                </c:pt>
                <c:pt idx="11">
                  <c:v>360</c:v>
                </c:pt>
                <c:pt idx="12">
                  <c:v>600</c:v>
                </c:pt>
              </c:numCache>
            </c:numRef>
          </c:val>
          <c:extLst>
            <c:ext xmlns:c16="http://schemas.microsoft.com/office/drawing/2014/chart" uri="{C3380CC4-5D6E-409C-BE32-E72D297353CC}">
              <c16:uniqueId val="{00000005-2DC2-4682-BABF-37CA4FC04F05}"/>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DATA!$C$37</c:f>
              <c:strCache>
                <c:ptCount val="1"/>
                <c:pt idx="0">
                  <c:v>Batteies</c:v>
                </c:pt>
              </c:strCache>
            </c:strRef>
          </c:tx>
          <c:spPr>
            <a:solidFill>
              <a:schemeClr val="accent1"/>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DATA!$D$37:$P$37</c:f>
              <c:numCache>
                <c:formatCode>General</c:formatCode>
                <c:ptCount val="13"/>
                <c:pt idx="0">
                  <c:v>167666.4</c:v>
                </c:pt>
                <c:pt idx="1">
                  <c:v>149034.6</c:v>
                </c:pt>
                <c:pt idx="2">
                  <c:v>52153.200000000004</c:v>
                </c:pt>
                <c:pt idx="3">
                  <c:v>152658.00000000003</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947E-459F-A701-C5905AFE02F2}"/>
            </c:ext>
          </c:extLst>
        </c:ser>
        <c:ser>
          <c:idx val="1"/>
          <c:order val="1"/>
          <c:tx>
            <c:strRef>
              <c:f>DATA!$C$38</c:f>
              <c:strCache>
                <c:ptCount val="1"/>
                <c:pt idx="0">
                  <c:v>Sola Panel</c:v>
                </c:pt>
              </c:strCache>
            </c:strRef>
          </c:tx>
          <c:spPr>
            <a:solidFill>
              <a:schemeClr val="accent2"/>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DATA!$D$38:$P$38</c:f>
              <c:numCache>
                <c:formatCode>General</c:formatCode>
                <c:ptCount val="13"/>
                <c:pt idx="0">
                  <c:v>880248.6</c:v>
                </c:pt>
                <c:pt idx="1">
                  <c:v>782431.65</c:v>
                </c:pt>
                <c:pt idx="2">
                  <c:v>273804.3</c:v>
                </c:pt>
                <c:pt idx="3">
                  <c:v>801454.5</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947E-459F-A701-C5905AFE02F2}"/>
            </c:ext>
          </c:extLst>
        </c:ser>
        <c:ser>
          <c:idx val="2"/>
          <c:order val="2"/>
          <c:tx>
            <c:strRef>
              <c:f>DATA!$C$39</c:f>
              <c:strCache>
                <c:ptCount val="1"/>
                <c:pt idx="0">
                  <c:v>Commodity HW</c:v>
                </c:pt>
              </c:strCache>
            </c:strRef>
          </c:tx>
          <c:spPr>
            <a:solidFill>
              <a:schemeClr val="accent3"/>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DATA!$D$39:$P$39</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947E-459F-A701-C5905AFE02F2}"/>
            </c:ext>
          </c:extLst>
        </c:ser>
        <c:ser>
          <c:idx val="3"/>
          <c:order val="3"/>
          <c:tx>
            <c:strRef>
              <c:f>DATA!$C$40</c:f>
              <c:strCache>
                <c:ptCount val="1"/>
                <c:pt idx="0">
                  <c:v>Dedicated HW</c:v>
                </c:pt>
              </c:strCache>
            </c:strRef>
          </c:tx>
          <c:spPr>
            <a:solidFill>
              <a:schemeClr val="accent4"/>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DATA!$D$40:$P$40</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947E-459F-A701-C5905AFE02F2}"/>
            </c:ext>
          </c:extLst>
        </c:ser>
        <c:ser>
          <c:idx val="4"/>
          <c:order val="4"/>
          <c:tx>
            <c:strRef>
              <c:f>DATA!$C$41</c:f>
              <c:strCache>
                <c:ptCount val="1"/>
                <c:pt idx="0">
                  <c:v>UAV</c:v>
                </c:pt>
              </c:strCache>
            </c:strRef>
          </c:tx>
          <c:spPr>
            <a:solidFill>
              <a:schemeClr val="accent5"/>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DATA!$D$41:$P$41</c:f>
              <c:numCache>
                <c:formatCode>0.00</c:formatCode>
                <c:ptCount val="13"/>
                <c:pt idx="0">
                  <c:v>131465.70000000001</c:v>
                </c:pt>
                <c:pt idx="1">
                  <c:v>155808.9</c:v>
                </c:pt>
                <c:pt idx="2">
                  <c:v>81785.7</c:v>
                </c:pt>
                <c:pt idx="3">
                  <c:v>95758.2</c:v>
                </c:pt>
                <c:pt idx="4">
                  <c:v>46016.1</c:v>
                </c:pt>
                <c:pt idx="5">
                  <c:v>489658.5</c:v>
                </c:pt>
                <c:pt idx="6">
                  <c:v>150840.9</c:v>
                </c:pt>
                <c:pt idx="7">
                  <c:v>2670.3</c:v>
                </c:pt>
                <c:pt idx="8">
                  <c:v>1800.9</c:v>
                </c:pt>
                <c:pt idx="9">
                  <c:v>28255.5</c:v>
                </c:pt>
                <c:pt idx="10">
                  <c:v>62.1</c:v>
                </c:pt>
                <c:pt idx="11">
                  <c:v>62.1</c:v>
                </c:pt>
                <c:pt idx="12">
                  <c:v>124.2</c:v>
                </c:pt>
              </c:numCache>
            </c:numRef>
          </c:val>
          <c:extLst>
            <c:ext xmlns:c16="http://schemas.microsoft.com/office/drawing/2014/chart" uri="{C3380CC4-5D6E-409C-BE32-E72D297353CC}">
              <c16:uniqueId val="{00000004-947E-459F-A701-C5905AFE02F2}"/>
            </c:ext>
          </c:extLst>
        </c:ser>
        <c:ser>
          <c:idx val="5"/>
          <c:order val="5"/>
          <c:tx>
            <c:strRef>
              <c:f>DATA!$C$42</c:f>
              <c:strCache>
                <c:ptCount val="1"/>
                <c:pt idx="0">
                  <c:v>Site Acquisition</c:v>
                </c:pt>
              </c:strCache>
            </c:strRef>
          </c:tx>
          <c:spPr>
            <a:solidFill>
              <a:schemeClr val="accent6"/>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DATA!$D$42:$P$42</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5-947E-459F-A701-C5905AFE02F2}"/>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DATA!$D$113</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DATA!$C$114:$C$138</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DATA!$D$114:$D$138</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1-C793-48D0-9778-D3E41A3E13FE}"/>
            </c:ext>
          </c:extLst>
        </c:ser>
        <c:ser>
          <c:idx val="1"/>
          <c:order val="1"/>
          <c:tx>
            <c:strRef>
              <c:f>DATA!$E$113</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DATA!$C$114:$C$138</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DATA!$E$114:$E$138</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3-C793-48D0-9778-D3E41A3E13FE}"/>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a:extLst>
            <a:ext uri="{FF2B5EF4-FFF2-40B4-BE49-F238E27FC236}">
              <a16:creationId xmlns:a16="http://schemas.microsoft.com/office/drawing/2014/main" id="{C62C41C8-FBE9-48E1-8D6A-E59883D463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3" name="Chart 2">
          <a:extLst>
            <a:ext uri="{FF2B5EF4-FFF2-40B4-BE49-F238E27FC236}">
              <a16:creationId xmlns:a16="http://schemas.microsoft.com/office/drawing/2014/main" id="{E64EF10A-1B76-4845-93A4-C89658BA8C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4" name="Chart 3">
          <a:extLst>
            <a:ext uri="{FF2B5EF4-FFF2-40B4-BE49-F238E27FC236}">
              <a16:creationId xmlns:a16="http://schemas.microsoft.com/office/drawing/2014/main" id="{4B544C38-E1F1-40DF-A90A-2DE83E4B452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5"/>
  <sheetViews>
    <sheetView topLeftCell="A37" workbookViewId="0">
      <selection activeCell="M62" sqref="M62"/>
    </sheetView>
  </sheetViews>
  <sheetFormatPr defaultRowHeight="15"/>
  <cols>
    <col min="1" max="1" width="27.5703125" bestFit="1" customWidth="1"/>
    <col min="2" max="2" width="11.28515625" customWidth="1"/>
    <col min="3" max="3" width="17.5703125" customWidth="1"/>
    <col min="6" max="6" width="12" bestFit="1" customWidth="1"/>
    <col min="7" max="7" width="12.140625" customWidth="1"/>
    <col min="9" max="9" width="11.5703125" customWidth="1"/>
    <col min="10" max="10" width="8.7109375" bestFit="1" customWidth="1"/>
    <col min="11" max="12" width="9" bestFit="1" customWidth="1"/>
    <col min="13" max="13" width="8.7109375" bestFit="1" customWidth="1"/>
    <col min="14" max="16" width="9" bestFit="1" customWidth="1"/>
    <col min="21" max="21" width="16.7109375" customWidth="1"/>
    <col min="22" max="22" width="9" customWidth="1"/>
    <col min="23" max="23" width="81.28515625" customWidth="1"/>
    <col min="24" max="24" width="12.7109375" customWidth="1"/>
    <col min="25" max="25" width="11.5703125" customWidth="1"/>
  </cols>
  <sheetData>
    <row r="1" spans="1:25">
      <c r="A1" t="s">
        <v>1</v>
      </c>
      <c r="B1" s="1" t="s">
        <v>2</v>
      </c>
      <c r="C1" t="s">
        <v>3</v>
      </c>
      <c r="D1" t="s">
        <v>0</v>
      </c>
      <c r="F1" t="s">
        <v>4</v>
      </c>
    </row>
    <row r="2" spans="1:25">
      <c r="A2">
        <v>5000</v>
      </c>
      <c r="B2">
        <v>0.4</v>
      </c>
      <c r="C2">
        <v>10</v>
      </c>
      <c r="D2">
        <v>4300.8</v>
      </c>
      <c r="F2">
        <f>(A2*(B2+0.01)*C2)/D2</f>
        <v>4.7665550595238093</v>
      </c>
    </row>
    <row r="3" spans="1:25">
      <c r="D3">
        <v>12902.4</v>
      </c>
      <c r="F3">
        <f>(A2*(B2+0.01)*C2)/D3</f>
        <v>1.5888516865079365</v>
      </c>
    </row>
    <row r="7" spans="1:25" ht="15.75" thickBot="1"/>
    <row r="8" spans="1:25" ht="26.25" thickBot="1">
      <c r="A8" s="65" t="s">
        <v>75</v>
      </c>
      <c r="B8" s="66"/>
      <c r="C8" s="3" t="s">
        <v>5</v>
      </c>
      <c r="D8" s="66" t="s">
        <v>76</v>
      </c>
      <c r="E8" s="66"/>
      <c r="F8" s="66"/>
      <c r="G8" s="66"/>
      <c r="H8" s="66"/>
      <c r="I8" s="66"/>
      <c r="J8" s="66"/>
      <c r="K8" s="66"/>
      <c r="L8" s="66"/>
      <c r="M8" s="66"/>
      <c r="N8" s="66"/>
      <c r="O8" s="66"/>
      <c r="P8" s="67"/>
      <c r="U8" s="16" t="s">
        <v>77</v>
      </c>
      <c r="V8" s="3" t="s">
        <v>5</v>
      </c>
      <c r="W8" s="3" t="s">
        <v>78</v>
      </c>
      <c r="X8" s="3" t="s">
        <v>48</v>
      </c>
      <c r="Y8" s="17" t="s">
        <v>49</v>
      </c>
    </row>
    <row r="9" spans="1:25" ht="26.25" thickBot="1">
      <c r="A9" s="68"/>
      <c r="B9" s="69"/>
      <c r="C9" s="2"/>
      <c r="D9" s="4" t="s">
        <v>6</v>
      </c>
      <c r="E9" s="4" t="s">
        <v>7</v>
      </c>
      <c r="F9" s="4" t="s">
        <v>79</v>
      </c>
      <c r="G9" s="4" t="s">
        <v>80</v>
      </c>
      <c r="H9" s="4" t="s">
        <v>81</v>
      </c>
      <c r="I9" s="4" t="s">
        <v>8</v>
      </c>
      <c r="J9" s="4" t="s">
        <v>9</v>
      </c>
      <c r="K9" s="4" t="s">
        <v>10</v>
      </c>
      <c r="L9" s="4" t="s">
        <v>82</v>
      </c>
      <c r="M9" s="4" t="s">
        <v>11</v>
      </c>
      <c r="N9" s="4" t="s">
        <v>12</v>
      </c>
      <c r="O9" s="4" t="s">
        <v>13</v>
      </c>
      <c r="P9" s="5" t="s">
        <v>14</v>
      </c>
      <c r="U9" s="18" t="s">
        <v>50</v>
      </c>
      <c r="V9" s="12" t="s">
        <v>51</v>
      </c>
      <c r="W9" s="9" t="s">
        <v>83</v>
      </c>
      <c r="X9" s="4" t="s">
        <v>84</v>
      </c>
      <c r="Y9" s="5" t="s">
        <v>85</v>
      </c>
    </row>
    <row r="10" spans="1:25" ht="39" thickBot="1">
      <c r="A10" s="61" t="s">
        <v>15</v>
      </c>
      <c r="B10" s="62"/>
      <c r="C10" s="6" t="s">
        <v>16</v>
      </c>
      <c r="D10" s="7" t="s">
        <v>86</v>
      </c>
      <c r="E10" s="7" t="s">
        <v>86</v>
      </c>
      <c r="F10" s="7" t="s">
        <v>86</v>
      </c>
      <c r="G10" s="7" t="s">
        <v>86</v>
      </c>
      <c r="H10" s="7" t="s">
        <v>86</v>
      </c>
      <c r="I10" s="7" t="s">
        <v>17</v>
      </c>
      <c r="J10" s="7" t="s">
        <v>17</v>
      </c>
      <c r="K10" s="7" t="s">
        <v>17</v>
      </c>
      <c r="L10" s="7" t="s">
        <v>18</v>
      </c>
      <c r="M10" s="7" t="s">
        <v>17</v>
      </c>
      <c r="N10" s="7" t="s">
        <v>87</v>
      </c>
      <c r="O10" s="7" t="s">
        <v>87</v>
      </c>
      <c r="P10" s="8" t="s">
        <v>87</v>
      </c>
      <c r="U10" s="19" t="s">
        <v>88</v>
      </c>
      <c r="V10" s="11"/>
      <c r="W10" s="7" t="s">
        <v>89</v>
      </c>
      <c r="X10" s="15">
        <v>0.5</v>
      </c>
      <c r="Y10" s="20">
        <v>10</v>
      </c>
    </row>
    <row r="11" spans="1:25" ht="90" thickBot="1">
      <c r="A11" s="61" t="s">
        <v>90</v>
      </c>
      <c r="B11" s="62"/>
      <c r="C11" s="2" t="s">
        <v>16</v>
      </c>
      <c r="D11" s="9" t="s">
        <v>91</v>
      </c>
      <c r="E11" s="9" t="s">
        <v>91</v>
      </c>
      <c r="F11" s="9" t="s">
        <v>91</v>
      </c>
      <c r="G11" s="9" t="s">
        <v>92</v>
      </c>
      <c r="H11" s="9" t="s">
        <v>93</v>
      </c>
      <c r="I11" s="9" t="s">
        <v>94</v>
      </c>
      <c r="J11" s="9" t="s">
        <v>19</v>
      </c>
      <c r="K11" s="9" t="s">
        <v>95</v>
      </c>
      <c r="L11" s="9" t="s">
        <v>96</v>
      </c>
      <c r="M11" s="9" t="s">
        <v>97</v>
      </c>
      <c r="N11" s="9" t="s">
        <v>98</v>
      </c>
      <c r="O11" s="9" t="s">
        <v>99</v>
      </c>
      <c r="P11" s="10" t="s">
        <v>20</v>
      </c>
      <c r="U11" s="18" t="s">
        <v>52</v>
      </c>
      <c r="V11" s="12" t="s">
        <v>0</v>
      </c>
      <c r="W11" s="9" t="s">
        <v>100</v>
      </c>
      <c r="X11" s="4">
        <v>4300.8</v>
      </c>
      <c r="Y11" s="5">
        <v>12902.4</v>
      </c>
    </row>
    <row r="12" spans="1:25" ht="26.25" thickBot="1">
      <c r="A12" s="61" t="s">
        <v>101</v>
      </c>
      <c r="B12" s="62"/>
      <c r="C12" s="11" t="s">
        <v>21</v>
      </c>
      <c r="D12" s="29" t="s">
        <v>43</v>
      </c>
      <c r="E12" s="29" t="s">
        <v>44</v>
      </c>
      <c r="F12" s="29" t="s">
        <v>45</v>
      </c>
      <c r="G12" s="29" t="s">
        <v>46</v>
      </c>
      <c r="H12" s="29" t="s">
        <v>47</v>
      </c>
      <c r="I12" s="29">
        <v>200.03</v>
      </c>
      <c r="J12" s="29">
        <v>38.71</v>
      </c>
      <c r="K12" s="29">
        <v>6.61</v>
      </c>
      <c r="L12" s="29">
        <v>57.09</v>
      </c>
      <c r="M12" s="29">
        <v>11.23</v>
      </c>
      <c r="N12" s="29" t="s">
        <v>42</v>
      </c>
      <c r="O12" s="29" t="s">
        <v>42</v>
      </c>
      <c r="P12" s="30" t="s">
        <v>42</v>
      </c>
      <c r="U12" s="19" t="s">
        <v>102</v>
      </c>
      <c r="V12" s="11" t="s">
        <v>67</v>
      </c>
      <c r="W12" s="7" t="s">
        <v>103</v>
      </c>
      <c r="X12" s="15">
        <v>1.4</v>
      </c>
      <c r="Y12" s="20">
        <v>3.5</v>
      </c>
    </row>
    <row r="13" spans="1:25" ht="15.75" thickBot="1">
      <c r="A13" s="61" t="s">
        <v>104</v>
      </c>
      <c r="B13" s="62"/>
      <c r="C13" s="12" t="s">
        <v>22</v>
      </c>
      <c r="D13" s="31">
        <v>55</v>
      </c>
      <c r="E13" s="31">
        <v>51</v>
      </c>
      <c r="F13" s="31">
        <v>15</v>
      </c>
      <c r="G13" s="31">
        <v>22</v>
      </c>
      <c r="H13" s="31">
        <v>30</v>
      </c>
      <c r="I13" s="31" t="s">
        <v>39</v>
      </c>
      <c r="J13" s="31" t="s">
        <v>40</v>
      </c>
      <c r="K13" s="31" t="s">
        <v>41</v>
      </c>
      <c r="L13" s="31">
        <v>160</v>
      </c>
      <c r="M13" s="31">
        <v>6500</v>
      </c>
      <c r="N13" s="31" t="s">
        <v>42</v>
      </c>
      <c r="O13" s="31" t="s">
        <v>42</v>
      </c>
      <c r="P13" s="32" t="s">
        <v>42</v>
      </c>
      <c r="U13" s="18" t="s">
        <v>105</v>
      </c>
      <c r="V13" s="12" t="s">
        <v>68</v>
      </c>
      <c r="W13" s="9" t="s">
        <v>106</v>
      </c>
      <c r="X13" s="4">
        <v>0.28000000000000003</v>
      </c>
      <c r="Y13" s="5">
        <v>0.88</v>
      </c>
    </row>
    <row r="14" spans="1:25" ht="15.75" thickBot="1">
      <c r="A14" s="61" t="s">
        <v>107</v>
      </c>
      <c r="B14" s="62"/>
      <c r="C14" s="11" t="s">
        <v>3</v>
      </c>
      <c r="D14" s="63">
        <v>50</v>
      </c>
      <c r="E14" s="63"/>
      <c r="F14" s="63"/>
      <c r="G14" s="63"/>
      <c r="H14" s="63"/>
      <c r="I14" s="63">
        <v>100</v>
      </c>
      <c r="J14" s="63"/>
      <c r="K14" s="63">
        <v>50</v>
      </c>
      <c r="L14" s="63"/>
      <c r="M14" s="29">
        <v>100</v>
      </c>
      <c r="N14" s="63">
        <v>10</v>
      </c>
      <c r="O14" s="63"/>
      <c r="P14" s="64"/>
      <c r="U14" s="19" t="s">
        <v>108</v>
      </c>
      <c r="V14" s="11" t="s">
        <v>69</v>
      </c>
      <c r="W14" s="7" t="s">
        <v>109</v>
      </c>
      <c r="X14" s="53">
        <v>2.2000000000000002</v>
      </c>
      <c r="Y14" s="54"/>
    </row>
    <row r="15" spans="1:25" ht="26.25" thickBot="1">
      <c r="A15" s="61" t="s">
        <v>110</v>
      </c>
      <c r="B15" s="62"/>
      <c r="C15" s="12" t="s">
        <v>33</v>
      </c>
      <c r="D15" s="31" t="s">
        <v>23</v>
      </c>
      <c r="E15" s="31" t="s">
        <v>24</v>
      </c>
      <c r="F15" s="31" t="s">
        <v>25</v>
      </c>
      <c r="G15" s="31" t="s">
        <v>26</v>
      </c>
      <c r="H15" s="31">
        <v>382086</v>
      </c>
      <c r="I15" s="31" t="s">
        <v>27</v>
      </c>
      <c r="J15" s="31" t="s">
        <v>28</v>
      </c>
      <c r="K15" s="31" t="s">
        <v>29</v>
      </c>
      <c r="L15" s="31">
        <v>9093</v>
      </c>
      <c r="M15" s="31">
        <v>73295</v>
      </c>
      <c r="N15" s="31">
        <v>3000</v>
      </c>
      <c r="O15" s="31">
        <v>3500</v>
      </c>
      <c r="P15" s="32">
        <v>5000</v>
      </c>
      <c r="U15" s="18" t="s">
        <v>111</v>
      </c>
      <c r="V15" s="12" t="s">
        <v>70</v>
      </c>
      <c r="W15" s="9" t="s">
        <v>112</v>
      </c>
      <c r="X15" s="53">
        <v>11.55</v>
      </c>
      <c r="Y15" s="54"/>
    </row>
    <row r="16" spans="1:25" ht="26.25" thickBot="1">
      <c r="A16" s="61" t="s">
        <v>113</v>
      </c>
      <c r="B16" s="62"/>
      <c r="C16" s="11" t="s">
        <v>2</v>
      </c>
      <c r="D16" s="63">
        <v>0.5</v>
      </c>
      <c r="E16" s="63"/>
      <c r="F16" s="63"/>
      <c r="G16" s="63"/>
      <c r="H16" s="63"/>
      <c r="I16" s="63">
        <v>0.8</v>
      </c>
      <c r="J16" s="63"/>
      <c r="K16" s="63">
        <v>0.75</v>
      </c>
      <c r="L16" s="63"/>
      <c r="M16" s="29">
        <v>0.8</v>
      </c>
      <c r="N16" s="63">
        <v>0.3</v>
      </c>
      <c r="O16" s="63"/>
      <c r="P16" s="30">
        <v>0.4</v>
      </c>
      <c r="U16" s="19" t="s">
        <v>57</v>
      </c>
      <c r="V16" s="11" t="s">
        <v>71</v>
      </c>
      <c r="W16" s="7" t="s">
        <v>114</v>
      </c>
      <c r="X16" s="15">
        <v>144.4</v>
      </c>
      <c r="Y16" s="20">
        <v>433</v>
      </c>
    </row>
    <row r="17" spans="1:25" ht="15.75" thickBot="1">
      <c r="A17" s="61" t="s">
        <v>115</v>
      </c>
      <c r="B17" s="62"/>
      <c r="C17" s="12" t="s">
        <v>34</v>
      </c>
      <c r="D17" s="63">
        <v>2.89</v>
      </c>
      <c r="E17" s="63"/>
      <c r="F17" s="63"/>
      <c r="G17" s="63"/>
      <c r="H17" s="63"/>
      <c r="I17" s="63"/>
      <c r="J17" s="63"/>
      <c r="K17" s="63"/>
      <c r="L17" s="63"/>
      <c r="M17" s="31">
        <v>0</v>
      </c>
      <c r="N17" s="31">
        <v>0</v>
      </c>
      <c r="O17" s="31">
        <v>0</v>
      </c>
      <c r="P17" s="32">
        <v>0</v>
      </c>
      <c r="U17" s="18" t="s">
        <v>59</v>
      </c>
      <c r="V17" s="12" t="s">
        <v>72</v>
      </c>
      <c r="W17" s="9" t="s">
        <v>116</v>
      </c>
      <c r="X17" s="4">
        <v>144.4</v>
      </c>
      <c r="Y17" s="5">
        <v>938.2</v>
      </c>
    </row>
    <row r="18" spans="1:25" ht="15.75" thickBot="1">
      <c r="A18" s="57" t="s">
        <v>117</v>
      </c>
      <c r="B18" s="13" t="s">
        <v>30</v>
      </c>
      <c r="C18" s="59" t="s">
        <v>35</v>
      </c>
      <c r="D18" s="29">
        <v>6.5</v>
      </c>
      <c r="E18" s="29">
        <v>5.5</v>
      </c>
      <c r="F18" s="29">
        <v>6.1</v>
      </c>
      <c r="G18" s="29">
        <v>5.8</v>
      </c>
      <c r="H18" s="29">
        <v>5.0999999999999996</v>
      </c>
      <c r="I18" s="29">
        <v>4.8</v>
      </c>
      <c r="J18" s="29">
        <v>4.5999999999999996</v>
      </c>
      <c r="K18" s="29">
        <v>2.6</v>
      </c>
      <c r="L18" s="29">
        <v>3.2</v>
      </c>
      <c r="M18" s="29">
        <v>3.4</v>
      </c>
      <c r="N18" s="29">
        <v>1.8</v>
      </c>
      <c r="O18" s="29">
        <v>1.9</v>
      </c>
      <c r="P18" s="30">
        <v>2.1</v>
      </c>
      <c r="U18" s="19" t="s">
        <v>61</v>
      </c>
      <c r="V18" s="11" t="s">
        <v>73</v>
      </c>
      <c r="W18" s="7" t="s">
        <v>118</v>
      </c>
      <c r="X18" s="15">
        <v>62.1</v>
      </c>
      <c r="Y18" s="20" t="s">
        <v>16</v>
      </c>
    </row>
    <row r="19" spans="1:25" ht="39" thickBot="1">
      <c r="A19" s="58"/>
      <c r="B19" s="14" t="s">
        <v>31</v>
      </c>
      <c r="C19" s="60"/>
      <c r="D19" s="31">
        <v>13.7</v>
      </c>
      <c r="E19" s="31">
        <v>13.6</v>
      </c>
      <c r="F19" s="31">
        <v>12.5</v>
      </c>
      <c r="G19" s="31">
        <v>11.7</v>
      </c>
      <c r="H19" s="31">
        <v>13</v>
      </c>
      <c r="I19" s="31">
        <v>12.8</v>
      </c>
      <c r="J19" s="31">
        <v>12.5</v>
      </c>
      <c r="K19" s="31">
        <v>11.7</v>
      </c>
      <c r="L19" s="31">
        <v>12.8</v>
      </c>
      <c r="M19" s="31">
        <v>11.2</v>
      </c>
      <c r="N19" s="31">
        <v>11.2</v>
      </c>
      <c r="O19" s="31">
        <v>11.5</v>
      </c>
      <c r="P19" s="32">
        <v>11.2</v>
      </c>
      <c r="U19" s="18" t="s">
        <v>63</v>
      </c>
      <c r="V19" s="12" t="s">
        <v>38</v>
      </c>
      <c r="W19" s="9" t="s">
        <v>119</v>
      </c>
      <c r="X19" s="55"/>
      <c r="Y19" s="56"/>
    </row>
    <row r="20" spans="1:25" ht="26.25" thickBot="1">
      <c r="A20" s="57" t="s">
        <v>120</v>
      </c>
      <c r="B20" s="13" t="s">
        <v>30</v>
      </c>
      <c r="C20" s="59" t="s">
        <v>36</v>
      </c>
      <c r="D20" s="29">
        <v>24</v>
      </c>
      <c r="E20" s="29">
        <v>18</v>
      </c>
      <c r="F20" s="29">
        <v>12</v>
      </c>
      <c r="G20" s="29">
        <v>30</v>
      </c>
      <c r="H20" s="29">
        <v>15</v>
      </c>
      <c r="I20" s="29">
        <v>0</v>
      </c>
      <c r="J20" s="29">
        <v>6</v>
      </c>
      <c r="K20" s="29">
        <v>5</v>
      </c>
      <c r="L20" s="29">
        <v>0</v>
      </c>
      <c r="M20" s="29">
        <v>5</v>
      </c>
      <c r="N20" s="29">
        <v>3</v>
      </c>
      <c r="O20" s="29">
        <v>10</v>
      </c>
      <c r="P20" s="30">
        <v>7</v>
      </c>
      <c r="U20" s="21" t="s">
        <v>65</v>
      </c>
      <c r="V20" s="22" t="s">
        <v>74</v>
      </c>
      <c r="W20" s="23" t="s">
        <v>121</v>
      </c>
      <c r="X20" s="24">
        <v>5.0999999999999996</v>
      </c>
      <c r="Y20" s="25">
        <v>7.65</v>
      </c>
    </row>
    <row r="21" spans="1:25" ht="15.75" thickBot="1">
      <c r="A21" s="58"/>
      <c r="B21" s="14" t="s">
        <v>31</v>
      </c>
      <c r="C21" s="60"/>
      <c r="D21" s="31">
        <v>36</v>
      </c>
      <c r="E21" s="31">
        <v>27</v>
      </c>
      <c r="F21" s="31">
        <v>18</v>
      </c>
      <c r="G21" s="31">
        <v>45</v>
      </c>
      <c r="H21" s="31">
        <v>24</v>
      </c>
      <c r="I21" s="31">
        <v>5</v>
      </c>
      <c r="J21" s="31">
        <v>13</v>
      </c>
      <c r="K21" s="31">
        <v>10</v>
      </c>
      <c r="L21" s="31">
        <v>2</v>
      </c>
      <c r="M21" s="31">
        <v>10</v>
      </c>
      <c r="N21" s="31">
        <v>7</v>
      </c>
      <c r="O21" s="31">
        <v>17</v>
      </c>
      <c r="P21" s="32">
        <v>11</v>
      </c>
      <c r="U21" s="26"/>
      <c r="V21" s="26"/>
      <c r="W21" s="26"/>
      <c r="X21" s="26"/>
      <c r="Y21" s="26"/>
    </row>
    <row r="22" spans="1:25" ht="15.75" thickBot="1">
      <c r="A22" s="57" t="s">
        <v>122</v>
      </c>
      <c r="B22" s="13" t="s">
        <v>30</v>
      </c>
      <c r="C22" s="59" t="s">
        <v>37</v>
      </c>
      <c r="D22" s="29" t="e">
        <f>(D15*D16)</f>
        <v>#VALUE!</v>
      </c>
      <c r="E22" s="29">
        <v>9032</v>
      </c>
      <c r="F22" s="29">
        <v>4739</v>
      </c>
      <c r="G22" s="29">
        <v>5549</v>
      </c>
      <c r="H22" s="29">
        <v>2666</v>
      </c>
      <c r="I22" s="29">
        <v>23950</v>
      </c>
      <c r="J22" s="29">
        <v>7379</v>
      </c>
      <c r="K22" s="29">
        <v>128</v>
      </c>
      <c r="L22" s="29">
        <v>81</v>
      </c>
      <c r="M22" s="29">
        <v>1381</v>
      </c>
      <c r="N22" s="29">
        <v>3</v>
      </c>
      <c r="O22" s="29">
        <v>3</v>
      </c>
      <c r="P22" s="30">
        <v>5</v>
      </c>
    </row>
    <row r="23" spans="1:25" ht="15.75" thickBot="1">
      <c r="A23" s="58"/>
      <c r="B23" s="14" t="s">
        <v>31</v>
      </c>
      <c r="C23" s="60"/>
      <c r="D23" s="31">
        <v>2540</v>
      </c>
      <c r="E23" s="31">
        <v>3011</v>
      </c>
      <c r="F23" s="31">
        <v>1580</v>
      </c>
      <c r="G23" s="31">
        <v>1850</v>
      </c>
      <c r="H23" s="31">
        <v>889</v>
      </c>
      <c r="I23" s="31">
        <v>7984</v>
      </c>
      <c r="J23" s="31">
        <v>2460</v>
      </c>
      <c r="K23" s="31">
        <v>43</v>
      </c>
      <c r="L23" s="31">
        <v>27</v>
      </c>
      <c r="M23" s="31">
        <v>461</v>
      </c>
      <c r="N23" s="31">
        <v>1</v>
      </c>
      <c r="O23" s="31">
        <v>1</v>
      </c>
      <c r="P23" s="32">
        <v>2</v>
      </c>
    </row>
    <row r="24" spans="1:25" ht="15.75" thickBot="1">
      <c r="A24" s="57" t="s">
        <v>32</v>
      </c>
      <c r="B24" s="13" t="s">
        <v>30</v>
      </c>
      <c r="C24" s="59" t="s">
        <v>38</v>
      </c>
      <c r="D24" s="63">
        <v>577.29999999999995</v>
      </c>
      <c r="E24" s="63"/>
      <c r="F24" s="63"/>
      <c r="G24" s="63"/>
      <c r="H24" s="63"/>
      <c r="I24" s="29">
        <v>173.3</v>
      </c>
      <c r="J24" s="29">
        <v>173.3</v>
      </c>
      <c r="K24" s="29">
        <v>120</v>
      </c>
      <c r="L24" s="29">
        <v>178.5</v>
      </c>
      <c r="M24" s="29">
        <v>173.3</v>
      </c>
      <c r="N24" s="29">
        <v>120</v>
      </c>
      <c r="O24" s="29">
        <v>120</v>
      </c>
      <c r="P24" s="30">
        <v>120</v>
      </c>
    </row>
    <row r="25" spans="1:25" ht="15.75" thickBot="1">
      <c r="A25" s="58"/>
      <c r="B25" s="14" t="s">
        <v>31</v>
      </c>
      <c r="C25" s="60"/>
      <c r="D25" s="63">
        <v>1732</v>
      </c>
      <c r="E25" s="63"/>
      <c r="F25" s="63"/>
      <c r="G25" s="63"/>
      <c r="H25" s="63"/>
      <c r="I25" s="31">
        <v>519.6</v>
      </c>
      <c r="J25" s="31">
        <v>519.6</v>
      </c>
      <c r="K25" s="31">
        <v>480.8</v>
      </c>
      <c r="L25" s="31">
        <v>511</v>
      </c>
      <c r="M25" s="31">
        <v>519.6</v>
      </c>
      <c r="N25" s="31">
        <v>480.8</v>
      </c>
      <c r="O25" s="31">
        <v>480.8</v>
      </c>
      <c r="P25" s="32">
        <v>480.8</v>
      </c>
    </row>
    <row r="26" spans="1:25">
      <c r="G26" t="s">
        <v>129</v>
      </c>
    </row>
    <row r="30" spans="1:25" ht="15.75" thickBot="1"/>
    <row r="31" spans="1:25" ht="15.75" thickBot="1">
      <c r="C31" s="3" t="s">
        <v>5</v>
      </c>
      <c r="D31" s="27" t="s">
        <v>76</v>
      </c>
      <c r="E31" s="27"/>
      <c r="F31" s="27"/>
      <c r="G31" s="27"/>
      <c r="H31" s="27"/>
      <c r="I31" s="27"/>
      <c r="J31" s="27"/>
      <c r="K31" s="27"/>
      <c r="L31" s="27"/>
      <c r="M31" s="27"/>
      <c r="N31" s="27"/>
      <c r="O31" s="27"/>
      <c r="P31" s="28"/>
    </row>
    <row r="32" spans="1:25" ht="26.25" thickBot="1">
      <c r="C32" s="2"/>
      <c r="D32" s="4" t="s">
        <v>6</v>
      </c>
      <c r="E32" s="4" t="s">
        <v>7</v>
      </c>
      <c r="F32" s="4" t="s">
        <v>79</v>
      </c>
      <c r="G32" s="4" t="s">
        <v>80</v>
      </c>
      <c r="H32" s="4" t="s">
        <v>81</v>
      </c>
      <c r="I32" s="4" t="s">
        <v>8</v>
      </c>
      <c r="J32" s="4" t="s">
        <v>9</v>
      </c>
      <c r="K32" s="4" t="s">
        <v>10</v>
      </c>
      <c r="L32" s="4" t="s">
        <v>82</v>
      </c>
      <c r="M32" s="4" t="s">
        <v>11</v>
      </c>
      <c r="N32" s="4" t="s">
        <v>12</v>
      </c>
      <c r="O32" s="4" t="s">
        <v>13</v>
      </c>
      <c r="P32" s="5" t="s">
        <v>14</v>
      </c>
    </row>
    <row r="33" spans="3:20" ht="26.25" customHeight="1">
      <c r="C33" t="s">
        <v>123</v>
      </c>
      <c r="D33">
        <f>(D20+D21)*X14</f>
        <v>132</v>
      </c>
      <c r="E33">
        <f>(E20+E21)*X14</f>
        <v>99.000000000000014</v>
      </c>
      <c r="F33">
        <f>(F20+F21)*X14</f>
        <v>66</v>
      </c>
      <c r="G33">
        <f>(G20+G21)*X14</f>
        <v>165</v>
      </c>
      <c r="H33">
        <f>(H20+H21)*X14</f>
        <v>85.800000000000011</v>
      </c>
      <c r="I33">
        <f>(I20+I21)*X14</f>
        <v>11</v>
      </c>
      <c r="J33">
        <f>(J20+J21)*X14</f>
        <v>41.800000000000004</v>
      </c>
      <c r="K33">
        <f>(K20+K21)*X14</f>
        <v>33</v>
      </c>
      <c r="L33">
        <f>(L20+L21)*X14</f>
        <v>4.4000000000000004</v>
      </c>
      <c r="M33">
        <f>(M20+M21)*X14</f>
        <v>33</v>
      </c>
      <c r="N33">
        <f>(N20+N21)*X14</f>
        <v>22</v>
      </c>
      <c r="O33">
        <f>(O20+O21)*X14</f>
        <v>59.400000000000006</v>
      </c>
      <c r="P33">
        <f>(P20+P21)*X14</f>
        <v>39.6</v>
      </c>
    </row>
    <row r="34" spans="3:20">
      <c r="C34" t="s">
        <v>124</v>
      </c>
      <c r="D34">
        <f>(D18+D19)*X15</f>
        <v>233.31</v>
      </c>
      <c r="E34">
        <f>(E18+E19)*X15</f>
        <v>220.60500000000002</v>
      </c>
      <c r="F34">
        <f>(F18+F19)*X15</f>
        <v>214.83000000000004</v>
      </c>
      <c r="G34">
        <f>(G18+G19)*X15</f>
        <v>202.125</v>
      </c>
      <c r="H34">
        <f>(H18+H19)*X15</f>
        <v>209.05500000000004</v>
      </c>
      <c r="I34">
        <f>(I18+I19)*X15</f>
        <v>203.28000000000003</v>
      </c>
      <c r="J34">
        <f>(J18+J19)*X15</f>
        <v>197.50500000000002</v>
      </c>
      <c r="K34">
        <f>(K18+K19)*X15</f>
        <v>165.16499999999999</v>
      </c>
      <c r="L34">
        <f>(L18+L19)*X15</f>
        <v>184.8</v>
      </c>
      <c r="M34">
        <f>(M18+M19)*X15</f>
        <v>168.63</v>
      </c>
      <c r="N34">
        <f>(N18+N19)*X15</f>
        <v>150.15</v>
      </c>
      <c r="O34">
        <f>(O18+O19)*X15</f>
        <v>154.77000000000001</v>
      </c>
      <c r="P34">
        <f>(P18+P19)*X15</f>
        <v>153.61500000000001</v>
      </c>
    </row>
    <row r="35" spans="3:20">
      <c r="C35" t="s">
        <v>125</v>
      </c>
    </row>
    <row r="36" spans="3:20">
      <c r="C36" t="s">
        <v>126</v>
      </c>
    </row>
    <row r="37" spans="3:20">
      <c r="C37" t="s">
        <v>127</v>
      </c>
    </row>
    <row r="38" spans="3:20">
      <c r="C38" t="s">
        <v>128</v>
      </c>
    </row>
    <row r="39" spans="3:20" ht="15.75" thickBot="1"/>
    <row r="40" spans="3:20" ht="15.75" thickBot="1">
      <c r="C40" s="74" t="s">
        <v>152</v>
      </c>
      <c r="D40" s="75"/>
      <c r="E40" s="77" t="s">
        <v>15</v>
      </c>
      <c r="F40" s="77" t="s">
        <v>160</v>
      </c>
      <c r="G40" s="77" t="s">
        <v>170</v>
      </c>
      <c r="H40" s="77" t="s">
        <v>182</v>
      </c>
      <c r="I40" s="77" t="s">
        <v>194</v>
      </c>
      <c r="J40" s="77" t="s">
        <v>198</v>
      </c>
      <c r="K40" s="77" t="s">
        <v>203</v>
      </c>
      <c r="L40" s="77" t="s">
        <v>204</v>
      </c>
      <c r="M40" s="79" t="s">
        <v>209</v>
      </c>
      <c r="N40" s="80"/>
      <c r="O40" s="79" t="s">
        <v>232</v>
      </c>
      <c r="P40" s="80"/>
      <c r="Q40" s="79" t="s">
        <v>252</v>
      </c>
      <c r="R40" s="80"/>
      <c r="S40" s="79" t="s">
        <v>32</v>
      </c>
      <c r="T40" s="80"/>
    </row>
    <row r="41" spans="3:20" ht="18.75" thickBot="1">
      <c r="C41" s="70"/>
      <c r="D41" s="76"/>
      <c r="E41" s="78"/>
      <c r="F41" s="78"/>
      <c r="G41" s="78"/>
      <c r="H41" s="78"/>
      <c r="I41" s="78"/>
      <c r="J41" s="78"/>
      <c r="K41" s="78"/>
      <c r="L41" s="78"/>
      <c r="M41" s="49" t="s">
        <v>30</v>
      </c>
      <c r="N41" s="50" t="s">
        <v>31</v>
      </c>
      <c r="O41" s="49" t="s">
        <v>30</v>
      </c>
      <c r="P41" s="50" t="s">
        <v>31</v>
      </c>
      <c r="Q41" s="49" t="s">
        <v>30</v>
      </c>
      <c r="R41" s="50" t="s">
        <v>31</v>
      </c>
      <c r="S41" s="49" t="s">
        <v>30</v>
      </c>
      <c r="T41" s="50" t="s">
        <v>31</v>
      </c>
    </row>
    <row r="42" spans="3:20" ht="15.75" thickBot="1">
      <c r="C42" s="37" t="s">
        <v>5</v>
      </c>
      <c r="D42" s="38"/>
      <c r="E42" s="41" t="s">
        <v>16</v>
      </c>
      <c r="F42" s="38" t="s">
        <v>16</v>
      </c>
      <c r="G42" s="46" t="s">
        <v>21</v>
      </c>
      <c r="H42" s="47" t="s">
        <v>22</v>
      </c>
      <c r="I42" s="46" t="s">
        <v>3</v>
      </c>
      <c r="J42" s="47" t="s">
        <v>199</v>
      </c>
      <c r="K42" s="46" t="s">
        <v>2</v>
      </c>
      <c r="L42" s="47" t="s">
        <v>205</v>
      </c>
      <c r="M42" s="81" t="s">
        <v>210</v>
      </c>
      <c r="N42" s="82"/>
      <c r="O42" s="81" t="s">
        <v>233</v>
      </c>
      <c r="P42" s="82"/>
      <c r="Q42" s="81" t="s">
        <v>253</v>
      </c>
      <c r="R42" s="82"/>
      <c r="S42" s="81" t="s">
        <v>254</v>
      </c>
      <c r="T42" s="82"/>
    </row>
    <row r="43" spans="3:20" ht="36.75" thickBot="1">
      <c r="C43" s="70" t="s">
        <v>153</v>
      </c>
      <c r="D43" s="39" t="s">
        <v>6</v>
      </c>
      <c r="E43" s="42" t="s">
        <v>158</v>
      </c>
      <c r="F43" s="44" t="s">
        <v>161</v>
      </c>
      <c r="G43" s="42" t="s">
        <v>171</v>
      </c>
      <c r="H43" s="44" t="s">
        <v>183</v>
      </c>
      <c r="I43" s="72" t="s">
        <v>195</v>
      </c>
      <c r="J43" s="44" t="s">
        <v>23</v>
      </c>
      <c r="K43" s="72">
        <v>0.5</v>
      </c>
      <c r="L43" s="72" t="s">
        <v>206</v>
      </c>
      <c r="M43" s="42" t="s">
        <v>211</v>
      </c>
      <c r="N43" s="44" t="s">
        <v>224</v>
      </c>
      <c r="O43" s="42" t="s">
        <v>234</v>
      </c>
      <c r="P43" s="44" t="s">
        <v>245</v>
      </c>
      <c r="Q43" s="51">
        <v>6351</v>
      </c>
      <c r="R43" s="39">
        <v>2117</v>
      </c>
      <c r="S43" s="72" t="s">
        <v>255</v>
      </c>
      <c r="T43" s="72" t="s">
        <v>260</v>
      </c>
    </row>
    <row r="44" spans="3:20" ht="36.75" thickBot="1">
      <c r="C44" s="70"/>
      <c r="D44" s="39" t="s">
        <v>7</v>
      </c>
      <c r="E44" s="42" t="s">
        <v>158</v>
      </c>
      <c r="F44" s="44" t="s">
        <v>161</v>
      </c>
      <c r="G44" s="42" t="s">
        <v>172</v>
      </c>
      <c r="H44" s="44" t="s">
        <v>184</v>
      </c>
      <c r="I44" s="72"/>
      <c r="J44" s="44" t="s">
        <v>24</v>
      </c>
      <c r="K44" s="72"/>
      <c r="L44" s="72"/>
      <c r="M44" s="42" t="s">
        <v>212</v>
      </c>
      <c r="N44" s="44" t="s">
        <v>225</v>
      </c>
      <c r="O44" s="42" t="s">
        <v>235</v>
      </c>
      <c r="P44" s="44" t="s">
        <v>246</v>
      </c>
      <c r="Q44" s="51">
        <v>7527</v>
      </c>
      <c r="R44" s="39">
        <v>2509</v>
      </c>
      <c r="S44" s="72"/>
      <c r="T44" s="72"/>
    </row>
    <row r="45" spans="3:20" ht="36.75" thickBot="1">
      <c r="C45" s="70"/>
      <c r="D45" s="39" t="s">
        <v>154</v>
      </c>
      <c r="E45" s="42" t="s">
        <v>158</v>
      </c>
      <c r="F45" s="44" t="s">
        <v>161</v>
      </c>
      <c r="G45" s="42" t="s">
        <v>173</v>
      </c>
      <c r="H45" s="44" t="s">
        <v>185</v>
      </c>
      <c r="I45" s="72"/>
      <c r="J45" s="44" t="s">
        <v>25</v>
      </c>
      <c r="K45" s="72"/>
      <c r="L45" s="72"/>
      <c r="M45" s="42" t="s">
        <v>213</v>
      </c>
      <c r="N45" s="44" t="s">
        <v>226</v>
      </c>
      <c r="O45" s="42" t="s">
        <v>236</v>
      </c>
      <c r="P45" s="44" t="s">
        <v>235</v>
      </c>
      <c r="Q45" s="51">
        <v>3949</v>
      </c>
      <c r="R45" s="39">
        <v>1317</v>
      </c>
      <c r="S45" s="72"/>
      <c r="T45" s="72"/>
    </row>
    <row r="46" spans="3:20" ht="36.75" thickBot="1">
      <c r="C46" s="70"/>
      <c r="D46" s="39" t="s">
        <v>155</v>
      </c>
      <c r="E46" s="42" t="s">
        <v>158</v>
      </c>
      <c r="F46" s="44" t="s">
        <v>162</v>
      </c>
      <c r="G46" s="42" t="s">
        <v>174</v>
      </c>
      <c r="H46" s="44" t="s">
        <v>186</v>
      </c>
      <c r="I46" s="72"/>
      <c r="J46" s="44" t="s">
        <v>26</v>
      </c>
      <c r="K46" s="72"/>
      <c r="L46" s="72"/>
      <c r="M46" s="42" t="s">
        <v>214</v>
      </c>
      <c r="N46" s="44" t="s">
        <v>227</v>
      </c>
      <c r="O46" s="42" t="s">
        <v>237</v>
      </c>
      <c r="P46" s="44" t="s">
        <v>247</v>
      </c>
      <c r="Q46" s="51">
        <v>4624</v>
      </c>
      <c r="R46" s="39">
        <v>1542</v>
      </c>
      <c r="S46" s="72"/>
      <c r="T46" s="72"/>
    </row>
    <row r="47" spans="3:20" ht="36.75" thickBot="1">
      <c r="C47" s="70"/>
      <c r="D47" s="39" t="s">
        <v>156</v>
      </c>
      <c r="E47" s="42" t="s">
        <v>158</v>
      </c>
      <c r="F47" s="44" t="s">
        <v>163</v>
      </c>
      <c r="G47" s="42" t="s">
        <v>175</v>
      </c>
      <c r="H47" s="44" t="s">
        <v>187</v>
      </c>
      <c r="I47" s="72"/>
      <c r="J47" s="48">
        <v>382086</v>
      </c>
      <c r="K47" s="72"/>
      <c r="L47" s="72"/>
      <c r="M47" s="42" t="s">
        <v>215</v>
      </c>
      <c r="N47" s="44" t="s">
        <v>228</v>
      </c>
      <c r="O47" s="42" t="s">
        <v>238</v>
      </c>
      <c r="P47" s="44" t="s">
        <v>234</v>
      </c>
      <c r="Q47" s="51">
        <v>2222</v>
      </c>
      <c r="R47" s="39">
        <v>741</v>
      </c>
      <c r="S47" s="72"/>
      <c r="T47" s="72"/>
    </row>
    <row r="48" spans="3:20" ht="18.75" thickBot="1">
      <c r="C48" s="70"/>
      <c r="D48" s="39" t="s">
        <v>8</v>
      </c>
      <c r="E48" s="42" t="s">
        <v>17</v>
      </c>
      <c r="F48" s="44" t="s">
        <v>164</v>
      </c>
      <c r="G48" s="42" t="s">
        <v>176</v>
      </c>
      <c r="H48" s="44" t="s">
        <v>188</v>
      </c>
      <c r="I48" s="72" t="s">
        <v>196</v>
      </c>
      <c r="J48" s="44" t="s">
        <v>27</v>
      </c>
      <c r="K48" s="72">
        <v>0.8</v>
      </c>
      <c r="L48" s="72"/>
      <c r="M48" s="42" t="s">
        <v>216</v>
      </c>
      <c r="N48" s="44" t="s">
        <v>229</v>
      </c>
      <c r="O48" s="42" t="s">
        <v>239</v>
      </c>
      <c r="P48" s="44" t="s">
        <v>241</v>
      </c>
      <c r="Q48" s="51">
        <v>23654</v>
      </c>
      <c r="R48" s="39">
        <v>7885</v>
      </c>
      <c r="S48" s="42" t="s">
        <v>256</v>
      </c>
      <c r="T48" s="44" t="s">
        <v>261</v>
      </c>
    </row>
    <row r="49" spans="3:20" ht="18.75" thickBot="1">
      <c r="C49" s="70"/>
      <c r="D49" s="39" t="s">
        <v>9</v>
      </c>
      <c r="E49" s="42" t="s">
        <v>17</v>
      </c>
      <c r="F49" s="44" t="s">
        <v>19</v>
      </c>
      <c r="G49" s="42" t="s">
        <v>177</v>
      </c>
      <c r="H49" s="44" t="s">
        <v>189</v>
      </c>
      <c r="I49" s="72"/>
      <c r="J49" s="44" t="s">
        <v>28</v>
      </c>
      <c r="K49" s="72"/>
      <c r="L49" s="72"/>
      <c r="M49" s="42" t="s">
        <v>217</v>
      </c>
      <c r="N49" s="44" t="s">
        <v>226</v>
      </c>
      <c r="O49" s="42" t="s">
        <v>240</v>
      </c>
      <c r="P49" s="44" t="s">
        <v>248</v>
      </c>
      <c r="Q49" s="51">
        <v>7287</v>
      </c>
      <c r="R49" s="39">
        <v>2429</v>
      </c>
      <c r="S49" s="42" t="s">
        <v>256</v>
      </c>
      <c r="T49" s="44" t="s">
        <v>261</v>
      </c>
    </row>
    <row r="50" spans="3:20" ht="27.75" thickBot="1">
      <c r="C50" s="70"/>
      <c r="D50" s="39" t="s">
        <v>10</v>
      </c>
      <c r="E50" s="42" t="s">
        <v>17</v>
      </c>
      <c r="F50" s="44" t="s">
        <v>165</v>
      </c>
      <c r="G50" s="42" t="s">
        <v>178</v>
      </c>
      <c r="H50" s="44" t="s">
        <v>190</v>
      </c>
      <c r="I50" s="72" t="s">
        <v>195</v>
      </c>
      <c r="J50" s="44" t="s">
        <v>29</v>
      </c>
      <c r="K50" s="72">
        <v>0.75</v>
      </c>
      <c r="L50" s="72"/>
      <c r="M50" s="42" t="s">
        <v>218</v>
      </c>
      <c r="N50" s="44" t="s">
        <v>227</v>
      </c>
      <c r="O50" s="42" t="s">
        <v>241</v>
      </c>
      <c r="P50" s="44" t="s">
        <v>243</v>
      </c>
      <c r="Q50" s="51">
        <v>127</v>
      </c>
      <c r="R50" s="39">
        <v>43</v>
      </c>
      <c r="S50" s="42" t="s">
        <v>257</v>
      </c>
      <c r="T50" s="44" t="s">
        <v>262</v>
      </c>
    </row>
    <row r="51" spans="3:20" ht="27.75" thickBot="1">
      <c r="C51" s="70"/>
      <c r="D51" s="39" t="s">
        <v>157</v>
      </c>
      <c r="E51" s="42" t="s">
        <v>18</v>
      </c>
      <c r="F51" s="44" t="s">
        <v>166</v>
      </c>
      <c r="G51" s="42" t="s">
        <v>179</v>
      </c>
      <c r="H51" s="44" t="s">
        <v>191</v>
      </c>
      <c r="I51" s="72"/>
      <c r="J51" s="48">
        <v>9093</v>
      </c>
      <c r="K51" s="72"/>
      <c r="L51" s="72"/>
      <c r="M51" s="42" t="s">
        <v>219</v>
      </c>
      <c r="N51" s="44" t="s">
        <v>229</v>
      </c>
      <c r="O51" s="42" t="s">
        <v>239</v>
      </c>
      <c r="P51" s="44" t="s">
        <v>249</v>
      </c>
      <c r="Q51" s="51">
        <v>85</v>
      </c>
      <c r="R51" s="39">
        <v>29</v>
      </c>
      <c r="S51" s="42" t="s">
        <v>258</v>
      </c>
      <c r="T51" s="44" t="s">
        <v>263</v>
      </c>
    </row>
    <row r="52" spans="3:20" ht="27.75" thickBot="1">
      <c r="C52" s="70"/>
      <c r="D52" s="39" t="s">
        <v>11</v>
      </c>
      <c r="E52" s="42" t="s">
        <v>17</v>
      </c>
      <c r="F52" s="44" t="s">
        <v>167</v>
      </c>
      <c r="G52" s="42" t="s">
        <v>180</v>
      </c>
      <c r="H52" s="44" t="s">
        <v>192</v>
      </c>
      <c r="I52" s="42" t="s">
        <v>196</v>
      </c>
      <c r="J52" s="48">
        <v>73295</v>
      </c>
      <c r="K52" s="42">
        <v>0.8</v>
      </c>
      <c r="L52" s="44" t="s">
        <v>207</v>
      </c>
      <c r="M52" s="42" t="s">
        <v>220</v>
      </c>
      <c r="N52" s="44" t="s">
        <v>230</v>
      </c>
      <c r="O52" s="42" t="s">
        <v>241</v>
      </c>
      <c r="P52" s="44" t="s">
        <v>243</v>
      </c>
      <c r="Q52" s="51">
        <v>1364</v>
      </c>
      <c r="R52" s="39">
        <v>455</v>
      </c>
      <c r="S52" s="42" t="s">
        <v>259</v>
      </c>
      <c r="T52" s="44" t="s">
        <v>264</v>
      </c>
    </row>
    <row r="53" spans="3:20" ht="36.75" thickBot="1">
      <c r="C53" s="70"/>
      <c r="D53" s="39" t="s">
        <v>12</v>
      </c>
      <c r="E53" s="42" t="s">
        <v>159</v>
      </c>
      <c r="F53" s="44" t="s">
        <v>168</v>
      </c>
      <c r="G53" s="42" t="s">
        <v>181</v>
      </c>
      <c r="H53" s="44" t="s">
        <v>193</v>
      </c>
      <c r="I53" s="72" t="s">
        <v>197</v>
      </c>
      <c r="J53" s="44" t="s">
        <v>200</v>
      </c>
      <c r="K53" s="72">
        <v>0.3</v>
      </c>
      <c r="L53" s="44" t="s">
        <v>208</v>
      </c>
      <c r="M53" s="42" t="s">
        <v>221</v>
      </c>
      <c r="N53" s="44" t="s">
        <v>230</v>
      </c>
      <c r="O53" s="42" t="s">
        <v>242</v>
      </c>
      <c r="P53" s="44" t="s">
        <v>244</v>
      </c>
      <c r="Q53" s="51">
        <v>3</v>
      </c>
      <c r="R53" s="39">
        <v>1</v>
      </c>
      <c r="S53" s="42" t="s">
        <v>257</v>
      </c>
      <c r="T53" s="44" t="s">
        <v>262</v>
      </c>
    </row>
    <row r="54" spans="3:20" ht="31.5" thickBot="1">
      <c r="C54" s="70"/>
      <c r="D54" s="39" t="s">
        <v>13</v>
      </c>
      <c r="E54" s="42" t="s">
        <v>159</v>
      </c>
      <c r="F54" s="44" t="s">
        <v>169</v>
      </c>
      <c r="G54" s="42" t="s">
        <v>181</v>
      </c>
      <c r="H54" s="44" t="s">
        <v>193</v>
      </c>
      <c r="I54" s="72"/>
      <c r="J54" s="44" t="s">
        <v>201</v>
      </c>
      <c r="K54" s="72"/>
      <c r="L54" s="44" t="s">
        <v>208</v>
      </c>
      <c r="M54" s="42" t="s">
        <v>222</v>
      </c>
      <c r="N54" s="44" t="s">
        <v>231</v>
      </c>
      <c r="O54" s="42" t="s">
        <v>243</v>
      </c>
      <c r="P54" s="44" t="s">
        <v>250</v>
      </c>
      <c r="Q54" s="51">
        <v>3</v>
      </c>
      <c r="R54" s="39">
        <v>1</v>
      </c>
      <c r="S54" s="42" t="s">
        <v>257</v>
      </c>
      <c r="T54" s="44" t="s">
        <v>262</v>
      </c>
    </row>
    <row r="55" spans="3:20" ht="18.75" thickBot="1">
      <c r="C55" s="71"/>
      <c r="D55" s="40" t="s">
        <v>14</v>
      </c>
      <c r="E55" s="43" t="s">
        <v>159</v>
      </c>
      <c r="F55" s="45" t="s">
        <v>20</v>
      </c>
      <c r="G55" s="43" t="s">
        <v>181</v>
      </c>
      <c r="H55" s="45" t="s">
        <v>193</v>
      </c>
      <c r="I55" s="73"/>
      <c r="J55" s="45" t="s">
        <v>202</v>
      </c>
      <c r="K55" s="43">
        <v>0.4</v>
      </c>
      <c r="L55" s="45" t="s">
        <v>208</v>
      </c>
      <c r="M55" s="43" t="s">
        <v>223</v>
      </c>
      <c r="N55" s="45" t="s">
        <v>230</v>
      </c>
      <c r="O55" s="43" t="s">
        <v>244</v>
      </c>
      <c r="P55" s="45" t="s">
        <v>251</v>
      </c>
      <c r="Q55" s="52">
        <v>5</v>
      </c>
      <c r="R55" s="40">
        <v>2</v>
      </c>
      <c r="S55" s="43" t="s">
        <v>257</v>
      </c>
      <c r="T55" s="45" t="s">
        <v>262</v>
      </c>
    </row>
  </sheetData>
  <mergeCells count="63">
    <mergeCell ref="S43:S47"/>
    <mergeCell ref="T43:T47"/>
    <mergeCell ref="I48:I49"/>
    <mergeCell ref="K48:K49"/>
    <mergeCell ref="I50:I51"/>
    <mergeCell ref="K50:K51"/>
    <mergeCell ref="M40:N40"/>
    <mergeCell ref="O40:P40"/>
    <mergeCell ref="Q40:R40"/>
    <mergeCell ref="S40:T40"/>
    <mergeCell ref="M42:N42"/>
    <mergeCell ref="O42:P42"/>
    <mergeCell ref="Q42:R42"/>
    <mergeCell ref="S42:T42"/>
    <mergeCell ref="H40:H41"/>
    <mergeCell ref="I40:I41"/>
    <mergeCell ref="J40:J41"/>
    <mergeCell ref="K40:K41"/>
    <mergeCell ref="L40:L41"/>
    <mergeCell ref="C40:C41"/>
    <mergeCell ref="D40:D41"/>
    <mergeCell ref="E40:E41"/>
    <mergeCell ref="F40:F41"/>
    <mergeCell ref="G40:G41"/>
    <mergeCell ref="C43:C55"/>
    <mergeCell ref="I43:I47"/>
    <mergeCell ref="K43:K47"/>
    <mergeCell ref="L43:L51"/>
    <mergeCell ref="I53:I55"/>
    <mergeCell ref="K53:K54"/>
    <mergeCell ref="A12:B12"/>
    <mergeCell ref="A8:B8"/>
    <mergeCell ref="D8:P8"/>
    <mergeCell ref="A9:B9"/>
    <mergeCell ref="A10:B10"/>
    <mergeCell ref="A11:B11"/>
    <mergeCell ref="A13:B13"/>
    <mergeCell ref="A14:B14"/>
    <mergeCell ref="D14:H14"/>
    <mergeCell ref="I14:J14"/>
    <mergeCell ref="K14:L14"/>
    <mergeCell ref="A24:A25"/>
    <mergeCell ref="C24:C25"/>
    <mergeCell ref="D24:H24"/>
    <mergeCell ref="D25:H25"/>
    <mergeCell ref="A17:B17"/>
    <mergeCell ref="D17:L17"/>
    <mergeCell ref="A18:A19"/>
    <mergeCell ref="C18:C19"/>
    <mergeCell ref="A20:A21"/>
    <mergeCell ref="C20:C21"/>
    <mergeCell ref="X14:Y14"/>
    <mergeCell ref="X15:Y15"/>
    <mergeCell ref="X19:Y19"/>
    <mergeCell ref="A22:A23"/>
    <mergeCell ref="C22:C23"/>
    <mergeCell ref="A15:B15"/>
    <mergeCell ref="A16:B16"/>
    <mergeCell ref="D16:H16"/>
    <mergeCell ref="I16:J16"/>
    <mergeCell ref="K16:L16"/>
    <mergeCell ref="N16:O16"/>
    <mergeCell ref="N14:P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138"/>
  <sheetViews>
    <sheetView topLeftCell="F1" zoomScaleNormal="100" workbookViewId="0">
      <selection activeCell="G23" sqref="A1:XFD1048576"/>
    </sheetView>
  </sheetViews>
  <sheetFormatPr defaultColWidth="10.7109375" defaultRowHeight="15"/>
  <cols>
    <col min="1" max="1" width="32.85546875" customWidth="1"/>
    <col min="4" max="16" width="22.7109375" customWidth="1"/>
    <col min="19" max="19" width="23.7109375" customWidth="1"/>
  </cols>
  <sheetData>
    <row r="1" spans="1:23">
      <c r="A1" t="s">
        <v>152</v>
      </c>
      <c r="C1" t="s">
        <v>5</v>
      </c>
      <c r="D1" t="s">
        <v>76</v>
      </c>
      <c r="S1" t="s">
        <v>77</v>
      </c>
      <c r="T1" t="s">
        <v>5</v>
      </c>
      <c r="U1" t="s">
        <v>78</v>
      </c>
      <c r="V1" t="s">
        <v>48</v>
      </c>
      <c r="W1" t="s">
        <v>49</v>
      </c>
    </row>
    <row r="2" spans="1:23">
      <c r="D2" t="s">
        <v>6</v>
      </c>
      <c r="E2" t="s">
        <v>7</v>
      </c>
      <c r="F2" t="s">
        <v>79</v>
      </c>
      <c r="G2" t="s">
        <v>80</v>
      </c>
      <c r="H2" t="s">
        <v>81</v>
      </c>
      <c r="I2" t="s">
        <v>8</v>
      </c>
      <c r="J2" t="s">
        <v>9</v>
      </c>
      <c r="K2" t="s">
        <v>10</v>
      </c>
      <c r="L2" t="s">
        <v>82</v>
      </c>
      <c r="M2" t="s">
        <v>11</v>
      </c>
      <c r="N2" t="s">
        <v>12</v>
      </c>
      <c r="O2" t="s">
        <v>13</v>
      </c>
      <c r="P2" t="s">
        <v>14</v>
      </c>
      <c r="S2" t="s">
        <v>50</v>
      </c>
      <c r="T2" t="s">
        <v>51</v>
      </c>
      <c r="U2" t="s">
        <v>83</v>
      </c>
      <c r="V2" s="33">
        <v>5</v>
      </c>
      <c r="W2" s="33">
        <v>10</v>
      </c>
    </row>
    <row r="3" spans="1:2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c r="B14" t="s">
        <v>31</v>
      </c>
      <c r="D14" s="34">
        <v>36</v>
      </c>
      <c r="E14" s="34">
        <v>27</v>
      </c>
      <c r="F14" s="34">
        <v>18</v>
      </c>
      <c r="G14" s="34">
        <v>45</v>
      </c>
      <c r="H14" s="34">
        <v>24</v>
      </c>
      <c r="I14" s="34">
        <v>5</v>
      </c>
      <c r="J14" s="34">
        <v>13</v>
      </c>
      <c r="K14" s="34">
        <v>10</v>
      </c>
      <c r="L14" s="34">
        <v>2</v>
      </c>
      <c r="M14" s="34">
        <v>10</v>
      </c>
      <c r="N14" s="34">
        <v>7</v>
      </c>
      <c r="O14" s="34">
        <v>17</v>
      </c>
      <c r="P14" s="34">
        <v>11</v>
      </c>
    </row>
    <row r="15" spans="1:23">
      <c r="A15" t="s">
        <v>122</v>
      </c>
      <c r="B15" t="s">
        <v>30</v>
      </c>
      <c r="C15" t="s">
        <v>134</v>
      </c>
      <c r="D15" s="34">
        <f t="shared" ref="D15:P15" si="0">_xlfn.CEILING.MATH((D8*D9*D7)/$V4)</f>
        <v>6351</v>
      </c>
      <c r="E15" s="34">
        <f t="shared" si="0"/>
        <v>7527</v>
      </c>
      <c r="F15" s="34">
        <f t="shared" si="0"/>
        <v>3949</v>
      </c>
      <c r="G15" s="34">
        <f t="shared" si="0"/>
        <v>4624</v>
      </c>
      <c r="H15" s="34">
        <f t="shared" si="0"/>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c r="A19" t="s">
        <v>142</v>
      </c>
      <c r="C19" t="s">
        <v>141</v>
      </c>
      <c r="D19">
        <v>1.4</v>
      </c>
      <c r="E19">
        <v>1.4</v>
      </c>
      <c r="F19">
        <v>1.4</v>
      </c>
      <c r="G19">
        <v>1.4</v>
      </c>
      <c r="H19">
        <v>1.4</v>
      </c>
      <c r="I19">
        <v>4.4000000000000004</v>
      </c>
      <c r="J19">
        <v>4.4000000000000004</v>
      </c>
      <c r="K19">
        <v>2.1</v>
      </c>
      <c r="L19">
        <v>2.2999999999999998</v>
      </c>
      <c r="M19">
        <v>0.5</v>
      </c>
      <c r="N19">
        <v>0.02</v>
      </c>
      <c r="O19">
        <v>0.02</v>
      </c>
      <c r="P19">
        <v>0.02</v>
      </c>
    </row>
    <row r="25" spans="1:16">
      <c r="D25" t="s">
        <v>6</v>
      </c>
      <c r="E25" t="s">
        <v>7</v>
      </c>
      <c r="F25" t="s">
        <v>79</v>
      </c>
      <c r="G25" t="s">
        <v>80</v>
      </c>
      <c r="H25" t="s">
        <v>81</v>
      </c>
      <c r="I25" t="s">
        <v>8</v>
      </c>
      <c r="J25" t="s">
        <v>9</v>
      </c>
      <c r="K25" t="s">
        <v>10</v>
      </c>
      <c r="L25" t="s">
        <v>82</v>
      </c>
      <c r="M25" t="s">
        <v>11</v>
      </c>
      <c r="N25" t="s">
        <v>12</v>
      </c>
      <c r="O25" t="s">
        <v>13</v>
      </c>
      <c r="P25" t="s">
        <v>14</v>
      </c>
    </row>
    <row r="26" spans="1:16">
      <c r="C26" t="s">
        <v>135</v>
      </c>
      <c r="D26">
        <f t="shared" ref="D26:P26" si="2">(D13)*$V7*D15</f>
        <v>335332.80000000005</v>
      </c>
      <c r="E26">
        <f t="shared" si="2"/>
        <v>298069.2</v>
      </c>
      <c r="F26">
        <f t="shared" si="2"/>
        <v>104253.6</v>
      </c>
      <c r="G26">
        <f t="shared" si="2"/>
        <v>305184</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c r="C27" t="s">
        <v>136</v>
      </c>
      <c r="D27">
        <f t="shared" ref="D27:P27" si="3">(D11)*$V8*D15</f>
        <v>476801.32500000001</v>
      </c>
      <c r="E27">
        <f t="shared" si="3"/>
        <v>478152.67500000005</v>
      </c>
      <c r="F27">
        <f t="shared" si="3"/>
        <v>278226.79499999998</v>
      </c>
      <c r="G27">
        <f t="shared" si="3"/>
        <v>309761.76000000007</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c r="C28" t="s">
        <v>125</v>
      </c>
      <c r="D28" s="33">
        <f t="shared" ref="D28:P28" si="4">$V9*D15</f>
        <v>917084.4</v>
      </c>
      <c r="E28" s="33">
        <f t="shared" si="4"/>
        <v>1086898.8</v>
      </c>
      <c r="F28" s="33">
        <f t="shared" si="4"/>
        <v>570235.6</v>
      </c>
      <c r="G28" s="33">
        <f t="shared" si="4"/>
        <v>667705.59999999998</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c r="C29" t="s">
        <v>126</v>
      </c>
      <c r="D29" s="33">
        <f>$V10*D15</f>
        <v>917084.4</v>
      </c>
      <c r="E29" s="33">
        <f t="shared" ref="E29:P29" si="5">$V10*E15</f>
        <v>1086898.8</v>
      </c>
      <c r="F29" s="33">
        <f t="shared" si="5"/>
        <v>570235.6</v>
      </c>
      <c r="G29" s="33">
        <f t="shared" si="5"/>
        <v>667705.59999999998</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c r="C30" t="s">
        <v>127</v>
      </c>
      <c r="D30" s="33">
        <f>$V11*D15</f>
        <v>394397.10000000003</v>
      </c>
      <c r="E30" s="33">
        <f t="shared" ref="E30:P30" si="6">$V11*E15</f>
        <v>467426.7</v>
      </c>
      <c r="F30" s="33">
        <f t="shared" si="6"/>
        <v>245232.9</v>
      </c>
      <c r="G30" s="33">
        <f t="shared" si="6"/>
        <v>287150.40000000002</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c r="C31" t="s">
        <v>128</v>
      </c>
      <c r="D31">
        <f>D17*D15</f>
        <v>3666432.3</v>
      </c>
      <c r="E31">
        <f t="shared" ref="E31:P31" si="7">E17*E15</f>
        <v>4345337.0999999996</v>
      </c>
      <c r="F31">
        <f t="shared" si="7"/>
        <v>2279757.6999999997</v>
      </c>
      <c r="G31">
        <f t="shared" si="7"/>
        <v>2669435.1999999997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c r="C32" t="s">
        <v>140</v>
      </c>
      <c r="D32">
        <f>SUM(D26:D31)</f>
        <v>6707132.3249999993</v>
      </c>
      <c r="E32">
        <f t="shared" ref="E32:P32" si="8">SUM(E26:E31)</f>
        <v>7762783.2750000004</v>
      </c>
      <c r="F32">
        <f t="shared" si="8"/>
        <v>4047942.1949999994</v>
      </c>
      <c r="G32">
        <f t="shared" si="8"/>
        <v>4906942.5599999996</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c r="D36" t="s">
        <v>6</v>
      </c>
      <c r="E36" t="s">
        <v>7</v>
      </c>
      <c r="F36" t="s">
        <v>79</v>
      </c>
      <c r="G36" t="s">
        <v>80</v>
      </c>
      <c r="H36" t="s">
        <v>81</v>
      </c>
      <c r="I36" t="s">
        <v>8</v>
      </c>
      <c r="J36" t="s">
        <v>9</v>
      </c>
      <c r="K36" t="s">
        <v>10</v>
      </c>
      <c r="L36" t="s">
        <v>82</v>
      </c>
      <c r="M36" t="s">
        <v>11</v>
      </c>
      <c r="N36" t="s">
        <v>12</v>
      </c>
      <c r="O36" t="s">
        <v>13</v>
      </c>
      <c r="P36" t="s">
        <v>14</v>
      </c>
    </row>
    <row r="37" spans="3:16">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c r="C48" t="s">
        <v>147</v>
      </c>
    </row>
    <row r="49" spans="2:16">
      <c r="B49" t="s">
        <v>143</v>
      </c>
      <c r="C49" t="s">
        <v>144</v>
      </c>
      <c r="D49">
        <v>-2</v>
      </c>
      <c r="E49">
        <v>-2</v>
      </c>
      <c r="F49">
        <v>-2</v>
      </c>
      <c r="G49">
        <v>-2</v>
      </c>
      <c r="H49">
        <v>-2</v>
      </c>
      <c r="I49">
        <v>-2</v>
      </c>
      <c r="J49">
        <v>-2</v>
      </c>
      <c r="K49">
        <v>-2</v>
      </c>
      <c r="L49">
        <v>-2</v>
      </c>
      <c r="M49">
        <v>-2</v>
      </c>
      <c r="N49">
        <v>-2</v>
      </c>
      <c r="O49">
        <v>-2</v>
      </c>
      <c r="P49">
        <v>-2</v>
      </c>
    </row>
    <row r="50" spans="2:16">
      <c r="C50" t="s">
        <v>145</v>
      </c>
      <c r="D50">
        <v>2</v>
      </c>
      <c r="E50">
        <v>2</v>
      </c>
      <c r="F50">
        <v>2</v>
      </c>
      <c r="G50">
        <v>2</v>
      </c>
      <c r="H50">
        <v>2</v>
      </c>
      <c r="I50">
        <v>2</v>
      </c>
      <c r="J50">
        <v>2</v>
      </c>
      <c r="K50">
        <v>2</v>
      </c>
      <c r="L50">
        <v>2</v>
      </c>
      <c r="M50">
        <v>2</v>
      </c>
      <c r="N50">
        <v>2</v>
      </c>
      <c r="O50">
        <v>2</v>
      </c>
      <c r="P50">
        <v>2</v>
      </c>
    </row>
    <row r="51" spans="2:16">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c r="C53" t="s">
        <v>148</v>
      </c>
    </row>
    <row r="54" spans="2:16">
      <c r="B54" t="s">
        <v>143</v>
      </c>
      <c r="C54" t="s">
        <v>144</v>
      </c>
      <c r="D54">
        <v>-2</v>
      </c>
      <c r="E54">
        <v>-2</v>
      </c>
      <c r="F54">
        <v>-2</v>
      </c>
      <c r="G54">
        <v>-2</v>
      </c>
      <c r="H54">
        <v>-2</v>
      </c>
      <c r="I54">
        <v>-2</v>
      </c>
      <c r="J54">
        <v>-2</v>
      </c>
      <c r="K54">
        <v>-2</v>
      </c>
      <c r="L54">
        <v>-2</v>
      </c>
      <c r="M54">
        <v>-2</v>
      </c>
      <c r="N54">
        <v>-2</v>
      </c>
      <c r="O54">
        <v>-2</v>
      </c>
      <c r="P54">
        <v>-2</v>
      </c>
    </row>
    <row r="55" spans="2:16">
      <c r="C55" t="s">
        <v>145</v>
      </c>
      <c r="D55">
        <v>2</v>
      </c>
      <c r="E55">
        <v>2</v>
      </c>
      <c r="F55">
        <v>2</v>
      </c>
      <c r="G55">
        <v>2</v>
      </c>
      <c r="H55">
        <v>2</v>
      </c>
      <c r="I55">
        <v>2</v>
      </c>
      <c r="J55">
        <v>2</v>
      </c>
      <c r="K55">
        <v>2</v>
      </c>
      <c r="L55">
        <v>2</v>
      </c>
      <c r="M55">
        <v>2</v>
      </c>
      <c r="N55">
        <v>2</v>
      </c>
      <c r="O55">
        <v>2</v>
      </c>
      <c r="P55">
        <v>2</v>
      </c>
    </row>
    <row r="56" spans="2:16">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c r="C60" t="s">
        <v>147</v>
      </c>
    </row>
    <row r="61" spans="2:16">
      <c r="D61" t="s">
        <v>6</v>
      </c>
      <c r="E61" t="s">
        <v>7</v>
      </c>
      <c r="F61" t="s">
        <v>79</v>
      </c>
      <c r="G61" t="s">
        <v>80</v>
      </c>
      <c r="H61" t="s">
        <v>81</v>
      </c>
      <c r="I61" t="s">
        <v>8</v>
      </c>
      <c r="J61" t="s">
        <v>9</v>
      </c>
      <c r="K61" t="s">
        <v>10</v>
      </c>
      <c r="L61" t="s">
        <v>82</v>
      </c>
      <c r="M61" t="s">
        <v>11</v>
      </c>
      <c r="N61" t="s">
        <v>12</v>
      </c>
      <c r="O61" t="s">
        <v>13</v>
      </c>
      <c r="P61" t="s">
        <v>14</v>
      </c>
    </row>
    <row r="62" spans="2:16">
      <c r="C62" t="s">
        <v>139</v>
      </c>
      <c r="D62">
        <f>D15*((365*D51*D10)+$V13)</f>
        <v>8212015.0312941372</v>
      </c>
      <c r="E62">
        <f t="shared" ref="E62:P62" si="18">E15*((365*E51*E10)+$V13)</f>
        <v>9732614.885931503</v>
      </c>
      <c r="F62">
        <f t="shared" si="18"/>
        <v>5106163.967655574</v>
      </c>
      <c r="G62">
        <f t="shared" si="18"/>
        <v>5978957.2515673265</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c r="C64" t="s">
        <v>148</v>
      </c>
    </row>
    <row r="65" spans="2:16">
      <c r="D65" t="s">
        <v>6</v>
      </c>
      <c r="E65" t="s">
        <v>7</v>
      </c>
      <c r="F65" t="s">
        <v>79</v>
      </c>
      <c r="G65" t="s">
        <v>80</v>
      </c>
      <c r="H65" t="s">
        <v>81</v>
      </c>
      <c r="I65" t="s">
        <v>8</v>
      </c>
      <c r="J65" t="s">
        <v>9</v>
      </c>
      <c r="K65" t="s">
        <v>10</v>
      </c>
      <c r="L65" t="s">
        <v>82</v>
      </c>
      <c r="M65" t="s">
        <v>11</v>
      </c>
      <c r="N65" t="s">
        <v>12</v>
      </c>
      <c r="O65" t="s">
        <v>13</v>
      </c>
      <c r="P65" t="s">
        <v>14</v>
      </c>
    </row>
    <row r="66" spans="2:16">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c r="C68" t="s">
        <v>147</v>
      </c>
    </row>
    <row r="69" spans="2:16">
      <c r="D69" t="s">
        <v>6</v>
      </c>
      <c r="E69" t="s">
        <v>7</v>
      </c>
      <c r="F69" t="s">
        <v>79</v>
      </c>
      <c r="G69" t="s">
        <v>80</v>
      </c>
      <c r="H69" t="s">
        <v>81</v>
      </c>
      <c r="I69" t="s">
        <v>8</v>
      </c>
      <c r="J69" t="s">
        <v>9</v>
      </c>
      <c r="K69" t="s">
        <v>10</v>
      </c>
      <c r="L69" t="s">
        <v>82</v>
      </c>
      <c r="M69" t="s">
        <v>11</v>
      </c>
      <c r="N69" t="s">
        <v>12</v>
      </c>
      <c r="O69" t="s">
        <v>13</v>
      </c>
      <c r="P69" t="s">
        <v>14</v>
      </c>
    </row>
    <row r="70" spans="2:16">
      <c r="C70" t="s">
        <v>138</v>
      </c>
      <c r="D70">
        <f>D8*12*D19</f>
        <v>18354117.599999998</v>
      </c>
      <c r="E70">
        <f t="shared" ref="E70:P70" si="20">E8*12*E19</f>
        <v>21751329.599999998</v>
      </c>
      <c r="F70">
        <f t="shared" si="20"/>
        <v>11412844.799999999</v>
      </c>
      <c r="G70">
        <f t="shared" si="20"/>
        <v>13363744.799999999</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c r="C72" t="s">
        <v>148</v>
      </c>
    </row>
    <row r="73" spans="2:16">
      <c r="D73" t="s">
        <v>6</v>
      </c>
      <c r="E73" t="s">
        <v>7</v>
      </c>
      <c r="F73" t="s">
        <v>79</v>
      </c>
      <c r="G73" t="s">
        <v>80</v>
      </c>
      <c r="H73" t="s">
        <v>81</v>
      </c>
      <c r="I73" t="s">
        <v>8</v>
      </c>
      <c r="J73" t="s">
        <v>9</v>
      </c>
      <c r="K73" t="s">
        <v>10</v>
      </c>
      <c r="L73" t="s">
        <v>82</v>
      </c>
      <c r="M73" t="s">
        <v>11</v>
      </c>
      <c r="N73" t="s">
        <v>12</v>
      </c>
      <c r="O73" t="s">
        <v>13</v>
      </c>
      <c r="P73" t="s">
        <v>14</v>
      </c>
    </row>
    <row r="74" spans="2:16">
      <c r="C74" t="s">
        <v>138</v>
      </c>
      <c r="D74">
        <f>D8*12*D19</f>
        <v>18354117.599999998</v>
      </c>
      <c r="E74">
        <f>E8*12*E19</f>
        <v>21751329.599999998</v>
      </c>
      <c r="F74">
        <f t="shared" ref="F74:P74" si="21">F8*12*F19</f>
        <v>11412844.799999999</v>
      </c>
      <c r="G74">
        <f t="shared" si="21"/>
        <v>13363744.799999999</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c r="C77" t="s">
        <v>30</v>
      </c>
    </row>
    <row r="78" spans="2:16">
      <c r="B78" t="s">
        <v>149</v>
      </c>
      <c r="D78" t="s">
        <v>6</v>
      </c>
      <c r="E78" t="s">
        <v>7</v>
      </c>
      <c r="F78" t="s">
        <v>79</v>
      </c>
      <c r="G78" t="s">
        <v>80</v>
      </c>
      <c r="H78" t="s">
        <v>81</v>
      </c>
      <c r="I78" t="s">
        <v>8</v>
      </c>
      <c r="J78" t="s">
        <v>9</v>
      </c>
      <c r="K78" t="s">
        <v>10</v>
      </c>
      <c r="L78" t="s">
        <v>82</v>
      </c>
      <c r="M78" t="s">
        <v>11</v>
      </c>
      <c r="N78" t="s">
        <v>12</v>
      </c>
      <c r="O78" t="s">
        <v>13</v>
      </c>
      <c r="P78" t="s">
        <v>14</v>
      </c>
    </row>
    <row r="79" spans="2:16">
      <c r="C79" t="s">
        <v>150</v>
      </c>
      <c r="D79" s="36">
        <f>D32*-1</f>
        <v>-6707132.3249999993</v>
      </c>
      <c r="E79" s="36">
        <f t="shared" ref="E79:P79" si="22">E32*-1</f>
        <v>-7762783.2750000004</v>
      </c>
      <c r="F79" s="36">
        <f t="shared" si="22"/>
        <v>-4047942.1949999994</v>
      </c>
      <c r="G79" s="36">
        <f t="shared" si="22"/>
        <v>-4906942.5599999996</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c r="C80">
        <v>1</v>
      </c>
      <c r="D80" s="36">
        <f>D70-D62</f>
        <v>10142102.568705861</v>
      </c>
      <c r="E80" s="36">
        <f>E70-E62</f>
        <v>12018714.714068495</v>
      </c>
      <c r="F80" s="36">
        <f t="shared" ref="F80:P80" si="23">F70-F62</f>
        <v>6306680.8323444249</v>
      </c>
      <c r="G80" s="36">
        <f t="shared" si="23"/>
        <v>7384787.5484326724</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c r="C81">
        <v>2</v>
      </c>
      <c r="D81" s="36">
        <f>D80</f>
        <v>10142102.568705861</v>
      </c>
      <c r="E81" s="36">
        <f t="shared" ref="E81:P81" si="24">E80</f>
        <v>12018714.714068495</v>
      </c>
      <c r="F81" s="36">
        <f t="shared" si="24"/>
        <v>6306680.8323444249</v>
      </c>
      <c r="G81" s="36">
        <f t="shared" si="24"/>
        <v>7384787.5484326724</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c r="C82">
        <v>3</v>
      </c>
      <c r="D82" s="36">
        <f t="shared" ref="D82:D84" si="25">D81</f>
        <v>10142102.568705861</v>
      </c>
      <c r="E82" s="36">
        <f t="shared" ref="E82:E84" si="26">E81</f>
        <v>12018714.714068495</v>
      </c>
      <c r="F82" s="36">
        <f t="shared" ref="F82:F84" si="27">F81</f>
        <v>6306680.8323444249</v>
      </c>
      <c r="G82" s="36">
        <f t="shared" ref="G82:G84" si="28">G81</f>
        <v>7384787.5484326724</v>
      </c>
      <c r="H82" s="36">
        <f t="shared" ref="H82:H84" si="29">H81</f>
        <v>3545938.6120712371</v>
      </c>
      <c r="I82" s="36">
        <f t="shared" ref="I82:I84" si="30">I81</f>
        <v>36556695.677557632</v>
      </c>
      <c r="J82" s="36">
        <f t="shared" ref="J82:J84" si="31">J81</f>
        <v>11262058.815014903</v>
      </c>
      <c r="K82" s="36">
        <f t="shared" ref="K82:K84" si="32">K81</f>
        <v>200278.35991586279</v>
      </c>
      <c r="L82" s="36">
        <f t="shared" ref="L82:L84" si="33">L81</f>
        <v>141059.49758148295</v>
      </c>
      <c r="M82" s="36">
        <f t="shared" ref="M82:M84" si="34">M81</f>
        <v>432813.6</v>
      </c>
      <c r="N82" s="36">
        <f t="shared" ref="N82:N84" si="35">N81</f>
        <v>704.7</v>
      </c>
      <c r="O82" s="36">
        <f t="shared" ref="O82:O84" si="36">O81</f>
        <v>824.7</v>
      </c>
      <c r="P82" s="36">
        <f t="shared" ref="P82:P84" si="37">P81</f>
        <v>1174.5</v>
      </c>
    </row>
    <row r="83" spans="2:16">
      <c r="C83">
        <v>4</v>
      </c>
      <c r="D83" s="36">
        <f t="shared" si="25"/>
        <v>10142102.568705861</v>
      </c>
      <c r="E83" s="36">
        <f t="shared" si="26"/>
        <v>12018714.714068495</v>
      </c>
      <c r="F83" s="36">
        <f t="shared" si="27"/>
        <v>6306680.8323444249</v>
      </c>
      <c r="G83" s="36">
        <f t="shared" si="28"/>
        <v>7384787.5484326724</v>
      </c>
      <c r="H83" s="36">
        <f t="shared" si="29"/>
        <v>3545938.6120712371</v>
      </c>
      <c r="I83" s="36">
        <f t="shared" si="30"/>
        <v>36556695.677557632</v>
      </c>
      <c r="J83" s="36">
        <f t="shared" si="31"/>
        <v>11262058.815014903</v>
      </c>
      <c r="K83" s="36">
        <f t="shared" si="32"/>
        <v>200278.35991586279</v>
      </c>
      <c r="L83" s="36">
        <f t="shared" si="33"/>
        <v>141059.49758148295</v>
      </c>
      <c r="M83" s="36">
        <f t="shared" si="34"/>
        <v>432813.6</v>
      </c>
      <c r="N83" s="36">
        <f t="shared" si="35"/>
        <v>704.7</v>
      </c>
      <c r="O83" s="36">
        <f t="shared" si="36"/>
        <v>824.7</v>
      </c>
      <c r="P83" s="36">
        <f t="shared" si="37"/>
        <v>1174.5</v>
      </c>
    </row>
    <row r="84" spans="2:16">
      <c r="C84">
        <v>5</v>
      </c>
      <c r="D84" s="36">
        <f t="shared" si="25"/>
        <v>10142102.568705861</v>
      </c>
      <c r="E84" s="36">
        <f t="shared" si="26"/>
        <v>12018714.714068495</v>
      </c>
      <c r="F84" s="36">
        <f t="shared" si="27"/>
        <v>6306680.8323444249</v>
      </c>
      <c r="G84" s="36">
        <f t="shared" si="28"/>
        <v>7384787.5484326724</v>
      </c>
      <c r="H84" s="36">
        <f t="shared" si="29"/>
        <v>3545938.6120712371</v>
      </c>
      <c r="I84" s="36">
        <f t="shared" si="30"/>
        <v>36556695.677557632</v>
      </c>
      <c r="J84" s="36">
        <f t="shared" si="31"/>
        <v>11262058.815014903</v>
      </c>
      <c r="K84" s="36">
        <f t="shared" si="32"/>
        <v>200278.35991586279</v>
      </c>
      <c r="L84" s="36">
        <f t="shared" si="33"/>
        <v>141059.49758148295</v>
      </c>
      <c r="M84" s="36">
        <f t="shared" si="34"/>
        <v>432813.6</v>
      </c>
      <c r="N84" s="36">
        <f t="shared" si="35"/>
        <v>704.7</v>
      </c>
      <c r="O84" s="36">
        <f t="shared" si="36"/>
        <v>824.7</v>
      </c>
      <c r="P84" s="36">
        <f t="shared" si="37"/>
        <v>1174.5</v>
      </c>
    </row>
    <row r="85" spans="2:16">
      <c r="C85" t="s">
        <v>149</v>
      </c>
      <c r="D85" s="36">
        <f>NPV(5%,D80:D84)+D79</f>
        <v>37202864.137356922</v>
      </c>
      <c r="E85" s="36">
        <f t="shared" ref="E85:P85" si="38">NPV(5%,E80:E84)+E79</f>
        <v>44271961.69052691</v>
      </c>
      <c r="F85" s="36">
        <f t="shared" si="38"/>
        <v>23256685.337749742</v>
      </c>
      <c r="G85" s="36">
        <f t="shared" si="38"/>
        <v>27065322.848504215</v>
      </c>
      <c r="H85" s="36">
        <f t="shared" si="38"/>
        <v>13085385.186451446</v>
      </c>
      <c r="I85" s="36">
        <f t="shared" si="38"/>
        <v>144560556.53133625</v>
      </c>
      <c r="J85" s="36">
        <f t="shared" si="38"/>
        <v>44455628.792879194</v>
      </c>
      <c r="K85" s="36">
        <f t="shared" si="38"/>
        <v>802085.37688793044</v>
      </c>
      <c r="L85" s="36">
        <f t="shared" si="38"/>
        <v>562573.2039499348</v>
      </c>
      <c r="M85" s="36">
        <f t="shared" si="38"/>
        <v>1090279.3039317387</v>
      </c>
      <c r="N85" s="36">
        <f t="shared" si="38"/>
        <v>1556.1122097935383</v>
      </c>
      <c r="O85" s="36">
        <f t="shared" si="38"/>
        <v>2025.9844102692362</v>
      </c>
      <c r="P85" s="36">
        <f t="shared" si="38"/>
        <v>2532.1953496558967</v>
      </c>
    </row>
    <row r="86" spans="2:16">
      <c r="C86" t="s">
        <v>151</v>
      </c>
      <c r="D86" s="35">
        <f>IRR(D79:D84)</f>
        <v>1.4965452261084082</v>
      </c>
      <c r="E86" s="35">
        <f t="shared" ref="E86:P86" si="39">IRR(E79:E84)</f>
        <v>1.5334123264325656</v>
      </c>
      <c r="F86" s="35">
        <f t="shared" si="39"/>
        <v>1.5433571418329324</v>
      </c>
      <c r="G86" s="35">
        <f t="shared" si="39"/>
        <v>1.4892197155052438</v>
      </c>
      <c r="H86" s="35">
        <f t="shared" si="39"/>
        <v>1.5498671875128234</v>
      </c>
      <c r="I86" s="35">
        <f t="shared" si="39"/>
        <v>2.662221739719159</v>
      </c>
      <c r="J86" s="35">
        <f t="shared" si="39"/>
        <v>2.6128889926271164</v>
      </c>
      <c r="K86" s="35">
        <f t="shared" si="39"/>
        <v>3.0777572393321089</v>
      </c>
      <c r="L86" s="35">
        <f t="shared" si="39"/>
        <v>2.9270191737214066</v>
      </c>
      <c r="M86" s="35">
        <f t="shared" si="39"/>
        <v>0.47259215563672297</v>
      </c>
      <c r="N86" s="35">
        <f t="shared" si="39"/>
        <v>0.37576258090731463</v>
      </c>
      <c r="O86" s="35">
        <f t="shared" si="39"/>
        <v>0.45090366688612882</v>
      </c>
      <c r="P86" s="35">
        <f t="shared" si="39"/>
        <v>0.36187950910258171</v>
      </c>
    </row>
    <row r="90" spans="2:16">
      <c r="C90" t="s">
        <v>31</v>
      </c>
    </row>
    <row r="91" spans="2:16">
      <c r="B91" t="s">
        <v>149</v>
      </c>
      <c r="D91" t="s">
        <v>6</v>
      </c>
      <c r="E91" t="s">
        <v>7</v>
      </c>
      <c r="F91" t="s">
        <v>79</v>
      </c>
      <c r="G91" t="s">
        <v>80</v>
      </c>
      <c r="H91" t="s">
        <v>81</v>
      </c>
      <c r="I91" t="s">
        <v>8</v>
      </c>
      <c r="J91" t="s">
        <v>9</v>
      </c>
      <c r="K91" t="s">
        <v>10</v>
      </c>
      <c r="L91" t="s">
        <v>82</v>
      </c>
      <c r="M91" t="s">
        <v>11</v>
      </c>
      <c r="N91" t="s">
        <v>12</v>
      </c>
      <c r="O91" t="s">
        <v>13</v>
      </c>
      <c r="P91" t="s">
        <v>14</v>
      </c>
    </row>
    <row r="92" spans="2:16">
      <c r="C92" t="s">
        <v>150</v>
      </c>
      <c r="D92" s="36">
        <f>D43*-1</f>
        <v>-7748855.1000000006</v>
      </c>
      <c r="E92" s="36">
        <f t="shared" ref="E92:P92" si="40">E43*-1</f>
        <v>-8873203.9500000011</v>
      </c>
      <c r="F92" s="36">
        <f t="shared" si="40"/>
        <v>-4494657.6000000006</v>
      </c>
      <c r="G92" s="36">
        <f t="shared" si="40"/>
        <v>-5835005.1000000006</v>
      </c>
      <c r="H92" s="36">
        <f t="shared" si="40"/>
        <v>-2590017.3000000003</v>
      </c>
      <c r="I92" s="36">
        <f t="shared" si="40"/>
        <v>-15940710.25</v>
      </c>
      <c r="J92" s="36">
        <f t="shared" si="40"/>
        <v>-5177777.8500000006</v>
      </c>
      <c r="K92" s="36">
        <f t="shared" si="40"/>
        <v>-88218.799999999988</v>
      </c>
      <c r="L92" s="36">
        <f t="shared" si="40"/>
        <v>-57182.200000000004</v>
      </c>
      <c r="M92" s="36">
        <f t="shared" si="40"/>
        <v>-951132</v>
      </c>
      <c r="N92" s="36">
        <f t="shared" si="40"/>
        <v>-2010.35</v>
      </c>
      <c r="O92" s="36">
        <f t="shared" si="40"/>
        <v>-2147.85</v>
      </c>
      <c r="P92" s="36">
        <f t="shared" si="40"/>
        <v>-4130.7</v>
      </c>
    </row>
    <row r="93" spans="2:16">
      <c r="C93">
        <v>1</v>
      </c>
      <c r="D93" s="36">
        <f>D74-D66</f>
        <v>9949956.9283361137</v>
      </c>
      <c r="E93" s="36">
        <f>E74-E66</f>
        <v>11790989.909303406</v>
      </c>
      <c r="F93" s="36">
        <f t="shared" ref="F93:P93" si="41">F74-F66</f>
        <v>6184559.677382458</v>
      </c>
      <c r="G93" s="36">
        <f t="shared" si="41"/>
        <v>7242244.6792131737</v>
      </c>
      <c r="H93" s="36">
        <f t="shared" si="41"/>
        <v>3477390.0726958252</v>
      </c>
      <c r="I93" s="36">
        <f t="shared" si="41"/>
        <v>35839735.019711994</v>
      </c>
      <c r="J93" s="36">
        <f t="shared" si="41"/>
        <v>11041595.064208046</v>
      </c>
      <c r="K93" s="36">
        <f t="shared" si="41"/>
        <v>193789.4892387591</v>
      </c>
      <c r="L93" s="36">
        <f t="shared" si="41"/>
        <v>135841.31134707009</v>
      </c>
      <c r="M93" s="36">
        <f t="shared" si="41"/>
        <v>436289.25</v>
      </c>
      <c r="N93" s="36">
        <f t="shared" si="41"/>
        <v>712.35</v>
      </c>
      <c r="O93" s="36">
        <f t="shared" si="41"/>
        <v>832.35</v>
      </c>
      <c r="P93" s="36">
        <f t="shared" si="41"/>
        <v>1184.7</v>
      </c>
    </row>
    <row r="94" spans="2:16">
      <c r="C94">
        <v>2</v>
      </c>
      <c r="D94" s="36">
        <f>D93</f>
        <v>9949956.9283361137</v>
      </c>
      <c r="E94" s="36">
        <f t="shared" ref="E94:P94" si="42">E93</f>
        <v>11790989.909303406</v>
      </c>
      <c r="F94" s="36">
        <f t="shared" si="42"/>
        <v>6184559.677382458</v>
      </c>
      <c r="G94" s="36">
        <f t="shared" si="42"/>
        <v>7242244.6792131737</v>
      </c>
      <c r="H94" s="36">
        <f t="shared" si="42"/>
        <v>3477390.0726958252</v>
      </c>
      <c r="I94" s="36">
        <f t="shared" si="42"/>
        <v>35839735.019711994</v>
      </c>
      <c r="J94" s="36">
        <f t="shared" si="42"/>
        <v>11041595.064208046</v>
      </c>
      <c r="K94" s="36">
        <f t="shared" si="42"/>
        <v>193789.4892387591</v>
      </c>
      <c r="L94" s="36">
        <f t="shared" si="42"/>
        <v>135841.31134707009</v>
      </c>
      <c r="M94" s="36">
        <f t="shared" si="42"/>
        <v>436289.25</v>
      </c>
      <c r="N94" s="36">
        <f t="shared" si="42"/>
        <v>712.35</v>
      </c>
      <c r="O94" s="36">
        <f t="shared" si="42"/>
        <v>832.35</v>
      </c>
      <c r="P94" s="36">
        <f t="shared" si="42"/>
        <v>1184.7</v>
      </c>
    </row>
    <row r="95" spans="2:16">
      <c r="C95">
        <v>3</v>
      </c>
      <c r="D95" s="36">
        <f t="shared" ref="D95:D102" si="43">D94</f>
        <v>9949956.9283361137</v>
      </c>
      <c r="E95" s="36">
        <f t="shared" ref="E95:E102" si="44">E94</f>
        <v>11790989.909303406</v>
      </c>
      <c r="F95" s="36">
        <f t="shared" ref="F95:F102" si="45">F94</f>
        <v>6184559.677382458</v>
      </c>
      <c r="G95" s="36">
        <f t="shared" ref="G95:G102" si="46">G94</f>
        <v>7242244.6792131737</v>
      </c>
      <c r="H95" s="36">
        <f t="shared" ref="H95:H102" si="47">H94</f>
        <v>3477390.0726958252</v>
      </c>
      <c r="I95" s="36">
        <f t="shared" ref="I95:I102" si="48">I94</f>
        <v>35839735.019711994</v>
      </c>
      <c r="J95" s="36">
        <f t="shared" ref="J95:J102" si="49">J94</f>
        <v>11041595.064208046</v>
      </c>
      <c r="K95" s="36">
        <f t="shared" ref="K95:K102" si="50">K94</f>
        <v>193789.4892387591</v>
      </c>
      <c r="L95" s="36">
        <f t="shared" ref="L95:L102" si="51">L94</f>
        <v>135841.31134707009</v>
      </c>
      <c r="M95" s="36">
        <f t="shared" ref="M95:M102" si="52">M94</f>
        <v>436289.25</v>
      </c>
      <c r="N95" s="36">
        <f t="shared" ref="N95:N102" si="53">N94</f>
        <v>712.35</v>
      </c>
      <c r="O95" s="36">
        <f t="shared" ref="O95:O102" si="54">O94</f>
        <v>832.35</v>
      </c>
      <c r="P95" s="36">
        <f t="shared" ref="P95:P102" si="55">P94</f>
        <v>1184.7</v>
      </c>
    </row>
    <row r="96" spans="2:16">
      <c r="C96">
        <v>4</v>
      </c>
      <c r="D96" s="36">
        <f t="shared" si="43"/>
        <v>9949956.9283361137</v>
      </c>
      <c r="E96" s="36">
        <f t="shared" si="44"/>
        <v>11790989.909303406</v>
      </c>
      <c r="F96" s="36">
        <f t="shared" si="45"/>
        <v>6184559.677382458</v>
      </c>
      <c r="G96" s="36">
        <f t="shared" si="46"/>
        <v>7242244.6792131737</v>
      </c>
      <c r="H96" s="36">
        <f t="shared" si="47"/>
        <v>3477390.0726958252</v>
      </c>
      <c r="I96" s="36">
        <f t="shared" si="48"/>
        <v>35839735.019711994</v>
      </c>
      <c r="J96" s="36">
        <f t="shared" si="49"/>
        <v>11041595.064208046</v>
      </c>
      <c r="K96" s="36">
        <f t="shared" si="50"/>
        <v>193789.4892387591</v>
      </c>
      <c r="L96" s="36">
        <f t="shared" si="51"/>
        <v>135841.31134707009</v>
      </c>
      <c r="M96" s="36">
        <f t="shared" si="52"/>
        <v>436289.25</v>
      </c>
      <c r="N96" s="36">
        <f t="shared" si="53"/>
        <v>712.35</v>
      </c>
      <c r="O96" s="36">
        <f t="shared" si="54"/>
        <v>832.35</v>
      </c>
      <c r="P96" s="36">
        <f t="shared" si="55"/>
        <v>1184.7</v>
      </c>
    </row>
    <row r="97" spans="3:16">
      <c r="C97">
        <v>5</v>
      </c>
      <c r="D97" s="36">
        <f t="shared" si="43"/>
        <v>9949956.9283361137</v>
      </c>
      <c r="E97" s="36">
        <f t="shared" si="44"/>
        <v>11790989.909303406</v>
      </c>
      <c r="F97" s="36">
        <f t="shared" si="45"/>
        <v>6184559.677382458</v>
      </c>
      <c r="G97" s="36">
        <f t="shared" si="46"/>
        <v>7242244.6792131737</v>
      </c>
      <c r="H97" s="36">
        <f t="shared" si="47"/>
        <v>3477390.0726958252</v>
      </c>
      <c r="I97" s="36">
        <f t="shared" si="48"/>
        <v>35839735.019711994</v>
      </c>
      <c r="J97" s="36">
        <f t="shared" si="49"/>
        <v>11041595.064208046</v>
      </c>
      <c r="K97" s="36">
        <f t="shared" si="50"/>
        <v>193789.4892387591</v>
      </c>
      <c r="L97" s="36">
        <f t="shared" si="51"/>
        <v>135841.31134707009</v>
      </c>
      <c r="M97" s="36">
        <f t="shared" si="52"/>
        <v>436289.25</v>
      </c>
      <c r="N97" s="36">
        <f t="shared" si="53"/>
        <v>712.35</v>
      </c>
      <c r="O97" s="36">
        <f t="shared" si="54"/>
        <v>832.35</v>
      </c>
      <c r="P97" s="36">
        <f t="shared" si="55"/>
        <v>1184.7</v>
      </c>
    </row>
    <row r="98" spans="3:16">
      <c r="C98">
        <v>6</v>
      </c>
      <c r="D98" s="36">
        <f t="shared" si="43"/>
        <v>9949956.9283361137</v>
      </c>
      <c r="E98" s="36">
        <f t="shared" si="44"/>
        <v>11790989.909303406</v>
      </c>
      <c r="F98" s="36">
        <f t="shared" si="45"/>
        <v>6184559.677382458</v>
      </c>
      <c r="G98" s="36">
        <f t="shared" si="46"/>
        <v>7242244.6792131737</v>
      </c>
      <c r="H98" s="36">
        <f t="shared" si="47"/>
        <v>3477390.0726958252</v>
      </c>
      <c r="I98" s="36">
        <f t="shared" si="48"/>
        <v>35839735.019711994</v>
      </c>
      <c r="J98" s="36">
        <f t="shared" si="49"/>
        <v>11041595.064208046</v>
      </c>
      <c r="K98" s="36">
        <f t="shared" si="50"/>
        <v>193789.4892387591</v>
      </c>
      <c r="L98" s="36">
        <f t="shared" si="51"/>
        <v>135841.31134707009</v>
      </c>
      <c r="M98" s="36">
        <f t="shared" si="52"/>
        <v>436289.25</v>
      </c>
      <c r="N98" s="36">
        <f t="shared" si="53"/>
        <v>712.35</v>
      </c>
      <c r="O98" s="36">
        <f t="shared" si="54"/>
        <v>832.35</v>
      </c>
      <c r="P98" s="36">
        <f t="shared" si="55"/>
        <v>1184.7</v>
      </c>
    </row>
    <row r="99" spans="3:16">
      <c r="C99">
        <v>7</v>
      </c>
      <c r="D99" s="36">
        <f t="shared" si="43"/>
        <v>9949956.9283361137</v>
      </c>
      <c r="E99" s="36">
        <f t="shared" si="44"/>
        <v>11790989.909303406</v>
      </c>
      <c r="F99" s="36">
        <f t="shared" si="45"/>
        <v>6184559.677382458</v>
      </c>
      <c r="G99" s="36">
        <f t="shared" si="46"/>
        <v>7242244.6792131737</v>
      </c>
      <c r="H99" s="36">
        <f t="shared" si="47"/>
        <v>3477390.0726958252</v>
      </c>
      <c r="I99" s="36">
        <f t="shared" si="48"/>
        <v>35839735.019711994</v>
      </c>
      <c r="J99" s="36">
        <f t="shared" si="49"/>
        <v>11041595.064208046</v>
      </c>
      <c r="K99" s="36">
        <f t="shared" si="50"/>
        <v>193789.4892387591</v>
      </c>
      <c r="L99" s="36">
        <f t="shared" si="51"/>
        <v>135841.31134707009</v>
      </c>
      <c r="M99" s="36">
        <f t="shared" si="52"/>
        <v>436289.25</v>
      </c>
      <c r="N99" s="36">
        <f t="shared" si="53"/>
        <v>712.35</v>
      </c>
      <c r="O99" s="36">
        <f t="shared" si="54"/>
        <v>832.35</v>
      </c>
      <c r="P99" s="36">
        <f t="shared" si="55"/>
        <v>1184.7</v>
      </c>
    </row>
    <row r="100" spans="3:16">
      <c r="C100">
        <v>8</v>
      </c>
      <c r="D100" s="36">
        <f t="shared" si="43"/>
        <v>9949956.9283361137</v>
      </c>
      <c r="E100" s="36">
        <f t="shared" si="44"/>
        <v>11790989.909303406</v>
      </c>
      <c r="F100" s="36">
        <f t="shared" si="45"/>
        <v>6184559.677382458</v>
      </c>
      <c r="G100" s="36">
        <f t="shared" si="46"/>
        <v>7242244.6792131737</v>
      </c>
      <c r="H100" s="36">
        <f t="shared" si="47"/>
        <v>3477390.0726958252</v>
      </c>
      <c r="I100" s="36">
        <f t="shared" si="48"/>
        <v>35839735.019711994</v>
      </c>
      <c r="J100" s="36">
        <f t="shared" si="49"/>
        <v>11041595.064208046</v>
      </c>
      <c r="K100" s="36">
        <f t="shared" si="50"/>
        <v>193789.4892387591</v>
      </c>
      <c r="L100" s="36">
        <f t="shared" si="51"/>
        <v>135841.31134707009</v>
      </c>
      <c r="M100" s="36">
        <f t="shared" si="52"/>
        <v>436289.25</v>
      </c>
      <c r="N100" s="36">
        <f t="shared" si="53"/>
        <v>712.35</v>
      </c>
      <c r="O100" s="36">
        <f t="shared" si="54"/>
        <v>832.35</v>
      </c>
      <c r="P100" s="36">
        <f t="shared" si="55"/>
        <v>1184.7</v>
      </c>
    </row>
    <row r="101" spans="3:16">
      <c r="C101">
        <v>9</v>
      </c>
      <c r="D101" s="36">
        <f t="shared" si="43"/>
        <v>9949956.9283361137</v>
      </c>
      <c r="E101" s="36">
        <f t="shared" si="44"/>
        <v>11790989.909303406</v>
      </c>
      <c r="F101" s="36">
        <f t="shared" si="45"/>
        <v>6184559.677382458</v>
      </c>
      <c r="G101" s="36">
        <f t="shared" si="46"/>
        <v>7242244.6792131737</v>
      </c>
      <c r="H101" s="36">
        <f t="shared" si="47"/>
        <v>3477390.0726958252</v>
      </c>
      <c r="I101" s="36">
        <f t="shared" si="48"/>
        <v>35839735.019711994</v>
      </c>
      <c r="J101" s="36">
        <f t="shared" si="49"/>
        <v>11041595.064208046</v>
      </c>
      <c r="K101" s="36">
        <f t="shared" si="50"/>
        <v>193789.4892387591</v>
      </c>
      <c r="L101" s="36">
        <f t="shared" si="51"/>
        <v>135841.31134707009</v>
      </c>
      <c r="M101" s="36">
        <f t="shared" si="52"/>
        <v>436289.25</v>
      </c>
      <c r="N101" s="36">
        <f t="shared" si="53"/>
        <v>712.35</v>
      </c>
      <c r="O101" s="36">
        <f t="shared" si="54"/>
        <v>832.35</v>
      </c>
      <c r="P101" s="36">
        <f t="shared" si="55"/>
        <v>1184.7</v>
      </c>
    </row>
    <row r="102" spans="3:16">
      <c r="C102">
        <v>10</v>
      </c>
      <c r="D102" s="36">
        <f t="shared" si="43"/>
        <v>9949956.9283361137</v>
      </c>
      <c r="E102" s="36">
        <f t="shared" si="44"/>
        <v>11790989.909303406</v>
      </c>
      <c r="F102" s="36">
        <f t="shared" si="45"/>
        <v>6184559.677382458</v>
      </c>
      <c r="G102" s="36">
        <f t="shared" si="46"/>
        <v>7242244.6792131737</v>
      </c>
      <c r="H102" s="36">
        <f t="shared" si="47"/>
        <v>3477390.0726958252</v>
      </c>
      <c r="I102" s="36">
        <f t="shared" si="48"/>
        <v>35839735.019711994</v>
      </c>
      <c r="J102" s="36">
        <f t="shared" si="49"/>
        <v>11041595.064208046</v>
      </c>
      <c r="K102" s="36">
        <f t="shared" si="50"/>
        <v>193789.4892387591</v>
      </c>
      <c r="L102" s="36">
        <f t="shared" si="51"/>
        <v>135841.31134707009</v>
      </c>
      <c r="M102" s="36">
        <f t="shared" si="52"/>
        <v>436289.25</v>
      </c>
      <c r="N102" s="36">
        <f t="shared" si="53"/>
        <v>712.35</v>
      </c>
      <c r="O102" s="36">
        <f t="shared" si="54"/>
        <v>832.35</v>
      </c>
      <c r="P102" s="36">
        <f t="shared" si="55"/>
        <v>1184.7</v>
      </c>
    </row>
    <row r="103" spans="3:16">
      <c r="C103" t="s">
        <v>149</v>
      </c>
      <c r="D103" s="36">
        <f>NPV(5%,D93:D102)+D92</f>
        <v>69082074.857417375</v>
      </c>
      <c r="E103" s="36">
        <f t="shared" ref="E103:P103" si="56">NPV(5%,E93:E102)+E92</f>
        <v>82173694.682333753</v>
      </c>
      <c r="F103" s="36">
        <f t="shared" si="56"/>
        <v>43260872.882472061</v>
      </c>
      <c r="G103" s="36">
        <f t="shared" si="56"/>
        <v>50087688.605183206</v>
      </c>
      <c r="H103" s="36">
        <f t="shared" si="56"/>
        <v>24261467.086735863</v>
      </c>
      <c r="I103" s="36">
        <f t="shared" si="56"/>
        <v>260804223.50443816</v>
      </c>
      <c r="J103" s="36">
        <f t="shared" si="56"/>
        <v>80082492.431209877</v>
      </c>
      <c r="K103" s="36">
        <f t="shared" si="56"/>
        <v>1408172.2679638101</v>
      </c>
      <c r="L103" s="36">
        <f t="shared" si="56"/>
        <v>991748.39865493984</v>
      </c>
      <c r="M103" s="36">
        <f t="shared" si="56"/>
        <v>2417777.9409528445</v>
      </c>
      <c r="N103" s="36">
        <f t="shared" si="56"/>
        <v>3490.2278768048004</v>
      </c>
      <c r="O103" s="36">
        <f t="shared" si="56"/>
        <v>4279.3360683069768</v>
      </c>
      <c r="P103" s="36">
        <f t="shared" si="56"/>
        <v>5017.2393706052471</v>
      </c>
    </row>
    <row r="104" spans="3:16">
      <c r="C104" t="s">
        <v>151</v>
      </c>
      <c r="D104" s="35">
        <f>IRR(D92:D102)</f>
        <v>1.2837223273332903</v>
      </c>
      <c r="E104" s="35">
        <f t="shared" ref="E104:P104" si="57">IRR(E92:E102)</f>
        <v>1.3285476185336749</v>
      </c>
      <c r="F104" s="35">
        <f t="shared" si="57"/>
        <v>1.3757399308542384</v>
      </c>
      <c r="G104" s="35">
        <f t="shared" si="57"/>
        <v>1.2407830572776315</v>
      </c>
      <c r="H104" s="35">
        <f t="shared" si="57"/>
        <v>1.3423426302051671</v>
      </c>
      <c r="I104" s="35">
        <f t="shared" si="57"/>
        <v>2.2482976242747337</v>
      </c>
      <c r="J104" s="35">
        <f t="shared" si="57"/>
        <v>2.1324734279996576</v>
      </c>
      <c r="K104" s="35">
        <f t="shared" si="57"/>
        <v>2.1966717982785733</v>
      </c>
      <c r="L104" s="35">
        <f t="shared" si="57"/>
        <v>2.375574988851652</v>
      </c>
      <c r="M104" s="35">
        <f t="shared" si="57"/>
        <v>0.44733293323763501</v>
      </c>
      <c r="N104" s="35">
        <f t="shared" si="57"/>
        <v>0.33457142671608797</v>
      </c>
      <c r="O104" s="35">
        <f t="shared" si="57"/>
        <v>0.37101159927348104</v>
      </c>
      <c r="P104" s="35">
        <f t="shared" si="57"/>
        <v>0.25788528157737867</v>
      </c>
    </row>
    <row r="113" spans="3:5">
      <c r="D113" t="s">
        <v>30</v>
      </c>
      <c r="E113" t="s">
        <v>31</v>
      </c>
    </row>
    <row r="114" spans="3:5">
      <c r="C114">
        <v>0</v>
      </c>
      <c r="D114">
        <f>0.84-(0.56*COS((2*PI()/24)*C114))</f>
        <v>0.27999999999999992</v>
      </c>
      <c r="E114">
        <f>2.19-(1.31*COS((2*PI()/24)*C114))</f>
        <v>0.87999999999999989</v>
      </c>
    </row>
    <row r="115" spans="3:5">
      <c r="C115">
        <v>1</v>
      </c>
      <c r="D115">
        <f t="shared" ref="D115:D138" si="58">0.84-(0.56*COS((2*PI()/24)*C115))</f>
        <v>0.2990815372781217</v>
      </c>
      <c r="E115">
        <f t="shared" ref="E115:E138" si="59">2.19-(1.31*COS((2*PI()/24)*C115))</f>
        <v>0.92463716756132031</v>
      </c>
    </row>
    <row r="116" spans="3:5">
      <c r="C116">
        <v>2</v>
      </c>
      <c r="D116">
        <f t="shared" si="58"/>
        <v>0.35502577388071427</v>
      </c>
      <c r="E116">
        <f t="shared" si="59"/>
        <v>1.0555067210423852</v>
      </c>
    </row>
    <row r="117" spans="3:5">
      <c r="C117">
        <v>3</v>
      </c>
      <c r="D117">
        <f t="shared" si="58"/>
        <v>0.44402020253553331</v>
      </c>
      <c r="E117">
        <f t="shared" si="59"/>
        <v>1.2636901166456225</v>
      </c>
    </row>
    <row r="118" spans="3:5">
      <c r="C118">
        <v>4</v>
      </c>
      <c r="D118">
        <f t="shared" si="58"/>
        <v>0.55999999999999983</v>
      </c>
      <c r="E118">
        <f t="shared" si="59"/>
        <v>1.5349999999999997</v>
      </c>
    </row>
    <row r="119" spans="3:5">
      <c r="C119">
        <v>5</v>
      </c>
      <c r="D119">
        <f t="shared" si="58"/>
        <v>0.69506133474258824</v>
      </c>
      <c r="E119">
        <f t="shared" si="59"/>
        <v>1.8509470509156976</v>
      </c>
    </row>
    <row r="120" spans="3:5">
      <c r="C120">
        <v>6</v>
      </c>
      <c r="D120">
        <f t="shared" si="58"/>
        <v>0.84</v>
      </c>
      <c r="E120">
        <f t="shared" si="59"/>
        <v>2.19</v>
      </c>
    </row>
    <row r="121" spans="3:5">
      <c r="C121">
        <v>7</v>
      </c>
      <c r="D121">
        <f t="shared" si="58"/>
        <v>0.98493866525741147</v>
      </c>
      <c r="E121">
        <f t="shared" si="59"/>
        <v>2.5290529490843019</v>
      </c>
    </row>
    <row r="122" spans="3:5">
      <c r="C122">
        <v>8</v>
      </c>
      <c r="D122">
        <f t="shared" si="58"/>
        <v>1.1199999999999999</v>
      </c>
      <c r="E122">
        <f t="shared" si="59"/>
        <v>2.8449999999999998</v>
      </c>
    </row>
    <row r="123" spans="3:5">
      <c r="C123">
        <v>9</v>
      </c>
      <c r="D123">
        <f t="shared" si="58"/>
        <v>1.2359797974644666</v>
      </c>
      <c r="E123">
        <f t="shared" si="59"/>
        <v>3.1163098833543774</v>
      </c>
    </row>
    <row r="124" spans="3:5">
      <c r="C124">
        <v>10</v>
      </c>
      <c r="D124">
        <f t="shared" si="58"/>
        <v>1.3249742261192856</v>
      </c>
      <c r="E124">
        <f t="shared" si="59"/>
        <v>3.3244932789576147</v>
      </c>
    </row>
    <row r="125" spans="3:5">
      <c r="C125">
        <v>11</v>
      </c>
      <c r="D125">
        <f t="shared" si="58"/>
        <v>1.3809184627218782</v>
      </c>
      <c r="E125">
        <f t="shared" si="59"/>
        <v>3.4553628324386794</v>
      </c>
    </row>
    <row r="126" spans="3:5">
      <c r="C126">
        <v>12</v>
      </c>
      <c r="D126">
        <f t="shared" si="58"/>
        <v>1.4</v>
      </c>
      <c r="E126">
        <f t="shared" si="59"/>
        <v>3.5</v>
      </c>
    </row>
    <row r="127" spans="3:5">
      <c r="C127">
        <v>13</v>
      </c>
      <c r="D127">
        <f t="shared" si="58"/>
        <v>1.3809184627218785</v>
      </c>
      <c r="E127">
        <f t="shared" si="59"/>
        <v>3.4553628324386798</v>
      </c>
    </row>
    <row r="128" spans="3:5">
      <c r="C128">
        <v>14</v>
      </c>
      <c r="D128">
        <f t="shared" si="58"/>
        <v>1.3249742261192858</v>
      </c>
      <c r="E128">
        <f t="shared" si="59"/>
        <v>3.3244932789576147</v>
      </c>
    </row>
    <row r="129" spans="3:5">
      <c r="C129">
        <v>15</v>
      </c>
      <c r="D129">
        <f t="shared" si="58"/>
        <v>1.2359797974644668</v>
      </c>
      <c r="E129">
        <f t="shared" si="59"/>
        <v>3.1163098833543779</v>
      </c>
    </row>
    <row r="130" spans="3:5">
      <c r="C130">
        <v>16</v>
      </c>
      <c r="D130">
        <f t="shared" si="58"/>
        <v>1.1200000000000001</v>
      </c>
      <c r="E130">
        <f t="shared" si="59"/>
        <v>2.8450000000000006</v>
      </c>
    </row>
    <row r="131" spans="3:5">
      <c r="C131">
        <v>17</v>
      </c>
      <c r="D131">
        <f t="shared" si="58"/>
        <v>0.98493866525741203</v>
      </c>
      <c r="E131">
        <f t="shared" si="59"/>
        <v>2.5290529490843032</v>
      </c>
    </row>
    <row r="132" spans="3:5">
      <c r="C132">
        <v>18</v>
      </c>
      <c r="D132">
        <f t="shared" si="58"/>
        <v>0.84000000000000008</v>
      </c>
      <c r="E132">
        <f t="shared" si="59"/>
        <v>2.1900000000000004</v>
      </c>
    </row>
    <row r="133" spans="3:5">
      <c r="C133">
        <v>19</v>
      </c>
      <c r="D133">
        <f t="shared" si="58"/>
        <v>0.69506133474258858</v>
      </c>
      <c r="E133">
        <f t="shared" si="59"/>
        <v>1.8509470509156984</v>
      </c>
    </row>
    <row r="134" spans="3:5">
      <c r="C134">
        <v>20</v>
      </c>
      <c r="D134">
        <f t="shared" si="58"/>
        <v>0.56000000000000028</v>
      </c>
      <c r="E134">
        <f t="shared" si="59"/>
        <v>1.5350000000000008</v>
      </c>
    </row>
    <row r="135" spans="3:5">
      <c r="C135">
        <v>21</v>
      </c>
      <c r="D135">
        <f t="shared" si="58"/>
        <v>0.44402020253553343</v>
      </c>
      <c r="E135">
        <f t="shared" si="59"/>
        <v>1.2636901166456229</v>
      </c>
    </row>
    <row r="136" spans="3:5">
      <c r="C136">
        <v>22</v>
      </c>
      <c r="D136">
        <f t="shared" si="58"/>
        <v>0.35502577388071443</v>
      </c>
      <c r="E136">
        <f t="shared" si="59"/>
        <v>1.0555067210423856</v>
      </c>
    </row>
    <row r="137" spans="3:5">
      <c r="C137">
        <v>23</v>
      </c>
      <c r="D137">
        <f t="shared" si="58"/>
        <v>0.29908153727812181</v>
      </c>
      <c r="E137">
        <f t="shared" si="59"/>
        <v>0.92463716756132075</v>
      </c>
    </row>
    <row r="138" spans="3:5">
      <c r="C138">
        <v>24</v>
      </c>
      <c r="D138">
        <f t="shared" si="58"/>
        <v>0.27999999999999992</v>
      </c>
      <c r="E138">
        <f t="shared" si="59"/>
        <v>0.87999999999999989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8BC3-8D00-4898-BF9D-D574041E7B7B}">
  <dimension ref="A1:W138"/>
  <sheetViews>
    <sheetView tabSelected="1" topLeftCell="A13" workbookViewId="0">
      <selection activeCell="D19" sqref="D19"/>
    </sheetView>
  </sheetViews>
  <sheetFormatPr defaultColWidth="10.7109375" defaultRowHeight="15"/>
  <cols>
    <col min="1" max="1" width="25.140625" customWidth="1"/>
    <col min="2" max="2" width="18.7109375" customWidth="1"/>
    <col min="4" max="16" width="22.7109375" customWidth="1"/>
    <col min="19" max="19" width="23.7109375" customWidth="1"/>
  </cols>
  <sheetData>
    <row r="1" spans="1:23">
      <c r="A1" t="s">
        <v>152</v>
      </c>
      <c r="C1" t="s">
        <v>5</v>
      </c>
      <c r="D1" t="s">
        <v>76</v>
      </c>
      <c r="S1" t="s">
        <v>77</v>
      </c>
      <c r="T1" t="s">
        <v>5</v>
      </c>
      <c r="U1" t="s">
        <v>78</v>
      </c>
      <c r="V1" t="s">
        <v>48</v>
      </c>
      <c r="W1" t="s">
        <v>49</v>
      </c>
    </row>
    <row r="2" spans="1:23">
      <c r="D2" t="s">
        <v>6</v>
      </c>
      <c r="E2" t="s">
        <v>7</v>
      </c>
      <c r="F2" t="s">
        <v>154</v>
      </c>
      <c r="G2" t="s">
        <v>155</v>
      </c>
      <c r="H2" t="s">
        <v>156</v>
      </c>
      <c r="I2" t="s">
        <v>8</v>
      </c>
      <c r="J2" t="s">
        <v>9</v>
      </c>
      <c r="K2" t="s">
        <v>10</v>
      </c>
      <c r="L2" t="s">
        <v>157</v>
      </c>
      <c r="M2" t="s">
        <v>11</v>
      </c>
      <c r="N2" t="s">
        <v>12</v>
      </c>
      <c r="O2" t="s">
        <v>13</v>
      </c>
      <c r="P2" t="s">
        <v>14</v>
      </c>
      <c r="S2" t="s">
        <v>50</v>
      </c>
      <c r="T2" t="s">
        <v>51</v>
      </c>
      <c r="U2" t="s">
        <v>83</v>
      </c>
      <c r="V2" s="33">
        <v>5</v>
      </c>
      <c r="W2" s="33">
        <v>10</v>
      </c>
    </row>
    <row r="3" spans="1:2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c r="B14" t="s">
        <v>31</v>
      </c>
      <c r="D14" s="34">
        <v>36</v>
      </c>
      <c r="E14" s="34">
        <v>27</v>
      </c>
      <c r="F14" s="34">
        <v>18</v>
      </c>
      <c r="G14" s="34">
        <v>45</v>
      </c>
      <c r="H14" s="34">
        <v>24</v>
      </c>
      <c r="I14" s="34">
        <v>5</v>
      </c>
      <c r="J14" s="34">
        <v>13</v>
      </c>
      <c r="K14" s="34">
        <v>10</v>
      </c>
      <c r="L14" s="34">
        <v>2</v>
      </c>
      <c r="M14" s="34">
        <v>10</v>
      </c>
      <c r="N14" s="34">
        <v>7</v>
      </c>
      <c r="O14" s="34">
        <v>17</v>
      </c>
      <c r="P14" s="34">
        <v>11</v>
      </c>
    </row>
    <row r="15" spans="1:23">
      <c r="A15" t="s">
        <v>122</v>
      </c>
      <c r="B15" t="s">
        <v>30</v>
      </c>
      <c r="C15" t="s">
        <v>134</v>
      </c>
      <c r="D15" s="34">
        <v>591</v>
      </c>
      <c r="E15" s="34">
        <v>545</v>
      </c>
      <c r="F15" s="34">
        <v>552</v>
      </c>
      <c r="G15" s="34">
        <v>330</v>
      </c>
      <c r="H15" s="34">
        <f t="shared" ref="D15:P15" si="0">_xlfn.CEILING.MATH((H8*H9*H7)/$V4)</f>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c r="A19" t="s">
        <v>142</v>
      </c>
      <c r="C19" t="s">
        <v>141</v>
      </c>
      <c r="D19">
        <v>0.06</v>
      </c>
      <c r="E19">
        <v>0.06</v>
      </c>
      <c r="F19">
        <v>0.06</v>
      </c>
      <c r="G19">
        <v>0.06</v>
      </c>
      <c r="H19">
        <v>1.4</v>
      </c>
      <c r="I19">
        <v>4.4000000000000004</v>
      </c>
      <c r="J19">
        <v>4.4000000000000004</v>
      </c>
      <c r="K19">
        <v>2.1</v>
      </c>
      <c r="L19">
        <v>2.2999999999999998</v>
      </c>
      <c r="M19">
        <v>0.5</v>
      </c>
      <c r="N19">
        <v>0.02</v>
      </c>
      <c r="O19">
        <v>0.02</v>
      </c>
      <c r="P19">
        <v>0.02</v>
      </c>
    </row>
    <row r="25" spans="1:16">
      <c r="D25" t="s">
        <v>6</v>
      </c>
      <c r="E25" t="s">
        <v>7</v>
      </c>
      <c r="F25" t="s">
        <v>154</v>
      </c>
      <c r="G25" t="s">
        <v>155</v>
      </c>
      <c r="H25" t="s">
        <v>156</v>
      </c>
      <c r="I25" t="s">
        <v>8</v>
      </c>
      <c r="J25" t="s">
        <v>9</v>
      </c>
      <c r="K25" t="s">
        <v>10</v>
      </c>
      <c r="L25" t="s">
        <v>82</v>
      </c>
      <c r="M25" t="s">
        <v>11</v>
      </c>
      <c r="N25" t="s">
        <v>12</v>
      </c>
      <c r="O25" t="s">
        <v>13</v>
      </c>
      <c r="P25" t="s">
        <v>14</v>
      </c>
    </row>
    <row r="26" spans="1:16">
      <c r="C26" t="s">
        <v>135</v>
      </c>
      <c r="D26">
        <f t="shared" ref="D26:P26" si="2">(D13)*$V7*D15</f>
        <v>31204.800000000003</v>
      </c>
      <c r="E26">
        <f t="shared" si="2"/>
        <v>21582</v>
      </c>
      <c r="F26">
        <f t="shared" si="2"/>
        <v>14572.800000000001</v>
      </c>
      <c r="G26">
        <f t="shared" si="2"/>
        <v>21780</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c r="C27" t="s">
        <v>136</v>
      </c>
      <c r="D27">
        <f t="shared" ref="D27:P27" si="3">(D11)*$V8*D15</f>
        <v>44369.325000000004</v>
      </c>
      <c r="E27">
        <f t="shared" si="3"/>
        <v>34621.125</v>
      </c>
      <c r="F27">
        <f t="shared" si="3"/>
        <v>38891.159999999996</v>
      </c>
      <c r="G27">
        <f t="shared" si="3"/>
        <v>22106.700000000004</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c r="C28" t="s">
        <v>125</v>
      </c>
      <c r="D28" s="33">
        <f t="shared" ref="D28:P28" si="4">$V9*D15</f>
        <v>85340.400000000009</v>
      </c>
      <c r="E28" s="33">
        <f t="shared" si="4"/>
        <v>78698</v>
      </c>
      <c r="F28" s="33">
        <f t="shared" si="4"/>
        <v>79708.800000000003</v>
      </c>
      <c r="G28" s="33">
        <f t="shared" si="4"/>
        <v>47652</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c r="C29" t="s">
        <v>126</v>
      </c>
      <c r="D29" s="33">
        <f>$V10*D15</f>
        <v>85340.400000000009</v>
      </c>
      <c r="E29" s="33">
        <f t="shared" ref="E29:P29" si="5">$V10*E15</f>
        <v>78698</v>
      </c>
      <c r="F29" s="33">
        <f t="shared" si="5"/>
        <v>79708.800000000003</v>
      </c>
      <c r="G29" s="33">
        <f t="shared" si="5"/>
        <v>47652</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c r="C30" t="s">
        <v>127</v>
      </c>
      <c r="D30" s="33">
        <f>$V11*D15</f>
        <v>36701.1</v>
      </c>
      <c r="E30" s="33">
        <f t="shared" ref="E30:P30" si="6">$V11*E15</f>
        <v>33844.5</v>
      </c>
      <c r="F30" s="33">
        <f t="shared" si="6"/>
        <v>34279.200000000004</v>
      </c>
      <c r="G30" s="33">
        <f t="shared" si="6"/>
        <v>20493</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c r="C31" t="s">
        <v>128</v>
      </c>
      <c r="D31">
        <f>D17*D15</f>
        <v>341184.3</v>
      </c>
      <c r="E31">
        <f t="shared" ref="E31:P31" si="7">E17*E15</f>
        <v>314628.5</v>
      </c>
      <c r="F31">
        <f t="shared" si="7"/>
        <v>318669.59999999998</v>
      </c>
      <c r="G31">
        <f t="shared" si="7"/>
        <v>190508.99999999997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c r="C32" t="s">
        <v>140</v>
      </c>
      <c r="D32">
        <f>SUM(D26:D31)</f>
        <v>624140.32499999995</v>
      </c>
      <c r="E32">
        <f t="shared" ref="E32:P32" si="8">SUM(E26:E31)</f>
        <v>562072.125</v>
      </c>
      <c r="F32">
        <f t="shared" si="8"/>
        <v>565830.36</v>
      </c>
      <c r="G32">
        <f t="shared" si="8"/>
        <v>350192.69999999995</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c r="D36" t="s">
        <v>6</v>
      </c>
      <c r="E36" t="s">
        <v>7</v>
      </c>
      <c r="F36" t="s">
        <v>154</v>
      </c>
      <c r="G36" t="s">
        <v>155</v>
      </c>
      <c r="H36" t="s">
        <v>156</v>
      </c>
      <c r="I36" t="s">
        <v>8</v>
      </c>
      <c r="J36" t="s">
        <v>9</v>
      </c>
      <c r="K36" t="s">
        <v>10</v>
      </c>
      <c r="L36" t="s">
        <v>82</v>
      </c>
      <c r="M36" t="s">
        <v>11</v>
      </c>
      <c r="N36" t="s">
        <v>12</v>
      </c>
      <c r="O36" t="s">
        <v>13</v>
      </c>
      <c r="P36" t="s">
        <v>14</v>
      </c>
    </row>
    <row r="37" spans="3:16">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c r="C48" t="s">
        <v>147</v>
      </c>
    </row>
    <row r="49" spans="2:16">
      <c r="B49" t="s">
        <v>143</v>
      </c>
      <c r="C49" t="s">
        <v>144</v>
      </c>
      <c r="D49">
        <v>-2</v>
      </c>
      <c r="E49">
        <v>-2</v>
      </c>
      <c r="F49">
        <v>-2</v>
      </c>
      <c r="G49">
        <v>-2</v>
      </c>
      <c r="H49">
        <v>-2</v>
      </c>
      <c r="I49">
        <v>-2</v>
      </c>
      <c r="J49">
        <v>-2</v>
      </c>
      <c r="K49">
        <v>-2</v>
      </c>
      <c r="L49">
        <v>-2</v>
      </c>
      <c r="M49">
        <v>-2</v>
      </c>
      <c r="N49">
        <v>-2</v>
      </c>
      <c r="O49">
        <v>-2</v>
      </c>
      <c r="P49">
        <v>-2</v>
      </c>
    </row>
    <row r="50" spans="2:16">
      <c r="C50" t="s">
        <v>145</v>
      </c>
      <c r="D50">
        <v>2</v>
      </c>
      <c r="E50">
        <v>2</v>
      </c>
      <c r="F50">
        <v>2</v>
      </c>
      <c r="G50">
        <v>2</v>
      </c>
      <c r="H50">
        <v>2</v>
      </c>
      <c r="I50">
        <v>2</v>
      </c>
      <c r="J50">
        <v>2</v>
      </c>
      <c r="K50">
        <v>2</v>
      </c>
      <c r="L50">
        <v>2</v>
      </c>
      <c r="M50">
        <v>2</v>
      </c>
      <c r="N50">
        <v>2</v>
      </c>
      <c r="O50">
        <v>2</v>
      </c>
      <c r="P50">
        <v>2</v>
      </c>
    </row>
    <row r="51" spans="2:16">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c r="C53" t="s">
        <v>148</v>
      </c>
    </row>
    <row r="54" spans="2:16">
      <c r="B54" t="s">
        <v>143</v>
      </c>
      <c r="C54" t="s">
        <v>144</v>
      </c>
      <c r="D54">
        <v>-2</v>
      </c>
      <c r="E54">
        <v>-2</v>
      </c>
      <c r="F54">
        <v>-2</v>
      </c>
      <c r="G54">
        <v>-2</v>
      </c>
      <c r="H54">
        <v>-2</v>
      </c>
      <c r="I54">
        <v>-2</v>
      </c>
      <c r="J54">
        <v>-2</v>
      </c>
      <c r="K54">
        <v>-2</v>
      </c>
      <c r="L54">
        <v>-2</v>
      </c>
      <c r="M54">
        <v>-2</v>
      </c>
      <c r="N54">
        <v>-2</v>
      </c>
      <c r="O54">
        <v>-2</v>
      </c>
      <c r="P54">
        <v>-2</v>
      </c>
    </row>
    <row r="55" spans="2:16">
      <c r="C55" t="s">
        <v>145</v>
      </c>
      <c r="D55">
        <v>2</v>
      </c>
      <c r="E55">
        <v>2</v>
      </c>
      <c r="F55">
        <v>2</v>
      </c>
      <c r="G55">
        <v>2</v>
      </c>
      <c r="H55">
        <v>2</v>
      </c>
      <c r="I55">
        <v>2</v>
      </c>
      <c r="J55">
        <v>2</v>
      </c>
      <c r="K55">
        <v>2</v>
      </c>
      <c r="L55">
        <v>2</v>
      </c>
      <c r="M55">
        <v>2</v>
      </c>
      <c r="N55">
        <v>2</v>
      </c>
      <c r="O55">
        <v>2</v>
      </c>
      <c r="P55">
        <v>2</v>
      </c>
    </row>
    <row r="56" spans="2:16">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c r="C60" t="s">
        <v>147</v>
      </c>
    </row>
    <row r="61" spans="2:16">
      <c r="D61" t="s">
        <v>6</v>
      </c>
      <c r="E61" t="s">
        <v>7</v>
      </c>
      <c r="F61" t="s">
        <v>79</v>
      </c>
      <c r="G61" t="s">
        <v>80</v>
      </c>
      <c r="H61" t="s">
        <v>81</v>
      </c>
      <c r="I61" t="s">
        <v>8</v>
      </c>
      <c r="J61" t="s">
        <v>9</v>
      </c>
      <c r="K61" t="s">
        <v>10</v>
      </c>
      <c r="L61" t="s">
        <v>82</v>
      </c>
      <c r="M61" t="s">
        <v>11</v>
      </c>
      <c r="N61" t="s">
        <v>12</v>
      </c>
      <c r="O61" t="s">
        <v>13</v>
      </c>
      <c r="P61" t="s">
        <v>14</v>
      </c>
    </row>
    <row r="62" spans="2:16">
      <c r="C62" t="s">
        <v>139</v>
      </c>
      <c r="D62">
        <f>D15*((365*D51*D10)+$V13)</f>
        <v>764179.00858051248</v>
      </c>
      <c r="E62">
        <f t="shared" ref="E62:P62" si="18">E15*((365*E51*E10)+$V13)</f>
        <v>704699.76256578567</v>
      </c>
      <c r="F62">
        <f t="shared" si="18"/>
        <v>713750.95217672235</v>
      </c>
      <c r="G62">
        <f t="shared" si="18"/>
        <v>426698.93880130141</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c r="C64" t="s">
        <v>148</v>
      </c>
    </row>
    <row r="65" spans="2:16">
      <c r="D65" t="s">
        <v>6</v>
      </c>
      <c r="E65" t="s">
        <v>7</v>
      </c>
      <c r="F65" t="s">
        <v>79</v>
      </c>
      <c r="G65" t="s">
        <v>80</v>
      </c>
      <c r="H65" t="s">
        <v>81</v>
      </c>
      <c r="I65" t="s">
        <v>8</v>
      </c>
      <c r="J65" t="s">
        <v>9</v>
      </c>
      <c r="K65" t="s">
        <v>10</v>
      </c>
      <c r="L65" t="s">
        <v>82</v>
      </c>
      <c r="M65" t="s">
        <v>11</v>
      </c>
      <c r="N65" t="s">
        <v>12</v>
      </c>
      <c r="O65" t="s">
        <v>13</v>
      </c>
      <c r="P65" t="s">
        <v>14</v>
      </c>
    </row>
    <row r="66" spans="2:16">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c r="C68" t="s">
        <v>147</v>
      </c>
    </row>
    <row r="69" spans="2:16">
      <c r="D69" t="s">
        <v>6</v>
      </c>
      <c r="E69" t="s">
        <v>7</v>
      </c>
      <c r="F69" t="s">
        <v>79</v>
      </c>
      <c r="G69" t="s">
        <v>80</v>
      </c>
      <c r="H69" t="s">
        <v>81</v>
      </c>
      <c r="I69" t="s">
        <v>8</v>
      </c>
      <c r="J69" t="s">
        <v>9</v>
      </c>
      <c r="K69" t="s">
        <v>10</v>
      </c>
      <c r="L69" t="s">
        <v>82</v>
      </c>
      <c r="M69" t="s">
        <v>11</v>
      </c>
      <c r="N69" t="s">
        <v>12</v>
      </c>
      <c r="O69" t="s">
        <v>13</v>
      </c>
      <c r="P69" t="s">
        <v>14</v>
      </c>
    </row>
    <row r="70" spans="2:16">
      <c r="C70" t="s">
        <v>138</v>
      </c>
      <c r="D70">
        <f>D8*12*D19</f>
        <v>786605.03999999992</v>
      </c>
      <c r="E70">
        <f t="shared" ref="E70:P70" si="20">E8*12*E19</f>
        <v>932199.84</v>
      </c>
      <c r="F70">
        <f t="shared" si="20"/>
        <v>489121.92</v>
      </c>
      <c r="G70">
        <f t="shared" si="20"/>
        <v>572731.91999999993</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c r="C72" t="s">
        <v>148</v>
      </c>
    </row>
    <row r="73" spans="2:16">
      <c r="D73" t="s">
        <v>6</v>
      </c>
      <c r="E73" t="s">
        <v>7</v>
      </c>
      <c r="F73" t="s">
        <v>79</v>
      </c>
      <c r="G73" t="s">
        <v>80</v>
      </c>
      <c r="H73" t="s">
        <v>81</v>
      </c>
      <c r="I73" t="s">
        <v>8</v>
      </c>
      <c r="J73" t="s">
        <v>9</v>
      </c>
      <c r="K73" t="s">
        <v>10</v>
      </c>
      <c r="L73" t="s">
        <v>82</v>
      </c>
      <c r="M73" t="s">
        <v>11</v>
      </c>
      <c r="N73" t="s">
        <v>12</v>
      </c>
      <c r="O73" t="s">
        <v>13</v>
      </c>
      <c r="P73" t="s">
        <v>14</v>
      </c>
    </row>
    <row r="74" spans="2:16">
      <c r="C74" t="s">
        <v>138</v>
      </c>
      <c r="D74">
        <f>D8*12*D19</f>
        <v>786605.03999999992</v>
      </c>
      <c r="E74">
        <f>E8*12*E19</f>
        <v>932199.84</v>
      </c>
      <c r="F74">
        <f t="shared" ref="F74:P74" si="21">F8*12*F19</f>
        <v>489121.92</v>
      </c>
      <c r="G74">
        <f t="shared" si="21"/>
        <v>572731.91999999993</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c r="C77" t="s">
        <v>30</v>
      </c>
    </row>
    <row r="78" spans="2:16">
      <c r="B78" t="s">
        <v>149</v>
      </c>
      <c r="D78" t="s">
        <v>6</v>
      </c>
      <c r="E78" t="s">
        <v>7</v>
      </c>
      <c r="F78" t="s">
        <v>154</v>
      </c>
      <c r="G78" t="s">
        <v>155</v>
      </c>
      <c r="H78" t="s">
        <v>156</v>
      </c>
      <c r="I78" t="s">
        <v>8</v>
      </c>
      <c r="J78" t="s">
        <v>9</v>
      </c>
      <c r="K78" t="s">
        <v>10</v>
      </c>
      <c r="L78" t="s">
        <v>82</v>
      </c>
      <c r="M78" t="s">
        <v>11</v>
      </c>
      <c r="N78" t="s">
        <v>12</v>
      </c>
      <c r="O78" t="s">
        <v>13</v>
      </c>
      <c r="P78" t="s">
        <v>14</v>
      </c>
    </row>
    <row r="79" spans="2:16">
      <c r="C79" t="s">
        <v>150</v>
      </c>
      <c r="D79" s="36">
        <f>D32*-1</f>
        <v>-624140.32499999995</v>
      </c>
      <c r="E79" s="36">
        <f t="shared" ref="E79:P79" si="22">E32*-1</f>
        <v>-562072.125</v>
      </c>
      <c r="F79" s="36">
        <f t="shared" si="22"/>
        <v>-565830.36</v>
      </c>
      <c r="G79" s="36">
        <f t="shared" si="22"/>
        <v>-350192.69999999995</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c r="C80">
        <v>1</v>
      </c>
      <c r="D80" s="36">
        <f>D70-D62</f>
        <v>22426.031419487437</v>
      </c>
      <c r="E80" s="36">
        <f>E70-E62</f>
        <v>227500.0774342143</v>
      </c>
      <c r="F80" s="36">
        <f t="shared" ref="F80:P80" si="23">F70-F62</f>
        <v>-224629.03217672236</v>
      </c>
      <c r="G80" s="36">
        <f t="shared" si="23"/>
        <v>146032.98119869852</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c r="C81">
        <v>2</v>
      </c>
      <c r="D81" s="36">
        <f>D80</f>
        <v>22426.031419487437</v>
      </c>
      <c r="E81" s="36">
        <f t="shared" ref="E81:P84" si="24">E80</f>
        <v>227500.0774342143</v>
      </c>
      <c r="F81" s="36">
        <f t="shared" si="24"/>
        <v>-224629.03217672236</v>
      </c>
      <c r="G81" s="36">
        <f t="shared" si="24"/>
        <v>146032.98119869852</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c r="C82">
        <v>3</v>
      </c>
      <c r="D82" s="36">
        <f t="shared" ref="D82:D84" si="25">D81</f>
        <v>22426.031419487437</v>
      </c>
      <c r="E82" s="36">
        <f t="shared" si="24"/>
        <v>227500.0774342143</v>
      </c>
      <c r="F82" s="36">
        <f t="shared" si="24"/>
        <v>-224629.03217672236</v>
      </c>
      <c r="G82" s="36">
        <f t="shared" si="24"/>
        <v>146032.98119869852</v>
      </c>
      <c r="H82" s="36">
        <f t="shared" si="24"/>
        <v>3545938.6120712371</v>
      </c>
      <c r="I82" s="36">
        <f t="shared" si="24"/>
        <v>36556695.677557632</v>
      </c>
      <c r="J82" s="36">
        <f t="shared" si="24"/>
        <v>11262058.815014903</v>
      </c>
      <c r="K82" s="36">
        <f t="shared" si="24"/>
        <v>200278.35991586279</v>
      </c>
      <c r="L82" s="36">
        <f t="shared" si="24"/>
        <v>141059.49758148295</v>
      </c>
      <c r="M82" s="36">
        <f t="shared" si="24"/>
        <v>432813.6</v>
      </c>
      <c r="N82" s="36">
        <f t="shared" si="24"/>
        <v>704.7</v>
      </c>
      <c r="O82" s="36">
        <f t="shared" si="24"/>
        <v>824.7</v>
      </c>
      <c r="P82" s="36">
        <f t="shared" si="24"/>
        <v>1174.5</v>
      </c>
    </row>
    <row r="83" spans="2:16">
      <c r="C83">
        <v>4</v>
      </c>
      <c r="D83" s="36">
        <f t="shared" si="25"/>
        <v>22426.031419487437</v>
      </c>
      <c r="E83" s="36">
        <f t="shared" si="24"/>
        <v>227500.0774342143</v>
      </c>
      <c r="F83" s="36">
        <f t="shared" si="24"/>
        <v>-224629.03217672236</v>
      </c>
      <c r="G83" s="36">
        <f t="shared" si="24"/>
        <v>146032.98119869852</v>
      </c>
      <c r="H83" s="36">
        <f t="shared" si="24"/>
        <v>3545938.6120712371</v>
      </c>
      <c r="I83" s="36">
        <f t="shared" si="24"/>
        <v>36556695.677557632</v>
      </c>
      <c r="J83" s="36">
        <f t="shared" si="24"/>
        <v>11262058.815014903</v>
      </c>
      <c r="K83" s="36">
        <f t="shared" si="24"/>
        <v>200278.35991586279</v>
      </c>
      <c r="L83" s="36">
        <f t="shared" si="24"/>
        <v>141059.49758148295</v>
      </c>
      <c r="M83" s="36">
        <f t="shared" si="24"/>
        <v>432813.6</v>
      </c>
      <c r="N83" s="36">
        <f t="shared" si="24"/>
        <v>704.7</v>
      </c>
      <c r="O83" s="36">
        <f t="shared" si="24"/>
        <v>824.7</v>
      </c>
      <c r="P83" s="36">
        <f t="shared" si="24"/>
        <v>1174.5</v>
      </c>
    </row>
    <row r="84" spans="2:16">
      <c r="C84">
        <v>5</v>
      </c>
      <c r="D84" s="36">
        <f t="shared" si="25"/>
        <v>22426.031419487437</v>
      </c>
      <c r="E84" s="36">
        <f t="shared" si="24"/>
        <v>227500.0774342143</v>
      </c>
      <c r="F84" s="36">
        <f t="shared" si="24"/>
        <v>-224629.03217672236</v>
      </c>
      <c r="G84" s="36">
        <f t="shared" si="24"/>
        <v>146032.98119869852</v>
      </c>
      <c r="H84" s="36">
        <f t="shared" si="24"/>
        <v>3545938.6120712371</v>
      </c>
      <c r="I84" s="36">
        <f t="shared" si="24"/>
        <v>36556695.677557632</v>
      </c>
      <c r="J84" s="36">
        <f t="shared" si="24"/>
        <v>11262058.815014903</v>
      </c>
      <c r="K84" s="36">
        <f t="shared" si="24"/>
        <v>200278.35991586279</v>
      </c>
      <c r="L84" s="36">
        <f t="shared" si="24"/>
        <v>141059.49758148295</v>
      </c>
      <c r="M84" s="36">
        <f t="shared" si="24"/>
        <v>432813.6</v>
      </c>
      <c r="N84" s="36">
        <f t="shared" si="24"/>
        <v>704.7</v>
      </c>
      <c r="O84" s="36">
        <f t="shared" si="24"/>
        <v>824.7</v>
      </c>
      <c r="P84" s="36">
        <f t="shared" si="24"/>
        <v>1174.5</v>
      </c>
    </row>
    <row r="85" spans="2:16">
      <c r="C85" t="s">
        <v>149</v>
      </c>
      <c r="D85" s="36">
        <f>NPV(5%,D80:D84)+D79</f>
        <v>-527047.34515449533</v>
      </c>
      <c r="E85" s="36">
        <f t="shared" ref="E85:P85" si="26">NPV(5%,E80:E84)+E79</f>
        <v>422884.15281813557</v>
      </c>
      <c r="F85" s="36">
        <f t="shared" si="26"/>
        <v>-1538356.5143554991</v>
      </c>
      <c r="G85" s="36">
        <f t="shared" si="26"/>
        <v>282053.68524243438</v>
      </c>
      <c r="H85" s="36">
        <f t="shared" si="26"/>
        <v>13085385.186451446</v>
      </c>
      <c r="I85" s="36">
        <f t="shared" si="26"/>
        <v>144560556.53133625</v>
      </c>
      <c r="J85" s="36">
        <f t="shared" si="26"/>
        <v>44455628.792879194</v>
      </c>
      <c r="K85" s="36">
        <f t="shared" si="26"/>
        <v>802085.37688793044</v>
      </c>
      <c r="L85" s="36">
        <f t="shared" si="26"/>
        <v>562573.2039499348</v>
      </c>
      <c r="M85" s="36">
        <f t="shared" si="26"/>
        <v>1090279.3039317387</v>
      </c>
      <c r="N85" s="36">
        <f t="shared" si="26"/>
        <v>1556.1122097935383</v>
      </c>
      <c r="O85" s="36">
        <f t="shared" si="26"/>
        <v>2025.9844102692362</v>
      </c>
      <c r="P85" s="36">
        <f t="shared" si="26"/>
        <v>2532.1953496558967</v>
      </c>
    </row>
    <row r="86" spans="2:16">
      <c r="C86" t="s">
        <v>151</v>
      </c>
      <c r="D86" s="35">
        <f>IRR(D79:D84)</f>
        <v>-0.39020398140025525</v>
      </c>
      <c r="E86" s="35">
        <f t="shared" ref="E86:P86" si="27">IRR(E79:E84)</f>
        <v>0.29257266152720152</v>
      </c>
      <c r="F86" s="35" t="e">
        <f t="shared" si="27"/>
        <v>#NUM!</v>
      </c>
      <c r="G86" s="35">
        <f t="shared" si="27"/>
        <v>0.30815094791652142</v>
      </c>
      <c r="H86" s="35">
        <f t="shared" si="27"/>
        <v>1.5498671875128234</v>
      </c>
      <c r="I86" s="35">
        <f t="shared" si="27"/>
        <v>2.662221739719159</v>
      </c>
      <c r="J86" s="35">
        <f t="shared" si="27"/>
        <v>2.6128889926271164</v>
      </c>
      <c r="K86" s="35">
        <f t="shared" si="27"/>
        <v>3.0777572393321089</v>
      </c>
      <c r="L86" s="35">
        <f t="shared" si="27"/>
        <v>2.9270191737214066</v>
      </c>
      <c r="M86" s="35">
        <f t="shared" si="27"/>
        <v>0.47259215563672297</v>
      </c>
      <c r="N86" s="35">
        <f t="shared" si="27"/>
        <v>0.37576258090731463</v>
      </c>
      <c r="O86" s="35">
        <f t="shared" si="27"/>
        <v>0.45090366688612882</v>
      </c>
      <c r="P86" s="35">
        <f t="shared" si="27"/>
        <v>0.36187950910258171</v>
      </c>
    </row>
    <row r="90" spans="2:16">
      <c r="C90" t="s">
        <v>31</v>
      </c>
    </row>
    <row r="91" spans="2:16">
      <c r="B91" t="s">
        <v>149</v>
      </c>
      <c r="D91" t="s">
        <v>6</v>
      </c>
      <c r="E91" t="s">
        <v>7</v>
      </c>
      <c r="F91" t="s">
        <v>79</v>
      </c>
      <c r="G91" t="s">
        <v>80</v>
      </c>
      <c r="H91" t="s">
        <v>81</v>
      </c>
      <c r="I91" t="s">
        <v>8</v>
      </c>
      <c r="J91" t="s">
        <v>9</v>
      </c>
      <c r="K91" t="s">
        <v>10</v>
      </c>
      <c r="L91" t="s">
        <v>82</v>
      </c>
      <c r="M91" t="s">
        <v>11</v>
      </c>
      <c r="N91" t="s">
        <v>12</v>
      </c>
      <c r="O91" t="s">
        <v>13</v>
      </c>
      <c r="P91" t="s">
        <v>14</v>
      </c>
    </row>
    <row r="92" spans="2:16">
      <c r="C92" t="s">
        <v>150</v>
      </c>
      <c r="D92" s="36">
        <f>D43*-1</f>
        <v>-7748855.1000000006</v>
      </c>
      <c r="E92" s="36">
        <f t="shared" ref="E92:P92" si="28">E43*-1</f>
        <v>-8873203.9500000011</v>
      </c>
      <c r="F92" s="36">
        <f t="shared" si="28"/>
        <v>-4494657.6000000006</v>
      </c>
      <c r="G92" s="36">
        <f t="shared" si="28"/>
        <v>-5835005.1000000006</v>
      </c>
      <c r="H92" s="36">
        <f t="shared" si="28"/>
        <v>-2590017.3000000003</v>
      </c>
      <c r="I92" s="36">
        <f t="shared" si="28"/>
        <v>-15940710.25</v>
      </c>
      <c r="J92" s="36">
        <f t="shared" si="28"/>
        <v>-5177777.8500000006</v>
      </c>
      <c r="K92" s="36">
        <f t="shared" si="28"/>
        <v>-88218.799999999988</v>
      </c>
      <c r="L92" s="36">
        <f t="shared" si="28"/>
        <v>-57182.200000000004</v>
      </c>
      <c r="M92" s="36">
        <f t="shared" si="28"/>
        <v>-951132</v>
      </c>
      <c r="N92" s="36">
        <f t="shared" si="28"/>
        <v>-2010.35</v>
      </c>
      <c r="O92" s="36">
        <f t="shared" si="28"/>
        <v>-2147.85</v>
      </c>
      <c r="P92" s="36">
        <f t="shared" si="28"/>
        <v>-4130.7</v>
      </c>
    </row>
    <row r="93" spans="2:16">
      <c r="C93">
        <v>1</v>
      </c>
      <c r="D93" s="36">
        <f>D74-D66</f>
        <v>-7617555.631663884</v>
      </c>
      <c r="E93" s="36">
        <f>E74-E66</f>
        <v>-9028139.8506965917</v>
      </c>
      <c r="F93" s="36">
        <f t="shared" ref="F93:P93" si="29">F74-F66</f>
        <v>-4739163.202617541</v>
      </c>
      <c r="G93" s="36">
        <f t="shared" si="29"/>
        <v>-5548768.2007868253</v>
      </c>
      <c r="H93" s="36">
        <f t="shared" si="29"/>
        <v>3477390.0726958252</v>
      </c>
      <c r="I93" s="36">
        <f t="shared" si="29"/>
        <v>35839735.019711994</v>
      </c>
      <c r="J93" s="36">
        <f t="shared" si="29"/>
        <v>11041595.064208046</v>
      </c>
      <c r="K93" s="36">
        <f t="shared" si="29"/>
        <v>193789.4892387591</v>
      </c>
      <c r="L93" s="36">
        <f t="shared" si="29"/>
        <v>135841.31134707009</v>
      </c>
      <c r="M93" s="36">
        <f t="shared" si="29"/>
        <v>436289.25</v>
      </c>
      <c r="N93" s="36">
        <f t="shared" si="29"/>
        <v>712.35</v>
      </c>
      <c r="O93" s="36">
        <f t="shared" si="29"/>
        <v>832.35</v>
      </c>
      <c r="P93" s="36">
        <f t="shared" si="29"/>
        <v>1184.7</v>
      </c>
    </row>
    <row r="94" spans="2:16">
      <c r="C94">
        <v>2</v>
      </c>
      <c r="D94" s="36">
        <f>D93</f>
        <v>-7617555.631663884</v>
      </c>
      <c r="E94" s="36">
        <f t="shared" ref="E94:P102" si="30">E93</f>
        <v>-9028139.8506965917</v>
      </c>
      <c r="F94" s="36">
        <f t="shared" si="30"/>
        <v>-4739163.202617541</v>
      </c>
      <c r="G94" s="36">
        <f t="shared" si="30"/>
        <v>-5548768.2007868253</v>
      </c>
      <c r="H94" s="36">
        <f t="shared" si="30"/>
        <v>3477390.0726958252</v>
      </c>
      <c r="I94" s="36">
        <f t="shared" si="30"/>
        <v>35839735.019711994</v>
      </c>
      <c r="J94" s="36">
        <f t="shared" si="30"/>
        <v>11041595.064208046</v>
      </c>
      <c r="K94" s="36">
        <f t="shared" si="30"/>
        <v>193789.4892387591</v>
      </c>
      <c r="L94" s="36">
        <f t="shared" si="30"/>
        <v>135841.31134707009</v>
      </c>
      <c r="M94" s="36">
        <f t="shared" si="30"/>
        <v>436289.25</v>
      </c>
      <c r="N94" s="36">
        <f t="shared" si="30"/>
        <v>712.35</v>
      </c>
      <c r="O94" s="36">
        <f t="shared" si="30"/>
        <v>832.35</v>
      </c>
      <c r="P94" s="36">
        <f t="shared" si="30"/>
        <v>1184.7</v>
      </c>
    </row>
    <row r="95" spans="2:16">
      <c r="C95">
        <v>3</v>
      </c>
      <c r="D95" s="36">
        <f t="shared" ref="D95:D102" si="31">D94</f>
        <v>-7617555.631663884</v>
      </c>
      <c r="E95" s="36">
        <f t="shared" si="30"/>
        <v>-9028139.8506965917</v>
      </c>
      <c r="F95" s="36">
        <f t="shared" si="30"/>
        <v>-4739163.202617541</v>
      </c>
      <c r="G95" s="36">
        <f t="shared" si="30"/>
        <v>-5548768.2007868253</v>
      </c>
      <c r="H95" s="36">
        <f t="shared" si="30"/>
        <v>3477390.0726958252</v>
      </c>
      <c r="I95" s="36">
        <f t="shared" si="30"/>
        <v>35839735.019711994</v>
      </c>
      <c r="J95" s="36">
        <f t="shared" si="30"/>
        <v>11041595.064208046</v>
      </c>
      <c r="K95" s="36">
        <f t="shared" si="30"/>
        <v>193789.4892387591</v>
      </c>
      <c r="L95" s="36">
        <f t="shared" si="30"/>
        <v>135841.31134707009</v>
      </c>
      <c r="M95" s="36">
        <f t="shared" si="30"/>
        <v>436289.25</v>
      </c>
      <c r="N95" s="36">
        <f t="shared" si="30"/>
        <v>712.35</v>
      </c>
      <c r="O95" s="36">
        <f t="shared" si="30"/>
        <v>832.35</v>
      </c>
      <c r="P95" s="36">
        <f t="shared" si="30"/>
        <v>1184.7</v>
      </c>
    </row>
    <row r="96" spans="2:16">
      <c r="C96">
        <v>4</v>
      </c>
      <c r="D96" s="36">
        <f t="shared" si="31"/>
        <v>-7617555.631663884</v>
      </c>
      <c r="E96" s="36">
        <f t="shared" si="30"/>
        <v>-9028139.8506965917</v>
      </c>
      <c r="F96" s="36">
        <f t="shared" si="30"/>
        <v>-4739163.202617541</v>
      </c>
      <c r="G96" s="36">
        <f t="shared" si="30"/>
        <v>-5548768.2007868253</v>
      </c>
      <c r="H96" s="36">
        <f t="shared" si="30"/>
        <v>3477390.0726958252</v>
      </c>
      <c r="I96" s="36">
        <f t="shared" si="30"/>
        <v>35839735.019711994</v>
      </c>
      <c r="J96" s="36">
        <f t="shared" si="30"/>
        <v>11041595.064208046</v>
      </c>
      <c r="K96" s="36">
        <f t="shared" si="30"/>
        <v>193789.4892387591</v>
      </c>
      <c r="L96" s="36">
        <f t="shared" si="30"/>
        <v>135841.31134707009</v>
      </c>
      <c r="M96" s="36">
        <f t="shared" si="30"/>
        <v>436289.25</v>
      </c>
      <c r="N96" s="36">
        <f t="shared" si="30"/>
        <v>712.35</v>
      </c>
      <c r="O96" s="36">
        <f t="shared" si="30"/>
        <v>832.35</v>
      </c>
      <c r="P96" s="36">
        <f t="shared" si="30"/>
        <v>1184.7</v>
      </c>
    </row>
    <row r="97" spans="3:16">
      <c r="C97">
        <v>5</v>
      </c>
      <c r="D97" s="36">
        <f t="shared" si="31"/>
        <v>-7617555.631663884</v>
      </c>
      <c r="E97" s="36">
        <f t="shared" si="30"/>
        <v>-9028139.8506965917</v>
      </c>
      <c r="F97" s="36">
        <f t="shared" si="30"/>
        <v>-4739163.202617541</v>
      </c>
      <c r="G97" s="36">
        <f t="shared" si="30"/>
        <v>-5548768.2007868253</v>
      </c>
      <c r="H97" s="36">
        <f t="shared" si="30"/>
        <v>3477390.0726958252</v>
      </c>
      <c r="I97" s="36">
        <f t="shared" si="30"/>
        <v>35839735.019711994</v>
      </c>
      <c r="J97" s="36">
        <f t="shared" si="30"/>
        <v>11041595.064208046</v>
      </c>
      <c r="K97" s="36">
        <f t="shared" si="30"/>
        <v>193789.4892387591</v>
      </c>
      <c r="L97" s="36">
        <f t="shared" si="30"/>
        <v>135841.31134707009</v>
      </c>
      <c r="M97" s="36">
        <f t="shared" si="30"/>
        <v>436289.25</v>
      </c>
      <c r="N97" s="36">
        <f t="shared" si="30"/>
        <v>712.35</v>
      </c>
      <c r="O97" s="36">
        <f t="shared" si="30"/>
        <v>832.35</v>
      </c>
      <c r="P97" s="36">
        <f t="shared" si="30"/>
        <v>1184.7</v>
      </c>
    </row>
    <row r="98" spans="3:16">
      <c r="C98">
        <v>6</v>
      </c>
      <c r="D98" s="36">
        <f t="shared" si="31"/>
        <v>-7617555.631663884</v>
      </c>
      <c r="E98" s="36">
        <f t="shared" si="30"/>
        <v>-9028139.8506965917</v>
      </c>
      <c r="F98" s="36">
        <f t="shared" si="30"/>
        <v>-4739163.202617541</v>
      </c>
      <c r="G98" s="36">
        <f t="shared" si="30"/>
        <v>-5548768.2007868253</v>
      </c>
      <c r="H98" s="36">
        <f t="shared" si="30"/>
        <v>3477390.0726958252</v>
      </c>
      <c r="I98" s="36">
        <f t="shared" si="30"/>
        <v>35839735.019711994</v>
      </c>
      <c r="J98" s="36">
        <f t="shared" si="30"/>
        <v>11041595.064208046</v>
      </c>
      <c r="K98" s="36">
        <f t="shared" si="30"/>
        <v>193789.4892387591</v>
      </c>
      <c r="L98" s="36">
        <f t="shared" si="30"/>
        <v>135841.31134707009</v>
      </c>
      <c r="M98" s="36">
        <f t="shared" si="30"/>
        <v>436289.25</v>
      </c>
      <c r="N98" s="36">
        <f t="shared" si="30"/>
        <v>712.35</v>
      </c>
      <c r="O98" s="36">
        <f t="shared" si="30"/>
        <v>832.35</v>
      </c>
      <c r="P98" s="36">
        <f t="shared" si="30"/>
        <v>1184.7</v>
      </c>
    </row>
    <row r="99" spans="3:16">
      <c r="C99">
        <v>7</v>
      </c>
      <c r="D99" s="36">
        <f t="shared" si="31"/>
        <v>-7617555.631663884</v>
      </c>
      <c r="E99" s="36">
        <f t="shared" si="30"/>
        <v>-9028139.8506965917</v>
      </c>
      <c r="F99" s="36">
        <f t="shared" si="30"/>
        <v>-4739163.202617541</v>
      </c>
      <c r="G99" s="36">
        <f t="shared" si="30"/>
        <v>-5548768.2007868253</v>
      </c>
      <c r="H99" s="36">
        <f t="shared" si="30"/>
        <v>3477390.0726958252</v>
      </c>
      <c r="I99" s="36">
        <f t="shared" si="30"/>
        <v>35839735.019711994</v>
      </c>
      <c r="J99" s="36">
        <f t="shared" si="30"/>
        <v>11041595.064208046</v>
      </c>
      <c r="K99" s="36">
        <f t="shared" si="30"/>
        <v>193789.4892387591</v>
      </c>
      <c r="L99" s="36">
        <f t="shared" si="30"/>
        <v>135841.31134707009</v>
      </c>
      <c r="M99" s="36">
        <f t="shared" si="30"/>
        <v>436289.25</v>
      </c>
      <c r="N99" s="36">
        <f t="shared" si="30"/>
        <v>712.35</v>
      </c>
      <c r="O99" s="36">
        <f t="shared" si="30"/>
        <v>832.35</v>
      </c>
      <c r="P99" s="36">
        <f t="shared" si="30"/>
        <v>1184.7</v>
      </c>
    </row>
    <row r="100" spans="3:16">
      <c r="C100">
        <v>8</v>
      </c>
      <c r="D100" s="36">
        <f t="shared" si="31"/>
        <v>-7617555.631663884</v>
      </c>
      <c r="E100" s="36">
        <f t="shared" si="30"/>
        <v>-9028139.8506965917</v>
      </c>
      <c r="F100" s="36">
        <f t="shared" si="30"/>
        <v>-4739163.202617541</v>
      </c>
      <c r="G100" s="36">
        <f t="shared" si="30"/>
        <v>-5548768.2007868253</v>
      </c>
      <c r="H100" s="36">
        <f t="shared" si="30"/>
        <v>3477390.0726958252</v>
      </c>
      <c r="I100" s="36">
        <f t="shared" si="30"/>
        <v>35839735.019711994</v>
      </c>
      <c r="J100" s="36">
        <f t="shared" si="30"/>
        <v>11041595.064208046</v>
      </c>
      <c r="K100" s="36">
        <f t="shared" si="30"/>
        <v>193789.4892387591</v>
      </c>
      <c r="L100" s="36">
        <f t="shared" si="30"/>
        <v>135841.31134707009</v>
      </c>
      <c r="M100" s="36">
        <f t="shared" si="30"/>
        <v>436289.25</v>
      </c>
      <c r="N100" s="36">
        <f t="shared" si="30"/>
        <v>712.35</v>
      </c>
      <c r="O100" s="36">
        <f t="shared" si="30"/>
        <v>832.35</v>
      </c>
      <c r="P100" s="36">
        <f t="shared" si="30"/>
        <v>1184.7</v>
      </c>
    </row>
    <row r="101" spans="3:16">
      <c r="C101">
        <v>9</v>
      </c>
      <c r="D101" s="36">
        <f t="shared" si="31"/>
        <v>-7617555.631663884</v>
      </c>
      <c r="E101" s="36">
        <f t="shared" si="30"/>
        <v>-9028139.8506965917</v>
      </c>
      <c r="F101" s="36">
        <f t="shared" si="30"/>
        <v>-4739163.202617541</v>
      </c>
      <c r="G101" s="36">
        <f t="shared" si="30"/>
        <v>-5548768.2007868253</v>
      </c>
      <c r="H101" s="36">
        <f t="shared" si="30"/>
        <v>3477390.0726958252</v>
      </c>
      <c r="I101" s="36">
        <f t="shared" si="30"/>
        <v>35839735.019711994</v>
      </c>
      <c r="J101" s="36">
        <f t="shared" si="30"/>
        <v>11041595.064208046</v>
      </c>
      <c r="K101" s="36">
        <f t="shared" si="30"/>
        <v>193789.4892387591</v>
      </c>
      <c r="L101" s="36">
        <f t="shared" si="30"/>
        <v>135841.31134707009</v>
      </c>
      <c r="M101" s="36">
        <f t="shared" si="30"/>
        <v>436289.25</v>
      </c>
      <c r="N101" s="36">
        <f t="shared" si="30"/>
        <v>712.35</v>
      </c>
      <c r="O101" s="36">
        <f t="shared" si="30"/>
        <v>832.35</v>
      </c>
      <c r="P101" s="36">
        <f t="shared" si="30"/>
        <v>1184.7</v>
      </c>
    </row>
    <row r="102" spans="3:16">
      <c r="C102">
        <v>10</v>
      </c>
      <c r="D102" s="36">
        <f t="shared" si="31"/>
        <v>-7617555.631663884</v>
      </c>
      <c r="E102" s="36">
        <f t="shared" si="30"/>
        <v>-9028139.8506965917</v>
      </c>
      <c r="F102" s="36">
        <f t="shared" si="30"/>
        <v>-4739163.202617541</v>
      </c>
      <c r="G102" s="36">
        <f t="shared" si="30"/>
        <v>-5548768.2007868253</v>
      </c>
      <c r="H102" s="36">
        <f t="shared" si="30"/>
        <v>3477390.0726958252</v>
      </c>
      <c r="I102" s="36">
        <f t="shared" si="30"/>
        <v>35839735.019711994</v>
      </c>
      <c r="J102" s="36">
        <f t="shared" si="30"/>
        <v>11041595.064208046</v>
      </c>
      <c r="K102" s="36">
        <f t="shared" si="30"/>
        <v>193789.4892387591</v>
      </c>
      <c r="L102" s="36">
        <f t="shared" si="30"/>
        <v>135841.31134707009</v>
      </c>
      <c r="M102" s="36">
        <f t="shared" si="30"/>
        <v>436289.25</v>
      </c>
      <c r="N102" s="36">
        <f t="shared" si="30"/>
        <v>712.35</v>
      </c>
      <c r="O102" s="36">
        <f t="shared" si="30"/>
        <v>832.35</v>
      </c>
      <c r="P102" s="36">
        <f t="shared" si="30"/>
        <v>1184.7</v>
      </c>
    </row>
    <row r="103" spans="3:16">
      <c r="C103" t="s">
        <v>149</v>
      </c>
      <c r="D103" s="36">
        <f>NPV(5%,D93:D102)+D92</f>
        <v>-66569600.496027485</v>
      </c>
      <c r="E103" s="36">
        <f t="shared" ref="E103:P103" si="32">NPV(5%,E93:E102)+E92</f>
        <v>-78586106.780689225</v>
      </c>
      <c r="F103" s="36">
        <f t="shared" si="32"/>
        <v>-41089219.636759214</v>
      </c>
      <c r="G103" s="36">
        <f t="shared" si="32"/>
        <v>-48681122.329965584</v>
      </c>
      <c r="H103" s="36">
        <f t="shared" si="32"/>
        <v>24261467.086735863</v>
      </c>
      <c r="I103" s="36">
        <f t="shared" si="32"/>
        <v>260804223.50443816</v>
      </c>
      <c r="J103" s="36">
        <f t="shared" si="32"/>
        <v>80082492.431209877</v>
      </c>
      <c r="K103" s="36">
        <f t="shared" si="32"/>
        <v>1408172.2679638101</v>
      </c>
      <c r="L103" s="36">
        <f t="shared" si="32"/>
        <v>991748.39865493984</v>
      </c>
      <c r="M103" s="36">
        <f t="shared" si="32"/>
        <v>2417777.9409528445</v>
      </c>
      <c r="N103" s="36">
        <f t="shared" si="32"/>
        <v>3490.2278768048004</v>
      </c>
      <c r="O103" s="36">
        <f t="shared" si="32"/>
        <v>4279.3360683069768</v>
      </c>
      <c r="P103" s="36">
        <f t="shared" si="32"/>
        <v>5017.2393706052471</v>
      </c>
    </row>
    <row r="104" spans="3:16">
      <c r="C104" t="s">
        <v>151</v>
      </c>
      <c r="D104" s="35" t="e">
        <f>IRR(D92:D102)</f>
        <v>#NUM!</v>
      </c>
      <c r="E104" s="35" t="e">
        <f t="shared" ref="E104:P104" si="33">IRR(E92:E102)</f>
        <v>#NUM!</v>
      </c>
      <c r="F104" s="35" t="e">
        <f t="shared" si="33"/>
        <v>#NUM!</v>
      </c>
      <c r="G104" s="35" t="e">
        <f t="shared" si="33"/>
        <v>#NUM!</v>
      </c>
      <c r="H104" s="35">
        <f t="shared" si="33"/>
        <v>1.3423426302051671</v>
      </c>
      <c r="I104" s="35">
        <f t="shared" si="33"/>
        <v>2.2482976242747337</v>
      </c>
      <c r="J104" s="35">
        <f t="shared" si="33"/>
        <v>2.1324734279996576</v>
      </c>
      <c r="K104" s="35">
        <f t="shared" si="33"/>
        <v>2.1966717982785733</v>
      </c>
      <c r="L104" s="35">
        <f t="shared" si="33"/>
        <v>2.375574988851652</v>
      </c>
      <c r="M104" s="35">
        <f t="shared" si="33"/>
        <v>0.44733293323763501</v>
      </c>
      <c r="N104" s="35">
        <f t="shared" si="33"/>
        <v>0.33457142671608797</v>
      </c>
      <c r="O104" s="35">
        <f t="shared" si="33"/>
        <v>0.37101159927348104</v>
      </c>
      <c r="P104" s="35">
        <f t="shared" si="33"/>
        <v>0.25788528157737867</v>
      </c>
    </row>
    <row r="113" spans="3:5">
      <c r="D113" t="s">
        <v>30</v>
      </c>
      <c r="E113" t="s">
        <v>31</v>
      </c>
    </row>
    <row r="114" spans="3:5">
      <c r="C114">
        <v>0</v>
      </c>
      <c r="D114">
        <f>0.84-(0.56*COS((2*PI()/24)*C114))</f>
        <v>0.27999999999999992</v>
      </c>
      <c r="E114">
        <f>2.19-(1.31*COS((2*PI()/24)*C114))</f>
        <v>0.87999999999999989</v>
      </c>
    </row>
    <row r="115" spans="3:5">
      <c r="C115">
        <v>1</v>
      </c>
      <c r="D115">
        <f t="shared" ref="D115:D138" si="34">0.84-(0.56*COS((2*PI()/24)*C115))</f>
        <v>0.2990815372781217</v>
      </c>
      <c r="E115">
        <f t="shared" ref="E115:E138" si="35">2.19-(1.31*COS((2*PI()/24)*C115))</f>
        <v>0.92463716756132031</v>
      </c>
    </row>
    <row r="116" spans="3:5">
      <c r="C116">
        <v>2</v>
      </c>
      <c r="D116">
        <f t="shared" si="34"/>
        <v>0.35502577388071427</v>
      </c>
      <c r="E116">
        <f t="shared" si="35"/>
        <v>1.0555067210423852</v>
      </c>
    </row>
    <row r="117" spans="3:5">
      <c r="C117">
        <v>3</v>
      </c>
      <c r="D117">
        <f t="shared" si="34"/>
        <v>0.44402020253553331</v>
      </c>
      <c r="E117">
        <f t="shared" si="35"/>
        <v>1.2636901166456225</v>
      </c>
    </row>
    <row r="118" spans="3:5">
      <c r="C118">
        <v>4</v>
      </c>
      <c r="D118">
        <f t="shared" si="34"/>
        <v>0.55999999999999983</v>
      </c>
      <c r="E118">
        <f t="shared" si="35"/>
        <v>1.5349999999999997</v>
      </c>
    </row>
    <row r="119" spans="3:5">
      <c r="C119">
        <v>5</v>
      </c>
      <c r="D119">
        <f t="shared" si="34"/>
        <v>0.69506133474258824</v>
      </c>
      <c r="E119">
        <f t="shared" si="35"/>
        <v>1.8509470509156976</v>
      </c>
    </row>
    <row r="120" spans="3:5">
      <c r="C120">
        <v>6</v>
      </c>
      <c r="D120">
        <f t="shared" si="34"/>
        <v>0.84</v>
      </c>
      <c r="E120">
        <f t="shared" si="35"/>
        <v>2.19</v>
      </c>
    </row>
    <row r="121" spans="3:5">
      <c r="C121">
        <v>7</v>
      </c>
      <c r="D121">
        <f t="shared" si="34"/>
        <v>0.98493866525741147</v>
      </c>
      <c r="E121">
        <f t="shared" si="35"/>
        <v>2.5290529490843019</v>
      </c>
    </row>
    <row r="122" spans="3:5">
      <c r="C122">
        <v>8</v>
      </c>
      <c r="D122">
        <f t="shared" si="34"/>
        <v>1.1199999999999999</v>
      </c>
      <c r="E122">
        <f t="shared" si="35"/>
        <v>2.8449999999999998</v>
      </c>
    </row>
    <row r="123" spans="3:5">
      <c r="C123">
        <v>9</v>
      </c>
      <c r="D123">
        <f t="shared" si="34"/>
        <v>1.2359797974644666</v>
      </c>
      <c r="E123">
        <f t="shared" si="35"/>
        <v>3.1163098833543774</v>
      </c>
    </row>
    <row r="124" spans="3:5">
      <c r="C124">
        <v>10</v>
      </c>
      <c r="D124">
        <f t="shared" si="34"/>
        <v>1.3249742261192856</v>
      </c>
      <c r="E124">
        <f t="shared" si="35"/>
        <v>3.3244932789576147</v>
      </c>
    </row>
    <row r="125" spans="3:5">
      <c r="C125">
        <v>11</v>
      </c>
      <c r="D125">
        <f t="shared" si="34"/>
        <v>1.3809184627218782</v>
      </c>
      <c r="E125">
        <f t="shared" si="35"/>
        <v>3.4553628324386794</v>
      </c>
    </row>
    <row r="126" spans="3:5">
      <c r="C126">
        <v>12</v>
      </c>
      <c r="D126">
        <f t="shared" si="34"/>
        <v>1.4</v>
      </c>
      <c r="E126">
        <f t="shared" si="35"/>
        <v>3.5</v>
      </c>
    </row>
    <row r="127" spans="3:5">
      <c r="C127">
        <v>13</v>
      </c>
      <c r="D127">
        <f t="shared" si="34"/>
        <v>1.3809184627218785</v>
      </c>
      <c r="E127">
        <f t="shared" si="35"/>
        <v>3.4553628324386798</v>
      </c>
    </row>
    <row r="128" spans="3:5">
      <c r="C128">
        <v>14</v>
      </c>
      <c r="D128">
        <f t="shared" si="34"/>
        <v>1.3249742261192858</v>
      </c>
      <c r="E128">
        <f t="shared" si="35"/>
        <v>3.3244932789576147</v>
      </c>
    </row>
    <row r="129" spans="3:5">
      <c r="C129">
        <v>15</v>
      </c>
      <c r="D129">
        <f t="shared" si="34"/>
        <v>1.2359797974644668</v>
      </c>
      <c r="E129">
        <f t="shared" si="35"/>
        <v>3.1163098833543779</v>
      </c>
    </row>
    <row r="130" spans="3:5">
      <c r="C130">
        <v>16</v>
      </c>
      <c r="D130">
        <f t="shared" si="34"/>
        <v>1.1200000000000001</v>
      </c>
      <c r="E130">
        <f t="shared" si="35"/>
        <v>2.8450000000000006</v>
      </c>
    </row>
    <row r="131" spans="3:5">
      <c r="C131">
        <v>17</v>
      </c>
      <c r="D131">
        <f t="shared" si="34"/>
        <v>0.98493866525741203</v>
      </c>
      <c r="E131">
        <f t="shared" si="35"/>
        <v>2.5290529490843032</v>
      </c>
    </row>
    <row r="132" spans="3:5">
      <c r="C132">
        <v>18</v>
      </c>
      <c r="D132">
        <f t="shared" si="34"/>
        <v>0.84000000000000008</v>
      </c>
      <c r="E132">
        <f t="shared" si="35"/>
        <v>2.1900000000000004</v>
      </c>
    </row>
    <row r="133" spans="3:5">
      <c r="C133">
        <v>19</v>
      </c>
      <c r="D133">
        <f t="shared" si="34"/>
        <v>0.69506133474258858</v>
      </c>
      <c r="E133">
        <f t="shared" si="35"/>
        <v>1.8509470509156984</v>
      </c>
    </row>
    <row r="134" spans="3:5">
      <c r="C134">
        <v>20</v>
      </c>
      <c r="D134">
        <f t="shared" si="34"/>
        <v>0.56000000000000028</v>
      </c>
      <c r="E134">
        <f t="shared" si="35"/>
        <v>1.5350000000000008</v>
      </c>
    </row>
    <row r="135" spans="3:5">
      <c r="C135">
        <v>21</v>
      </c>
      <c r="D135">
        <f t="shared" si="34"/>
        <v>0.44402020253553343</v>
      </c>
      <c r="E135">
        <f t="shared" si="35"/>
        <v>1.2636901166456229</v>
      </c>
    </row>
    <row r="136" spans="3:5">
      <c r="C136">
        <v>22</v>
      </c>
      <c r="D136">
        <f t="shared" si="34"/>
        <v>0.35502577388071443</v>
      </c>
      <c r="E136">
        <f t="shared" si="35"/>
        <v>1.0555067210423856</v>
      </c>
    </row>
    <row r="137" spans="3:5">
      <c r="C137">
        <v>23</v>
      </c>
      <c r="D137">
        <f t="shared" si="34"/>
        <v>0.29908153727812181</v>
      </c>
      <c r="E137">
        <f t="shared" si="35"/>
        <v>0.92463716756132075</v>
      </c>
    </row>
    <row r="138" spans="3:5">
      <c r="C138">
        <v>24</v>
      </c>
      <c r="D138">
        <f t="shared" si="34"/>
        <v>0.27999999999999992</v>
      </c>
      <c r="E138">
        <f t="shared" si="35"/>
        <v>0.87999999999999989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DATA</vt:lpstr>
      <vt:lpstr>TOPOLOGY</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 Maluleke</cp:lastModifiedBy>
  <dcterms:created xsi:type="dcterms:W3CDTF">2018-02-22T09:19:24Z</dcterms:created>
  <dcterms:modified xsi:type="dcterms:W3CDTF">2018-10-05T11:12:05Z</dcterms:modified>
</cp:coreProperties>
</file>