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31"/>
  <workbookPr codeName="ThisWorkbook"/>
  <mc:AlternateContent xmlns:mc="http://schemas.openxmlformats.org/markup-compatibility/2006">
    <mc:Choice Requires="x15">
      <x15ac:absPath xmlns:x15ac="http://schemas.microsoft.com/office/spreadsheetml/2010/11/ac" url="C:\Users\Kloniphani Maluleke\Projects\Exocoetidae\Project Wing\Model\"/>
    </mc:Choice>
  </mc:AlternateContent>
  <xr:revisionPtr revIDLastSave="0" documentId="13_ncr:1_{4590EC72-9305-412C-8FD6-77FC2DB575FE}" xr6:coauthVersionLast="45" xr6:coauthVersionMax="45" xr10:uidLastSave="{00000000-0000-0000-0000-000000000000}"/>
  <bookViews>
    <workbookView xWindow="-120" yWindow="-120" windowWidth="29040" windowHeight="15990" xr2:uid="{00000000-000D-0000-FFFF-FFFF00000000}"/>
  </bookViews>
  <sheets>
    <sheet name="Max"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 i="2" l="1"/>
  <c r="D25" i="2"/>
  <c r="D19" i="2"/>
  <c r="D21" i="2"/>
  <c r="D20" i="2"/>
  <c r="D24" i="2"/>
  <c r="D23" i="2"/>
  <c r="Q29" i="2" l="1"/>
  <c r="E17" i="2" l="1"/>
  <c r="F17" i="2"/>
  <c r="G17" i="2"/>
  <c r="H17" i="2"/>
  <c r="I17" i="2"/>
  <c r="J17" i="2"/>
  <c r="K17" i="2"/>
  <c r="L17" i="2"/>
  <c r="M17" i="2"/>
  <c r="N17" i="2"/>
  <c r="O17" i="2"/>
  <c r="P17" i="2"/>
  <c r="E18" i="2"/>
  <c r="F18" i="2"/>
  <c r="G18" i="2"/>
  <c r="H18" i="2"/>
  <c r="I18" i="2"/>
  <c r="J18" i="2"/>
  <c r="K18" i="2"/>
  <c r="L18" i="2"/>
  <c r="M18" i="2"/>
  <c r="N18" i="2"/>
  <c r="O18" i="2"/>
  <c r="P18" i="2"/>
  <c r="E19" i="2"/>
  <c r="F19" i="2"/>
  <c r="G19" i="2"/>
  <c r="H19" i="2"/>
  <c r="I19" i="2"/>
  <c r="J19" i="2"/>
  <c r="K19" i="2"/>
  <c r="L19" i="2"/>
  <c r="M19" i="2"/>
  <c r="N19" i="2"/>
  <c r="O19" i="2"/>
  <c r="P19" i="2"/>
  <c r="D18" i="2"/>
  <c r="D17" i="2"/>
  <c r="D36" i="2" s="1"/>
  <c r="D32" i="2" l="1"/>
  <c r="F164" i="2" l="1"/>
  <c r="F165" i="2"/>
  <c r="F166" i="2"/>
  <c r="F167" i="2"/>
  <c r="F168" i="2"/>
  <c r="F169" i="2"/>
  <c r="F170" i="2"/>
  <c r="F171" i="2"/>
  <c r="F172" i="2"/>
  <c r="F173" i="2"/>
  <c r="F174" i="2"/>
  <c r="F175" i="2"/>
  <c r="F176" i="2"/>
  <c r="F177" i="2"/>
  <c r="F178" i="2"/>
  <c r="F179" i="2"/>
  <c r="F180" i="2"/>
  <c r="F181" i="2"/>
  <c r="F182" i="2"/>
  <c r="F183" i="2"/>
  <c r="F184" i="2"/>
  <c r="F185" i="2"/>
  <c r="F186" i="2"/>
  <c r="F187" i="2"/>
  <c r="F163" i="2"/>
  <c r="E113" i="2"/>
  <c r="F113" i="2"/>
  <c r="G113" i="2"/>
  <c r="H113" i="2"/>
  <c r="I113" i="2"/>
  <c r="J113" i="2"/>
  <c r="K113" i="2"/>
  <c r="L113" i="2"/>
  <c r="M113" i="2"/>
  <c r="N113" i="2"/>
  <c r="O113" i="2"/>
  <c r="P113" i="2"/>
  <c r="D113" i="2"/>
  <c r="D105" i="2"/>
  <c r="E85" i="2"/>
  <c r="F85" i="2"/>
  <c r="G85" i="2"/>
  <c r="H85" i="2"/>
  <c r="I85" i="2"/>
  <c r="J85" i="2"/>
  <c r="K85" i="2"/>
  <c r="L85" i="2"/>
  <c r="M85" i="2"/>
  <c r="N85" i="2"/>
  <c r="O85" i="2"/>
  <c r="P85" i="2"/>
  <c r="D85" i="2"/>
  <c r="D75" i="2"/>
  <c r="D100" i="2" l="1"/>
  <c r="D150" i="2" s="1"/>
  <c r="D61" i="2"/>
  <c r="D60" i="2"/>
  <c r="D59" i="2"/>
  <c r="D58" i="2"/>
  <c r="D57" i="2"/>
  <c r="E61" i="2"/>
  <c r="F61" i="2"/>
  <c r="G100" i="2"/>
  <c r="G150" i="2" s="1"/>
  <c r="H100" i="2"/>
  <c r="H150" i="2" s="1"/>
  <c r="I100" i="2"/>
  <c r="I150" i="2" s="1"/>
  <c r="J100" i="2"/>
  <c r="J150" i="2" s="1"/>
  <c r="K100" i="2"/>
  <c r="K150" i="2" s="1"/>
  <c r="L100" i="2"/>
  <c r="L150" i="2" s="1"/>
  <c r="M100" i="2"/>
  <c r="M150" i="2" s="1"/>
  <c r="N100" i="2"/>
  <c r="N150" i="2" s="1"/>
  <c r="O100" i="2"/>
  <c r="O150" i="2" s="1"/>
  <c r="P100" i="2"/>
  <c r="P150" i="2" s="1"/>
  <c r="D47" i="2"/>
  <c r="H59" i="2" l="1"/>
  <c r="H60" i="2"/>
  <c r="H61" i="2"/>
  <c r="P58" i="2"/>
  <c r="I58" i="2"/>
  <c r="N58" i="2"/>
  <c r="P59" i="2"/>
  <c r="P61" i="2"/>
  <c r="M58" i="2"/>
  <c r="O59" i="2"/>
  <c r="O61" i="2"/>
  <c r="J58" i="2"/>
  <c r="L59" i="2"/>
  <c r="L61" i="2"/>
  <c r="H58" i="2"/>
  <c r="G59" i="2"/>
  <c r="G61" i="2"/>
  <c r="P60" i="2"/>
  <c r="L60" i="2"/>
  <c r="K60" i="2"/>
  <c r="N59" i="2"/>
  <c r="F59" i="2"/>
  <c r="J60" i="2"/>
  <c r="N61" i="2"/>
  <c r="O58" i="2"/>
  <c r="G58" i="2"/>
  <c r="M59" i="2"/>
  <c r="E59" i="2"/>
  <c r="I60" i="2"/>
  <c r="M61" i="2"/>
  <c r="F58" i="2"/>
  <c r="F100" i="2"/>
  <c r="F150" i="2" s="1"/>
  <c r="K61" i="2"/>
  <c r="E100" i="2"/>
  <c r="E150" i="2" s="1"/>
  <c r="E58" i="2"/>
  <c r="L58" i="2"/>
  <c r="J59" i="2"/>
  <c r="N60" i="2"/>
  <c r="F60" i="2"/>
  <c r="J61" i="2"/>
  <c r="K59" i="2"/>
  <c r="O60" i="2"/>
  <c r="G60" i="2"/>
  <c r="K58" i="2"/>
  <c r="I59" i="2"/>
  <c r="M60" i="2"/>
  <c r="E60" i="2"/>
  <c r="I61" i="2"/>
  <c r="D62" i="2"/>
  <c r="D149" i="2" s="1"/>
  <c r="E57" i="2"/>
  <c r="F57" i="2"/>
  <c r="G57" i="2"/>
  <c r="H57" i="2"/>
  <c r="I57" i="2"/>
  <c r="J57" i="2"/>
  <c r="K57" i="2"/>
  <c r="L57" i="2"/>
  <c r="M57" i="2"/>
  <c r="N57" i="2"/>
  <c r="O57" i="2"/>
  <c r="P57" i="2"/>
  <c r="O62" i="2" l="1"/>
  <c r="O149" i="2" s="1"/>
  <c r="H62" i="2"/>
  <c r="H149" i="2" s="1"/>
  <c r="K62" i="2"/>
  <c r="K149" i="2" s="1"/>
  <c r="P62" i="2"/>
  <c r="P149" i="2" s="1"/>
  <c r="F62" i="2"/>
  <c r="F149" i="2" s="1"/>
  <c r="G62" i="2"/>
  <c r="G149" i="2" s="1"/>
  <c r="L62" i="2"/>
  <c r="L149" i="2" s="1"/>
  <c r="M62" i="2"/>
  <c r="M149" i="2" s="1"/>
  <c r="J62" i="2"/>
  <c r="J149" i="2" s="1"/>
  <c r="E62" i="2"/>
  <c r="E149" i="2" s="1"/>
  <c r="N62" i="2"/>
  <c r="N149" i="2" s="1"/>
  <c r="I62" i="2"/>
  <c r="I149" i="2" s="1"/>
  <c r="E75" i="2" l="1"/>
  <c r="F75" i="2"/>
  <c r="G75" i="2"/>
  <c r="H75" i="2"/>
  <c r="I75" i="2"/>
  <c r="J75" i="2"/>
  <c r="K75" i="2"/>
  <c r="L75" i="2"/>
  <c r="M75" i="2"/>
  <c r="N75" i="2"/>
  <c r="O75" i="2"/>
  <c r="P75" i="2"/>
  <c r="E80" i="2"/>
  <c r="F80" i="2"/>
  <c r="G80" i="2"/>
  <c r="H80" i="2"/>
  <c r="I80" i="2"/>
  <c r="J80" i="2"/>
  <c r="K80" i="2"/>
  <c r="L80" i="2"/>
  <c r="M80" i="2"/>
  <c r="N80" i="2"/>
  <c r="O80" i="2"/>
  <c r="P80" i="2"/>
  <c r="D80" i="2"/>
  <c r="E164" i="2" l="1"/>
  <c r="E165" i="2"/>
  <c r="E166" i="2"/>
  <c r="E167" i="2"/>
  <c r="E168" i="2"/>
  <c r="E169" i="2"/>
  <c r="E170" i="2"/>
  <c r="E171" i="2"/>
  <c r="E172" i="2"/>
  <c r="E173" i="2"/>
  <c r="E174" i="2"/>
  <c r="E175" i="2"/>
  <c r="E176" i="2"/>
  <c r="E177" i="2"/>
  <c r="E178" i="2"/>
  <c r="E179" i="2"/>
  <c r="E180" i="2"/>
  <c r="E181" i="2"/>
  <c r="E182" i="2"/>
  <c r="E183" i="2"/>
  <c r="E184" i="2"/>
  <c r="E185" i="2"/>
  <c r="E186" i="2"/>
  <c r="E187" i="2"/>
  <c r="E163" i="2"/>
  <c r="D164" i="2"/>
  <c r="D165" i="2"/>
  <c r="D166" i="2"/>
  <c r="D167" i="2"/>
  <c r="D168" i="2"/>
  <c r="D169" i="2"/>
  <c r="D170" i="2"/>
  <c r="D171" i="2"/>
  <c r="D172" i="2"/>
  <c r="D173" i="2"/>
  <c r="D174" i="2"/>
  <c r="D175" i="2"/>
  <c r="D176" i="2"/>
  <c r="D177" i="2"/>
  <c r="D178" i="2"/>
  <c r="D179" i="2"/>
  <c r="D180" i="2"/>
  <c r="D181" i="2"/>
  <c r="D182" i="2"/>
  <c r="D183" i="2"/>
  <c r="D184" i="2"/>
  <c r="D185" i="2"/>
  <c r="D186" i="2"/>
  <c r="D187" i="2"/>
  <c r="D163" i="2"/>
  <c r="E109" i="2" l="1"/>
  <c r="D109" i="2"/>
  <c r="F109" i="2"/>
  <c r="G109" i="2"/>
  <c r="H109" i="2"/>
  <c r="I109" i="2"/>
  <c r="J109" i="2"/>
  <c r="K109" i="2"/>
  <c r="L109" i="2"/>
  <c r="M109" i="2"/>
  <c r="N109" i="2"/>
  <c r="O109" i="2"/>
  <c r="P109" i="2"/>
  <c r="E105" i="2"/>
  <c r="F105" i="2"/>
  <c r="G105" i="2"/>
  <c r="H105" i="2"/>
  <c r="I105" i="2"/>
  <c r="J105" i="2"/>
  <c r="K105" i="2"/>
  <c r="L105" i="2"/>
  <c r="M105" i="2"/>
  <c r="N105" i="2"/>
  <c r="O105" i="2"/>
  <c r="P105" i="2"/>
  <c r="E96" i="2" l="1"/>
  <c r="E132" i="2" s="1"/>
  <c r="F96" i="2"/>
  <c r="F132" i="2" s="1"/>
  <c r="G96" i="2"/>
  <c r="G132" i="2" s="1"/>
  <c r="H96" i="2"/>
  <c r="H132" i="2" s="1"/>
  <c r="I96" i="2"/>
  <c r="I132" i="2" s="1"/>
  <c r="I133" i="2" s="1"/>
  <c r="I134" i="2" s="1"/>
  <c r="I135" i="2" s="1"/>
  <c r="I136" i="2" s="1"/>
  <c r="I137" i="2" s="1"/>
  <c r="I138" i="2" s="1"/>
  <c r="I139" i="2" s="1"/>
  <c r="I140" i="2" s="1"/>
  <c r="J96" i="2"/>
  <c r="J132" i="2" s="1"/>
  <c r="K96" i="2"/>
  <c r="K132" i="2" s="1"/>
  <c r="L96" i="2"/>
  <c r="L132" i="2" s="1"/>
  <c r="M96" i="2"/>
  <c r="M132" i="2" s="1"/>
  <c r="M133" i="2" s="1"/>
  <c r="M134" i="2" s="1"/>
  <c r="M135" i="2" s="1"/>
  <c r="M136" i="2" s="1"/>
  <c r="M137" i="2" s="1"/>
  <c r="M138" i="2" s="1"/>
  <c r="M139" i="2" s="1"/>
  <c r="M140" i="2" s="1"/>
  <c r="N96" i="2"/>
  <c r="N132" i="2" s="1"/>
  <c r="O96" i="2"/>
  <c r="O132" i="2" s="1"/>
  <c r="P96" i="2"/>
  <c r="P132" i="2" s="1"/>
  <c r="P92" i="2"/>
  <c r="P119" i="2" s="1"/>
  <c r="E92" i="2"/>
  <c r="E119" i="2" s="1"/>
  <c r="F92" i="2"/>
  <c r="F119" i="2" s="1"/>
  <c r="G92" i="2"/>
  <c r="G119" i="2" s="1"/>
  <c r="H92" i="2"/>
  <c r="H119" i="2" s="1"/>
  <c r="I92" i="2"/>
  <c r="I119" i="2" s="1"/>
  <c r="J92" i="2"/>
  <c r="J119" i="2" s="1"/>
  <c r="K92" i="2"/>
  <c r="K119" i="2" s="1"/>
  <c r="L92" i="2"/>
  <c r="L119" i="2" s="1"/>
  <c r="M92" i="2"/>
  <c r="M119" i="2" s="1"/>
  <c r="N92" i="2"/>
  <c r="N119" i="2" s="1"/>
  <c r="O92" i="2"/>
  <c r="O119" i="2" s="1"/>
  <c r="D92" i="2" l="1"/>
  <c r="D119" i="2" s="1"/>
  <c r="D120" i="2" s="1"/>
  <c r="D121" i="2" s="1"/>
  <c r="D122" i="2" s="1"/>
  <c r="D123" i="2" s="1"/>
  <c r="D40" i="2"/>
  <c r="I141" i="2"/>
  <c r="M141" i="2"/>
  <c r="D96" i="2"/>
  <c r="N133" i="2"/>
  <c r="N134" i="2" s="1"/>
  <c r="N135" i="2" s="1"/>
  <c r="N136" i="2" s="1"/>
  <c r="N137" i="2" s="1"/>
  <c r="N138" i="2" s="1"/>
  <c r="N139" i="2" s="1"/>
  <c r="N140" i="2" s="1"/>
  <c r="P120" i="2"/>
  <c r="P121" i="2" s="1"/>
  <c r="P122" i="2" s="1"/>
  <c r="P123" i="2" s="1"/>
  <c r="O120" i="2"/>
  <c r="O121" i="2" s="1"/>
  <c r="O122" i="2" s="1"/>
  <c r="O123" i="2" s="1"/>
  <c r="N120" i="2"/>
  <c r="N121" i="2" s="1"/>
  <c r="N122" i="2" s="1"/>
  <c r="N123" i="2" s="1"/>
  <c r="J120" i="2"/>
  <c r="J121" i="2" s="1"/>
  <c r="J122" i="2" s="1"/>
  <c r="J123" i="2" s="1"/>
  <c r="F120" i="2"/>
  <c r="F121" i="2" s="1"/>
  <c r="F122" i="2" s="1"/>
  <c r="F123" i="2" s="1"/>
  <c r="M120" i="2"/>
  <c r="M121" i="2" s="1"/>
  <c r="M122" i="2" s="1"/>
  <c r="M123" i="2" s="1"/>
  <c r="E120" i="2"/>
  <c r="E121" i="2" s="1"/>
  <c r="E122" i="2" s="1"/>
  <c r="E123" i="2" s="1"/>
  <c r="I120" i="2"/>
  <c r="L120" i="2"/>
  <c r="H120" i="2"/>
  <c r="H121" i="2" s="1"/>
  <c r="H122" i="2" s="1"/>
  <c r="H123" i="2" s="1"/>
  <c r="G120" i="2"/>
  <c r="G121" i="2" s="1"/>
  <c r="G122" i="2" s="1"/>
  <c r="G123" i="2" s="1"/>
  <c r="K120" i="2"/>
  <c r="O133" i="2"/>
  <c r="O134" i="2" s="1"/>
  <c r="O135" i="2" s="1"/>
  <c r="O136" i="2" s="1"/>
  <c r="O137" i="2" s="1"/>
  <c r="O138" i="2" s="1"/>
  <c r="O139" i="2" s="1"/>
  <c r="O140" i="2" s="1"/>
  <c r="K133" i="2"/>
  <c r="K134" i="2" s="1"/>
  <c r="K135" i="2" s="1"/>
  <c r="K136" i="2" s="1"/>
  <c r="K137" i="2" s="1"/>
  <c r="K138" i="2" s="1"/>
  <c r="K139" i="2" s="1"/>
  <c r="K140" i="2" s="1"/>
  <c r="G133" i="2"/>
  <c r="G134" i="2" s="1"/>
  <c r="G135" i="2" s="1"/>
  <c r="G136" i="2" s="1"/>
  <c r="G137" i="2" s="1"/>
  <c r="G138" i="2" s="1"/>
  <c r="G139" i="2" s="1"/>
  <c r="G140" i="2" s="1"/>
  <c r="J133" i="2"/>
  <c r="J134" i="2" s="1"/>
  <c r="J135" i="2" s="1"/>
  <c r="J136" i="2" s="1"/>
  <c r="J137" i="2" s="1"/>
  <c r="J138" i="2" s="1"/>
  <c r="J139" i="2" s="1"/>
  <c r="J140" i="2" s="1"/>
  <c r="F133" i="2"/>
  <c r="F134" i="2" s="1"/>
  <c r="F135" i="2" s="1"/>
  <c r="F136" i="2" s="1"/>
  <c r="F137" i="2" s="1"/>
  <c r="F138" i="2" s="1"/>
  <c r="F139" i="2" s="1"/>
  <c r="F140" i="2" s="1"/>
  <c r="E133" i="2"/>
  <c r="E134" i="2" s="1"/>
  <c r="E135" i="2" s="1"/>
  <c r="E136" i="2" s="1"/>
  <c r="E137" i="2" s="1"/>
  <c r="E138" i="2" s="1"/>
  <c r="E139" i="2" s="1"/>
  <c r="E140" i="2" s="1"/>
  <c r="P133" i="2"/>
  <c r="P134" i="2" s="1"/>
  <c r="P135" i="2" s="1"/>
  <c r="P136" i="2" s="1"/>
  <c r="P137" i="2" s="1"/>
  <c r="P138" i="2" s="1"/>
  <c r="P139" i="2" s="1"/>
  <c r="P140" i="2" s="1"/>
  <c r="L133" i="2"/>
  <c r="L134" i="2" s="1"/>
  <c r="L135" i="2" s="1"/>
  <c r="L136" i="2" s="1"/>
  <c r="L137" i="2" s="1"/>
  <c r="L138" i="2" s="1"/>
  <c r="L139" i="2" s="1"/>
  <c r="L140" i="2" s="1"/>
  <c r="H133" i="2"/>
  <c r="H134" i="2" s="1"/>
  <c r="H135" i="2" s="1"/>
  <c r="H136" i="2" s="1"/>
  <c r="H137" i="2" s="1"/>
  <c r="H138" i="2" s="1"/>
  <c r="H139" i="2" s="1"/>
  <c r="H140" i="2" s="1"/>
  <c r="H51" i="2"/>
  <c r="H50" i="2"/>
  <c r="H49" i="2"/>
  <c r="H48" i="2"/>
  <c r="H47" i="2"/>
  <c r="O36" i="2"/>
  <c r="O41" i="2"/>
  <c r="O40" i="2"/>
  <c r="O39" i="2"/>
  <c r="O38" i="2"/>
  <c r="O37" i="2"/>
  <c r="G36" i="2"/>
  <c r="G41" i="2"/>
  <c r="G40" i="2"/>
  <c r="G39" i="2"/>
  <c r="G38" i="2"/>
  <c r="G37" i="2"/>
  <c r="M51" i="2"/>
  <c r="M50" i="2"/>
  <c r="M49" i="2"/>
  <c r="M48" i="2"/>
  <c r="M47" i="2"/>
  <c r="N41" i="2"/>
  <c r="N40" i="2"/>
  <c r="N39" i="2"/>
  <c r="N38" i="2"/>
  <c r="N37" i="2"/>
  <c r="N36" i="2"/>
  <c r="F41" i="2"/>
  <c r="F40" i="2"/>
  <c r="F39" i="2"/>
  <c r="F38" i="2"/>
  <c r="F37" i="2"/>
  <c r="F36" i="2"/>
  <c r="L51" i="2"/>
  <c r="L50" i="2"/>
  <c r="L49" i="2"/>
  <c r="L48" i="2"/>
  <c r="L47" i="2"/>
  <c r="M41" i="2"/>
  <c r="M40" i="2"/>
  <c r="M39" i="2"/>
  <c r="M38" i="2"/>
  <c r="M37" i="2"/>
  <c r="M36" i="2"/>
  <c r="I41" i="2"/>
  <c r="I40" i="2"/>
  <c r="I39" i="2"/>
  <c r="I38" i="2"/>
  <c r="I37" i="2"/>
  <c r="I36" i="2"/>
  <c r="E41" i="2"/>
  <c r="E40" i="2"/>
  <c r="E39" i="2"/>
  <c r="E38" i="2"/>
  <c r="E37" i="2"/>
  <c r="E36" i="2"/>
  <c r="O51" i="2"/>
  <c r="O50" i="2"/>
  <c r="O49" i="2"/>
  <c r="O48" i="2"/>
  <c r="O47" i="2"/>
  <c r="K51" i="2"/>
  <c r="K50" i="2"/>
  <c r="K49" i="2"/>
  <c r="K48" i="2"/>
  <c r="K47" i="2"/>
  <c r="G51" i="2"/>
  <c r="G50" i="2"/>
  <c r="G49" i="2"/>
  <c r="G48" i="2"/>
  <c r="G47" i="2"/>
  <c r="K41" i="2"/>
  <c r="K40" i="2"/>
  <c r="K39" i="2"/>
  <c r="K38" i="2"/>
  <c r="K37" i="2"/>
  <c r="K36" i="2"/>
  <c r="D50" i="2"/>
  <c r="D49" i="2"/>
  <c r="D51" i="2"/>
  <c r="D48" i="2"/>
  <c r="I51" i="2"/>
  <c r="I50" i="2"/>
  <c r="I49" i="2"/>
  <c r="I48" i="2"/>
  <c r="I47" i="2"/>
  <c r="J41" i="2"/>
  <c r="J40" i="2"/>
  <c r="J39" i="2"/>
  <c r="J38" i="2"/>
  <c r="J37" i="2"/>
  <c r="J36" i="2"/>
  <c r="P51" i="2"/>
  <c r="P50" i="2"/>
  <c r="P49" i="2"/>
  <c r="P48" i="2"/>
  <c r="P47" i="2"/>
  <c r="D41" i="2"/>
  <c r="D37" i="2"/>
  <c r="D39" i="2"/>
  <c r="D38" i="2"/>
  <c r="L41" i="2"/>
  <c r="L39" i="2"/>
  <c r="L40" i="2"/>
  <c r="L38" i="2"/>
  <c r="L37" i="2"/>
  <c r="L36" i="2"/>
  <c r="H36" i="2"/>
  <c r="H40" i="2"/>
  <c r="H38" i="2"/>
  <c r="H37" i="2"/>
  <c r="H41" i="2"/>
  <c r="H39" i="2"/>
  <c r="P40" i="2"/>
  <c r="P37" i="2"/>
  <c r="P36" i="2"/>
  <c r="P41" i="2"/>
  <c r="P39" i="2"/>
  <c r="P38" i="2"/>
  <c r="N51" i="2"/>
  <c r="N50" i="2"/>
  <c r="N48" i="2"/>
  <c r="N47" i="2"/>
  <c r="N49" i="2"/>
  <c r="J49" i="2"/>
  <c r="J51" i="2"/>
  <c r="J50" i="2"/>
  <c r="J48" i="2"/>
  <c r="J47" i="2"/>
  <c r="F51" i="2"/>
  <c r="F50" i="2"/>
  <c r="F48" i="2"/>
  <c r="F47" i="2"/>
  <c r="F49" i="2"/>
  <c r="E51" i="2"/>
  <c r="E50" i="2"/>
  <c r="E49" i="2"/>
  <c r="E48" i="2"/>
  <c r="E47" i="2"/>
  <c r="D42" i="2" l="1"/>
  <c r="D118" i="2" s="1"/>
  <c r="D124" i="2" s="1"/>
  <c r="D132" i="2"/>
  <c r="D133" i="2" s="1"/>
  <c r="D134" i="2" s="1"/>
  <c r="D135" i="2" s="1"/>
  <c r="D136" i="2" s="1"/>
  <c r="D137" i="2" s="1"/>
  <c r="D138" i="2" s="1"/>
  <c r="D139" i="2" s="1"/>
  <c r="D140" i="2" s="1"/>
  <c r="D141" i="2" s="1"/>
  <c r="F141" i="2"/>
  <c r="E141" i="2"/>
  <c r="J141" i="2"/>
  <c r="N141" i="2"/>
  <c r="G141" i="2"/>
  <c r="K141" i="2"/>
  <c r="M151" i="2"/>
  <c r="M152" i="2" s="1"/>
  <c r="M153" i="2" s="1"/>
  <c r="M154" i="2" s="1"/>
  <c r="H141" i="2"/>
  <c r="O141" i="2"/>
  <c r="L141" i="2"/>
  <c r="I151" i="2"/>
  <c r="I152" i="2" s="1"/>
  <c r="I153" i="2" s="1"/>
  <c r="I154" i="2" s="1"/>
  <c r="P141" i="2"/>
  <c r="L121" i="2"/>
  <c r="L122" i="2" s="1"/>
  <c r="L123" i="2" s="1"/>
  <c r="K121" i="2"/>
  <c r="I121" i="2"/>
  <c r="P42" i="2"/>
  <c r="P118" i="2" s="1"/>
  <c r="P125" i="2" s="1"/>
  <c r="H42" i="2"/>
  <c r="H118" i="2" s="1"/>
  <c r="H124" i="2" s="1"/>
  <c r="G42" i="2"/>
  <c r="G118" i="2" s="1"/>
  <c r="G125" i="2" s="1"/>
  <c r="E52" i="2"/>
  <c r="E131" i="2" s="1"/>
  <c r="F52" i="2"/>
  <c r="F131" i="2" s="1"/>
  <c r="J52" i="2"/>
  <c r="J131" i="2" s="1"/>
  <c r="N52" i="2"/>
  <c r="N131" i="2" s="1"/>
  <c r="L42" i="2"/>
  <c r="L118" i="2" s="1"/>
  <c r="P52" i="2"/>
  <c r="P131" i="2" s="1"/>
  <c r="I52" i="2"/>
  <c r="I131" i="2" s="1"/>
  <c r="K42" i="2"/>
  <c r="K118" i="2" s="1"/>
  <c r="K52" i="2"/>
  <c r="K131" i="2" s="1"/>
  <c r="E42" i="2"/>
  <c r="E118" i="2" s="1"/>
  <c r="E124" i="2" s="1"/>
  <c r="M42" i="2"/>
  <c r="M118" i="2" s="1"/>
  <c r="M124" i="2" s="1"/>
  <c r="F42" i="2"/>
  <c r="F118" i="2" s="1"/>
  <c r="F124" i="2" s="1"/>
  <c r="M52" i="2"/>
  <c r="M131" i="2" s="1"/>
  <c r="D52" i="2"/>
  <c r="D131" i="2" s="1"/>
  <c r="O42" i="2"/>
  <c r="O118" i="2" s="1"/>
  <c r="O124" i="2" s="1"/>
  <c r="J42" i="2"/>
  <c r="J118" i="2" s="1"/>
  <c r="J125" i="2" s="1"/>
  <c r="G52" i="2"/>
  <c r="G131" i="2" s="1"/>
  <c r="O52" i="2"/>
  <c r="O131" i="2" s="1"/>
  <c r="I42" i="2"/>
  <c r="I118" i="2" s="1"/>
  <c r="L52" i="2"/>
  <c r="L131" i="2" s="1"/>
  <c r="N42" i="2"/>
  <c r="N118" i="2" s="1"/>
  <c r="N124" i="2" s="1"/>
  <c r="H52" i="2"/>
  <c r="H131" i="2" s="1"/>
  <c r="O142" i="2" l="1"/>
  <c r="D125" i="2"/>
  <c r="G142" i="2"/>
  <c r="E142" i="2"/>
  <c r="I156" i="2"/>
  <c r="I155" i="2"/>
  <c r="J143" i="2"/>
  <c r="K142" i="2"/>
  <c r="D143" i="2"/>
  <c r="P143" i="2"/>
  <c r="L142" i="2"/>
  <c r="F143" i="2"/>
  <c r="M156" i="2"/>
  <c r="M155" i="2"/>
  <c r="H142" i="2"/>
  <c r="J151" i="2"/>
  <c r="J152" i="2" s="1"/>
  <c r="J153" i="2" s="1"/>
  <c r="J154" i="2" s="1"/>
  <c r="N151" i="2"/>
  <c r="N152" i="2" s="1"/>
  <c r="N153" i="2" s="1"/>
  <c r="N154" i="2" s="1"/>
  <c r="K151" i="2"/>
  <c r="K152" i="2" s="1"/>
  <c r="K153" i="2" s="1"/>
  <c r="K154" i="2" s="1"/>
  <c r="E151" i="2"/>
  <c r="E152" i="2" s="1"/>
  <c r="E153" i="2" s="1"/>
  <c r="E154" i="2" s="1"/>
  <c r="L151" i="2"/>
  <c r="L152" i="2" s="1"/>
  <c r="L153" i="2" s="1"/>
  <c r="L154" i="2" s="1"/>
  <c r="O151" i="2"/>
  <c r="O152" i="2" s="1"/>
  <c r="O153" i="2" s="1"/>
  <c r="O154" i="2" s="1"/>
  <c r="P151" i="2"/>
  <c r="P152" i="2" s="1"/>
  <c r="P153" i="2" s="1"/>
  <c r="P154" i="2" s="1"/>
  <c r="G151" i="2"/>
  <c r="G152" i="2" s="1"/>
  <c r="G153" i="2" s="1"/>
  <c r="G154" i="2" s="1"/>
  <c r="F151" i="2"/>
  <c r="F152" i="2" s="1"/>
  <c r="F153" i="2" s="1"/>
  <c r="F154" i="2" s="1"/>
  <c r="F155" i="2" s="1"/>
  <c r="H151" i="2"/>
  <c r="H152" i="2" s="1"/>
  <c r="H153" i="2" s="1"/>
  <c r="H154" i="2" s="1"/>
  <c r="D151" i="2"/>
  <c r="P124" i="2"/>
  <c r="F125" i="2"/>
  <c r="P142" i="2"/>
  <c r="O125" i="2"/>
  <c r="M125" i="2"/>
  <c r="F142" i="2"/>
  <c r="E125" i="2"/>
  <c r="H143" i="2"/>
  <c r="J142" i="2"/>
  <c r="M142" i="2"/>
  <c r="M143" i="2"/>
  <c r="N143" i="2"/>
  <c r="N142" i="2"/>
  <c r="K143" i="2"/>
  <c r="I143" i="2"/>
  <c r="I142" i="2"/>
  <c r="G143" i="2"/>
  <c r="E143" i="2"/>
  <c r="O143" i="2"/>
  <c r="D142" i="2"/>
  <c r="N125" i="2"/>
  <c r="L143" i="2"/>
  <c r="G124" i="2"/>
  <c r="J124" i="2"/>
  <c r="H125" i="2"/>
  <c r="L125" i="2"/>
  <c r="L124" i="2"/>
  <c r="I122" i="2"/>
  <c r="K122" i="2"/>
  <c r="G155" i="2" l="1"/>
  <c r="J155" i="2"/>
  <c r="D152" i="2"/>
  <c r="D153" i="2" s="1"/>
  <c r="D154" i="2" s="1"/>
  <c r="D156" i="2"/>
  <c r="F156" i="2"/>
  <c r="G156" i="2"/>
  <c r="J156" i="2"/>
  <c r="H156" i="2"/>
  <c r="N156" i="2"/>
  <c r="H155" i="2"/>
  <c r="P155" i="2"/>
  <c r="N155" i="2"/>
  <c r="O155" i="2"/>
  <c r="K155" i="2"/>
  <c r="L156" i="2"/>
  <c r="L155" i="2"/>
  <c r="P156" i="2"/>
  <c r="E156" i="2"/>
  <c r="E155" i="2"/>
  <c r="O156" i="2"/>
  <c r="K156" i="2"/>
  <c r="K123" i="2"/>
  <c r="K124" i="2" s="1"/>
  <c r="I123" i="2"/>
  <c r="I124" i="2" s="1"/>
  <c r="D155" i="2" l="1"/>
  <c r="K125" i="2"/>
  <c r="I125" i="2"/>
</calcChain>
</file>

<file path=xl/sharedStrings.xml><?xml version="1.0" encoding="utf-8"?>
<sst xmlns="http://schemas.openxmlformats.org/spreadsheetml/2006/main" count="394" uniqueCount="129">
  <si>
    <t>γ</t>
  </si>
  <si>
    <t>α</t>
  </si>
  <si>
    <t>T</t>
  </si>
  <si>
    <t>Symbol</t>
  </si>
  <si>
    <t>Mopani</t>
  </si>
  <si>
    <t>Vhembe</t>
  </si>
  <si>
    <t>Soweto</t>
  </si>
  <si>
    <t>Khayelitsha</t>
  </si>
  <si>
    <t>Lulekani</t>
  </si>
  <si>
    <t>Duduza</t>
  </si>
  <si>
    <t>Hlankomo</t>
  </si>
  <si>
    <t>Mandileni</t>
  </si>
  <si>
    <t>Gon’on’o</t>
  </si>
  <si>
    <t>Type</t>
  </si>
  <si>
    <t>-</t>
  </si>
  <si>
    <t>Township</t>
  </si>
  <si>
    <t>Low-Income</t>
  </si>
  <si>
    <t>Next to Cape Town</t>
  </si>
  <si>
    <t>A village next to Giyani in Limpopo</t>
  </si>
  <si>
    <t>A</t>
  </si>
  <si>
    <t>δ</t>
  </si>
  <si>
    <t>UAV - Based</t>
  </si>
  <si>
    <t>LC - Based</t>
  </si>
  <si>
    <t>Site Acquisition Costs</t>
  </si>
  <si>
    <t>UAV-Base Case</t>
  </si>
  <si>
    <t>LC-Base Case</t>
  </si>
  <si>
    <t>Lifetime</t>
  </si>
  <si>
    <t>L</t>
  </si>
  <si>
    <t>Peak Capacity</t>
  </si>
  <si>
    <t>PMAX</t>
  </si>
  <si>
    <t>PMIN</t>
  </si>
  <si>
    <t>CB</t>
  </si>
  <si>
    <t>CSP</t>
  </si>
  <si>
    <t>Commodity HW Cost</t>
  </si>
  <si>
    <t>CCHW</t>
  </si>
  <si>
    <t>Dedicated HW Cost</t>
  </si>
  <si>
    <t>CDHW</t>
  </si>
  <si>
    <t>UAV Cost</t>
  </si>
  <si>
    <t>CUAV</t>
  </si>
  <si>
    <t>Site Acquisition Cost</t>
  </si>
  <si>
    <t>CSA</t>
  </si>
  <si>
    <t>Node Maintenance Cost</t>
  </si>
  <si>
    <t>CM</t>
  </si>
  <si>
    <t>Scenaio</t>
  </si>
  <si>
    <t>Featue</t>
  </si>
  <si>
    <t>Desciption</t>
  </si>
  <si>
    <t>Watebeg</t>
  </si>
  <si>
    <t>Chis-Hani</t>
  </si>
  <si>
    <t>Fances Baad</t>
  </si>
  <si>
    <t>Zeeust</t>
  </si>
  <si>
    <t>Aveage time befoe disposal.</t>
  </si>
  <si>
    <t>Distict</t>
  </si>
  <si>
    <t>ual esidential</t>
  </si>
  <si>
    <t>Cell adius</t>
  </si>
  <si>
    <t>Maximum cell ange.</t>
  </si>
  <si>
    <t>Aea Desciption</t>
  </si>
  <si>
    <t>Categoy C Municipality located in Limpopo</t>
  </si>
  <si>
    <t>Categoy C Municipality located in Easten Cape</t>
  </si>
  <si>
    <t>Categoy C Municipality located in Nothen Cape</t>
  </si>
  <si>
    <t>Next to Johannesbug</t>
  </si>
  <si>
    <t>Outside Phalabowa in Limpopo</t>
  </si>
  <si>
    <t xml:space="preserve">Commecial town situated in Noth West </t>
  </si>
  <si>
    <t>A township west of Nigel on the East and</t>
  </si>
  <si>
    <t>A village next to Qumbu and Mthatha in Easten Cape</t>
  </si>
  <si>
    <t>A village next to  Mthatha in Easten Cape</t>
  </si>
  <si>
    <t>Maximum available capacity available to uses, obtained by multiplying the maximum numbe of uses fom the evese link constaint of [9] fo a maximum use downlink thoughput of TMAX = 100 [Mbps].</t>
  </si>
  <si>
    <t>Aea Size</t>
  </si>
  <si>
    <t>Max. Powe</t>
  </si>
  <si>
    <t>Maximum powe consumed when the available capacity to uses is maximum (the powe scales with the amount of available capacity).</t>
  </si>
  <si>
    <t>Aveage Density</t>
  </si>
  <si>
    <t>Min. Powe</t>
  </si>
  <si>
    <t>Minimum powe consumed when the node does not seve any use (20% of the maximum node powe).</t>
  </si>
  <si>
    <t>Aveage Downlink Thoughput</t>
  </si>
  <si>
    <t>Battey Cost</t>
  </si>
  <si>
    <t>Cost of a lead acid battey with 12 [V] and 200 [Ah] geneating 2.4 [kWh].</t>
  </si>
  <si>
    <t>Numbe of Inhabitants</t>
  </si>
  <si>
    <t>Sola Panel Cost</t>
  </si>
  <si>
    <t>Cost fo a standad module type, size 1 [kWp], system losses 14%, tilt 20, azimuth 180, DC to AC size atio 1.1, invete efﬁciency 96%, gound coveage atio 0.4.</t>
  </si>
  <si>
    <t>Active Uses atio</t>
  </si>
  <si>
    <t>Cost of the HW hosting high level computing and netwoking vitual functionalities.</t>
  </si>
  <si>
    <t>Electicity Gid Cost</t>
  </si>
  <si>
    <t>Cost of the HW deploying the H and the connection of the node with the optical netwok.</t>
  </si>
  <si>
    <t>Cost fo a otay-wing quadcopte, 4 engines, and maximum load weight equal to 5 [kg].</t>
  </si>
  <si>
    <t>The total site acquisition cost mainly depends on the cell type, the cost to connect the site to the electicity netwok (if available) and the cost to build an access oad up to the cell location. This cost is elated to the consideed scenaio.</t>
  </si>
  <si>
    <t>Numbe of Batteies</t>
  </si>
  <si>
    <t>Yealy cost fo inspection, sola panel cleaning, and SW updates.</t>
  </si>
  <si>
    <t>Solar Panel</t>
  </si>
  <si>
    <t>Commodity HW</t>
  </si>
  <si>
    <t>Dedicated HW</t>
  </si>
  <si>
    <t>UAV</t>
  </si>
  <si>
    <t>Site Acquisition</t>
  </si>
  <si>
    <t>NU</t>
  </si>
  <si>
    <t>CE</t>
  </si>
  <si>
    <t>PSP</t>
  </si>
  <si>
    <t>NB</t>
  </si>
  <si>
    <t>Batteies</t>
  </si>
  <si>
    <t>Sola Panel</t>
  </si>
  <si>
    <t>Sola Panel Power</t>
  </si>
  <si>
    <t>REV</t>
  </si>
  <si>
    <t>OPEX</t>
  </si>
  <si>
    <t>CAPEX</t>
  </si>
  <si>
    <t>F</t>
  </si>
  <si>
    <t>Monthly Subscribtion Fee</t>
  </si>
  <si>
    <t>Hours</t>
  </si>
  <si>
    <t>From</t>
  </si>
  <si>
    <t>To</t>
  </si>
  <si>
    <t>Power</t>
  </si>
  <si>
    <t>UAV-Based</t>
  </si>
  <si>
    <t>LC-Based</t>
  </si>
  <si>
    <t>NPV</t>
  </si>
  <si>
    <t>Initial</t>
  </si>
  <si>
    <t>IRR</t>
  </si>
  <si>
    <t>Parameter</t>
  </si>
  <si>
    <t>Spectrum Licensing</t>
  </si>
  <si>
    <t>Hotspot</t>
  </si>
  <si>
    <t>Virtual Slice</t>
  </si>
  <si>
    <t>Numbe of Deployed 5G – Nodes (USER)</t>
  </si>
  <si>
    <t>Numbe of Deployed 5G – Nodes (AREA)</t>
  </si>
  <si>
    <t>NC - User</t>
  </si>
  <si>
    <t>Heterogeneous</t>
  </si>
  <si>
    <t>UAV - Based on Area</t>
  </si>
  <si>
    <t>LC - Based on Area</t>
  </si>
  <si>
    <t>Hotspot - Based on Area</t>
  </si>
  <si>
    <t>UAV - Based on Active Users</t>
  </si>
  <si>
    <t>LC - Based on Active Users</t>
  </si>
  <si>
    <t>Hotspot - Based on Active Users</t>
  </si>
  <si>
    <t>Number of Deployed 5G - MAX</t>
  </si>
  <si>
    <t>Number of Deployed 5G - USER</t>
  </si>
  <si>
    <t>Number of Deployed 5G -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</si>
</sst>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ZAR]\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 fontId="0" fillId="0" borderId="0" xfId="0" applyNumberFormat="1"/>
    <xf numFmtId="0" fontId="0" fillId="0" borderId="0" xfId="0" applyNumberFormat="1"/>
    <xf numFmtId="9"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Max!$C$36</c:f>
              <c:strCache>
                <c:ptCount val="1"/>
                <c:pt idx="0">
                  <c:v>Batteies</c:v>
                </c:pt>
              </c:strCache>
            </c:strRef>
          </c:tx>
          <c:spPr>
            <a:solidFill>
              <a:schemeClr val="accent1"/>
            </a:solidFill>
            <a:ln>
              <a:noFill/>
            </a:ln>
            <a:effectLst/>
          </c:spPr>
          <c:invertIfNegative val="0"/>
          <c:cat>
            <c:strRef>
              <c:f>Max!$D$35:$P$35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Max!$D$36:$P$36</c:f>
              <c:numCache>
                <c:formatCode>General</c:formatCode>
                <c:ptCount val="13"/>
                <c:pt idx="0">
                  <c:v>1016697</c:v>
                </c:pt>
                <c:pt idx="1">
                  <c:v>1127068.8</c:v>
                </c:pt>
                <c:pt idx="2">
                  <c:v>1825533.6</c:v>
                </c:pt>
                <c:pt idx="3">
                  <c:v>2466332</c:v>
                </c:pt>
                <c:pt idx="4">
                  <c:v>652179</c:v>
                </c:pt>
                <c:pt idx="5">
                  <c:v>0</c:v>
                </c:pt>
                <c:pt idx="6">
                  <c:v>96188.400000000009</c:v>
                </c:pt>
                <c:pt idx="7">
                  <c:v>1397</c:v>
                </c:pt>
                <c:pt idx="8">
                  <c:v>0</c:v>
                </c:pt>
                <c:pt idx="9">
                  <c:v>15004</c:v>
                </c:pt>
                <c:pt idx="10">
                  <c:v>19.8</c:v>
                </c:pt>
                <c:pt idx="11">
                  <c:v>66</c:v>
                </c:pt>
                <c:pt idx="12">
                  <c:v>77.000000000000014</c:v>
                </c:pt>
              </c:numCache>
            </c:numRef>
          </c:val>
          <c:extLst>
            <c:ext xmlns:c16="http://schemas.microsoft.com/office/drawing/2014/chart" uri="{C3380CC4-5D6E-409C-BE32-E72D297353CC}">
              <c16:uniqueId val="{00000000-B873-4790-9673-DC8AC3D8D5E2}"/>
            </c:ext>
          </c:extLst>
        </c:ser>
        <c:ser>
          <c:idx val="1"/>
          <c:order val="1"/>
          <c:tx>
            <c:strRef>
              <c:f>Max!$C$37</c:f>
              <c:strCache>
                <c:ptCount val="1"/>
                <c:pt idx="0">
                  <c:v>Sola Panel</c:v>
                </c:pt>
              </c:strCache>
            </c:strRef>
          </c:tx>
          <c:spPr>
            <a:solidFill>
              <a:schemeClr val="accent2"/>
            </a:solidFill>
            <a:ln>
              <a:noFill/>
            </a:ln>
            <a:effectLst/>
          </c:spPr>
          <c:invertIfNegative val="0"/>
          <c:cat>
            <c:strRef>
              <c:f>Max!$D$35:$P$35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Max!$D$37:$P$37</c:f>
              <c:numCache>
                <c:formatCode>General</c:formatCode>
                <c:ptCount val="13"/>
                <c:pt idx="0">
                  <c:v>1601297.7750000001</c:v>
                </c:pt>
                <c:pt idx="1">
                  <c:v>1593068.4000000001</c:v>
                </c:pt>
                <c:pt idx="2">
                  <c:v>3274550.8949999996</c:v>
                </c:pt>
                <c:pt idx="3">
                  <c:v>2460166.17</c:v>
                </c:pt>
                <c:pt idx="4">
                  <c:v>707614.21499999997</c:v>
                </c:pt>
                <c:pt idx="5">
                  <c:v>1311377.76</c:v>
                </c:pt>
                <c:pt idx="6">
                  <c:v>387158.31</c:v>
                </c:pt>
                <c:pt idx="7">
                  <c:v>3813.81</c:v>
                </c:pt>
                <c:pt idx="8">
                  <c:v>3252.48</c:v>
                </c:pt>
                <c:pt idx="9">
                  <c:v>53564.280000000006</c:v>
                </c:pt>
                <c:pt idx="10">
                  <c:v>62.370000000000005</c:v>
                </c:pt>
                <c:pt idx="11">
                  <c:v>65.835000000000008</c:v>
                </c:pt>
                <c:pt idx="12">
                  <c:v>121.27500000000001</c:v>
                </c:pt>
              </c:numCache>
            </c:numRef>
          </c:val>
          <c:extLst>
            <c:ext xmlns:c16="http://schemas.microsoft.com/office/drawing/2014/chart" uri="{C3380CC4-5D6E-409C-BE32-E72D297353CC}">
              <c16:uniqueId val="{00000001-B873-4790-9673-DC8AC3D8D5E2}"/>
            </c:ext>
          </c:extLst>
        </c:ser>
        <c:ser>
          <c:idx val="2"/>
          <c:order val="2"/>
          <c:tx>
            <c:strRef>
              <c:f>Max!$C$38</c:f>
              <c:strCache>
                <c:ptCount val="1"/>
                <c:pt idx="0">
                  <c:v>Commodity HW</c:v>
                </c:pt>
              </c:strCache>
            </c:strRef>
          </c:tx>
          <c:spPr>
            <a:solidFill>
              <a:schemeClr val="accent3"/>
            </a:solidFill>
            <a:ln>
              <a:noFill/>
            </a:ln>
            <a:effectLst/>
          </c:spPr>
          <c:invertIfNegative val="0"/>
          <c:cat>
            <c:strRef>
              <c:f>Max!$D$35:$P$35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Max!$D$38:$P$38</c:f>
              <c:numCache>
                <c:formatCode>0.00</c:formatCode>
                <c:ptCount val="13"/>
                <c:pt idx="0">
                  <c:v>4448819.6000000006</c:v>
                </c:pt>
                <c:pt idx="1">
                  <c:v>5690515.2000000002</c:v>
                </c:pt>
                <c:pt idx="2">
                  <c:v>9985115.5999999996</c:v>
                </c:pt>
                <c:pt idx="3">
                  <c:v>8094053.2000000002</c:v>
                </c:pt>
                <c:pt idx="4">
                  <c:v>2853777.2</c:v>
                </c:pt>
                <c:pt idx="5">
                  <c:v>3415637.6</c:v>
                </c:pt>
                <c:pt idx="6">
                  <c:v>1052242.8</c:v>
                </c:pt>
                <c:pt idx="7">
                  <c:v>18338.8</c:v>
                </c:pt>
                <c:pt idx="8">
                  <c:v>12707.2</c:v>
                </c:pt>
                <c:pt idx="9">
                  <c:v>196961.6</c:v>
                </c:pt>
                <c:pt idx="10">
                  <c:v>433.20000000000005</c:v>
                </c:pt>
                <c:pt idx="11">
                  <c:v>433.20000000000005</c:v>
                </c:pt>
                <c:pt idx="12">
                  <c:v>722</c:v>
                </c:pt>
              </c:numCache>
            </c:numRef>
          </c:val>
          <c:extLst>
            <c:ext xmlns:c16="http://schemas.microsoft.com/office/drawing/2014/chart" uri="{C3380CC4-5D6E-409C-BE32-E72D297353CC}">
              <c16:uniqueId val="{00000002-B873-4790-9673-DC8AC3D8D5E2}"/>
            </c:ext>
          </c:extLst>
        </c:ser>
        <c:ser>
          <c:idx val="3"/>
          <c:order val="3"/>
          <c:tx>
            <c:strRef>
              <c:f>Max!$C$39</c:f>
              <c:strCache>
                <c:ptCount val="1"/>
                <c:pt idx="0">
                  <c:v>Dedicated HW</c:v>
                </c:pt>
              </c:strCache>
            </c:strRef>
          </c:tx>
          <c:spPr>
            <a:solidFill>
              <a:schemeClr val="accent4"/>
            </a:solidFill>
            <a:ln>
              <a:noFill/>
            </a:ln>
            <a:effectLst/>
          </c:spPr>
          <c:invertIfNegative val="0"/>
          <c:cat>
            <c:strRef>
              <c:f>Max!$D$35:$P$35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Max!$D$39:$P$39</c:f>
              <c:numCache>
                <c:formatCode>0.00</c:formatCode>
                <c:ptCount val="13"/>
                <c:pt idx="0">
                  <c:v>4448819.6000000006</c:v>
                </c:pt>
                <c:pt idx="1">
                  <c:v>5690515.2000000002</c:v>
                </c:pt>
                <c:pt idx="2">
                  <c:v>9985115.5999999996</c:v>
                </c:pt>
                <c:pt idx="3">
                  <c:v>8094053.2000000002</c:v>
                </c:pt>
                <c:pt idx="4">
                  <c:v>2853777.2</c:v>
                </c:pt>
                <c:pt idx="5">
                  <c:v>3415637.6</c:v>
                </c:pt>
                <c:pt idx="6">
                  <c:v>1052242.8</c:v>
                </c:pt>
                <c:pt idx="7">
                  <c:v>18338.8</c:v>
                </c:pt>
                <c:pt idx="8">
                  <c:v>12707.2</c:v>
                </c:pt>
                <c:pt idx="9">
                  <c:v>196961.6</c:v>
                </c:pt>
                <c:pt idx="10">
                  <c:v>433.20000000000005</c:v>
                </c:pt>
                <c:pt idx="11">
                  <c:v>433.20000000000005</c:v>
                </c:pt>
                <c:pt idx="12">
                  <c:v>722</c:v>
                </c:pt>
              </c:numCache>
            </c:numRef>
          </c:val>
          <c:extLst>
            <c:ext xmlns:c16="http://schemas.microsoft.com/office/drawing/2014/chart" uri="{C3380CC4-5D6E-409C-BE32-E72D297353CC}">
              <c16:uniqueId val="{00000003-B873-4790-9673-DC8AC3D8D5E2}"/>
            </c:ext>
          </c:extLst>
        </c:ser>
        <c:ser>
          <c:idx val="4"/>
          <c:order val="4"/>
          <c:tx>
            <c:strRef>
              <c:f>Max!$C$40</c:f>
              <c:strCache>
                <c:ptCount val="1"/>
                <c:pt idx="0">
                  <c:v>UAV</c:v>
                </c:pt>
              </c:strCache>
            </c:strRef>
          </c:tx>
          <c:spPr>
            <a:solidFill>
              <a:schemeClr val="accent5"/>
            </a:solidFill>
            <a:ln>
              <a:noFill/>
            </a:ln>
            <a:effectLst/>
          </c:spPr>
          <c:invertIfNegative val="0"/>
          <c:cat>
            <c:strRef>
              <c:f>Max!$D$35:$P$35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Max!$D$40:$P$40</c:f>
              <c:numCache>
                <c:formatCode>0.00</c:formatCode>
                <c:ptCount val="13"/>
                <c:pt idx="0">
                  <c:v>1913238.9000000001</c:v>
                </c:pt>
                <c:pt idx="1">
                  <c:v>2447236.8000000003</c:v>
                </c:pt>
                <c:pt idx="2">
                  <c:v>4294152.9000000004</c:v>
                </c:pt>
                <c:pt idx="3">
                  <c:v>3480891.3000000003</c:v>
                </c:pt>
                <c:pt idx="4">
                  <c:v>1227282.3</c:v>
                </c:pt>
                <c:pt idx="5">
                  <c:v>1468913.4000000001</c:v>
                </c:pt>
                <c:pt idx="6">
                  <c:v>452522.7</c:v>
                </c:pt>
                <c:pt idx="7">
                  <c:v>7886.7</c:v>
                </c:pt>
                <c:pt idx="8">
                  <c:v>5464.8</c:v>
                </c:pt>
                <c:pt idx="9">
                  <c:v>84704.400000000009</c:v>
                </c:pt>
                <c:pt idx="10">
                  <c:v>186.3</c:v>
                </c:pt>
                <c:pt idx="11">
                  <c:v>186.3</c:v>
                </c:pt>
                <c:pt idx="12">
                  <c:v>310.5</c:v>
                </c:pt>
              </c:numCache>
            </c:numRef>
          </c:val>
          <c:extLst>
            <c:ext xmlns:c16="http://schemas.microsoft.com/office/drawing/2014/chart" uri="{C3380CC4-5D6E-409C-BE32-E72D297353CC}">
              <c16:uniqueId val="{00000004-B873-4790-9673-DC8AC3D8D5E2}"/>
            </c:ext>
          </c:extLst>
        </c:ser>
        <c:ser>
          <c:idx val="5"/>
          <c:order val="5"/>
          <c:tx>
            <c:strRef>
              <c:f>Max!$C$41</c:f>
              <c:strCache>
                <c:ptCount val="1"/>
                <c:pt idx="0">
                  <c:v>Site Acquisition</c:v>
                </c:pt>
              </c:strCache>
            </c:strRef>
          </c:tx>
          <c:spPr>
            <a:solidFill>
              <a:schemeClr val="accent6"/>
            </a:solidFill>
            <a:ln>
              <a:noFill/>
            </a:ln>
            <a:effectLst/>
          </c:spPr>
          <c:invertIfNegative val="0"/>
          <c:cat>
            <c:strRef>
              <c:f>Max!$D$35:$P$35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Max!$D$41:$P$41</c:f>
              <c:numCache>
                <c:formatCode>General</c:formatCode>
                <c:ptCount val="13"/>
                <c:pt idx="0">
                  <c:v>17786035.699999999</c:v>
                </c:pt>
                <c:pt idx="1">
                  <c:v>22750238.399999999</c:v>
                </c:pt>
                <c:pt idx="2">
                  <c:v>39919717.699999996</c:v>
                </c:pt>
                <c:pt idx="3">
                  <c:v>32359396.899999999</c:v>
                </c:pt>
                <c:pt idx="4">
                  <c:v>11409179.899999999</c:v>
                </c:pt>
                <c:pt idx="5">
                  <c:v>4099238.2</c:v>
                </c:pt>
                <c:pt idx="6">
                  <c:v>1262837.1000000001</c:v>
                </c:pt>
                <c:pt idx="7">
                  <c:v>15240</c:v>
                </c:pt>
                <c:pt idx="8">
                  <c:v>15708</c:v>
                </c:pt>
                <c:pt idx="9">
                  <c:v>236381.2</c:v>
                </c:pt>
                <c:pt idx="10">
                  <c:v>360</c:v>
                </c:pt>
                <c:pt idx="11">
                  <c:v>360</c:v>
                </c:pt>
                <c:pt idx="12">
                  <c:v>600</c:v>
                </c:pt>
              </c:numCache>
            </c:numRef>
          </c:val>
          <c:extLst>
            <c:ext xmlns:c16="http://schemas.microsoft.com/office/drawing/2014/chart" uri="{C3380CC4-5D6E-409C-BE32-E72D297353CC}">
              <c16:uniqueId val="{00000005-F4FE-4815-A24C-96F4060B0559}"/>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Strategy - Scenarios</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70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CAPEX [ZAR]</a:t>
                </a:r>
                <a:endParaRPr lang="en-GB">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majorUnit val="10000000"/>
        <c:minorUnit val="2000000"/>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2004782716252986E-2"/>
          <c:y val="1.2464303420825466E-2"/>
          <c:w val="0.9034352214202821"/>
          <c:h val="0.86559601851851853"/>
        </c:manualLayout>
      </c:layout>
      <c:barChart>
        <c:barDir val="col"/>
        <c:grouping val="stacked"/>
        <c:varyColors val="0"/>
        <c:ser>
          <c:idx val="0"/>
          <c:order val="0"/>
          <c:tx>
            <c:strRef>
              <c:f>Max!$C$47</c:f>
              <c:strCache>
                <c:ptCount val="1"/>
                <c:pt idx="0">
                  <c:v>Batteies</c:v>
                </c:pt>
              </c:strCache>
            </c:strRef>
          </c:tx>
          <c:spPr>
            <a:solidFill>
              <a:schemeClr val="accent1"/>
            </a:solidFill>
            <a:ln>
              <a:noFill/>
            </a:ln>
            <a:effectLst/>
          </c:spPr>
          <c:invertIfNegative val="0"/>
          <c:cat>
            <c:strRef>
              <c:f>Max!$D$46:$P$46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Max!$D$47:$P$47</c:f>
              <c:numCache>
                <c:formatCode>General</c:formatCode>
                <c:ptCount val="13"/>
                <c:pt idx="0">
                  <c:v>121092.40000000001</c:v>
                </c:pt>
                <c:pt idx="1">
                  <c:v>149034.6</c:v>
                </c:pt>
                <c:pt idx="2">
                  <c:v>52153.200000000004</c:v>
                </c:pt>
                <c:pt idx="3">
                  <c:v>108556.8</c:v>
                </c:pt>
                <c:pt idx="4">
                  <c:v>39124.800000000003</c:v>
                </c:pt>
                <c:pt idx="5">
                  <c:v>86735</c:v>
                </c:pt>
                <c:pt idx="6">
                  <c:v>69469.400000000009</c:v>
                </c:pt>
                <c:pt idx="7">
                  <c:v>946</c:v>
                </c:pt>
                <c:pt idx="8">
                  <c:v>127.60000000000001</c:v>
                </c:pt>
                <c:pt idx="9">
                  <c:v>10010</c:v>
                </c:pt>
                <c:pt idx="10">
                  <c:v>15.400000000000002</c:v>
                </c:pt>
                <c:pt idx="11">
                  <c:v>37.400000000000006</c:v>
                </c:pt>
                <c:pt idx="12">
                  <c:v>48.400000000000006</c:v>
                </c:pt>
              </c:numCache>
            </c:numRef>
          </c:val>
          <c:extLst>
            <c:ext xmlns:c16="http://schemas.microsoft.com/office/drawing/2014/chart" uri="{C3380CC4-5D6E-409C-BE32-E72D297353CC}">
              <c16:uniqueId val="{00000000-B873-4790-9673-DC8AC3D8D5E2}"/>
            </c:ext>
          </c:extLst>
        </c:ser>
        <c:ser>
          <c:idx val="1"/>
          <c:order val="1"/>
          <c:tx>
            <c:strRef>
              <c:f>Max!$C$48</c:f>
              <c:strCache>
                <c:ptCount val="1"/>
                <c:pt idx="0">
                  <c:v>Sola Panel</c:v>
                </c:pt>
              </c:strCache>
            </c:strRef>
          </c:tx>
          <c:spPr>
            <a:solidFill>
              <a:schemeClr val="accent2"/>
            </a:solidFill>
            <a:ln>
              <a:noFill/>
            </a:ln>
            <a:effectLst/>
          </c:spPr>
          <c:invertIfNegative val="0"/>
          <c:cat>
            <c:strRef>
              <c:f>Max!$D$46:$P$46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Max!$D$48:$P$48</c:f>
              <c:numCache>
                <c:formatCode>General</c:formatCode>
                <c:ptCount val="13"/>
                <c:pt idx="0">
                  <c:v>635735.1</c:v>
                </c:pt>
                <c:pt idx="1">
                  <c:v>782431.65</c:v>
                </c:pt>
                <c:pt idx="2">
                  <c:v>273804.3</c:v>
                </c:pt>
                <c:pt idx="3">
                  <c:v>569923.20000000007</c:v>
                </c:pt>
                <c:pt idx="4">
                  <c:v>205405.20000000004</c:v>
                </c:pt>
                <c:pt idx="5">
                  <c:v>455358.75</c:v>
                </c:pt>
                <c:pt idx="6">
                  <c:v>364714.35000000003</c:v>
                </c:pt>
                <c:pt idx="7">
                  <c:v>4966.5</c:v>
                </c:pt>
                <c:pt idx="8">
                  <c:v>669.90000000000009</c:v>
                </c:pt>
                <c:pt idx="9">
                  <c:v>52552.5</c:v>
                </c:pt>
                <c:pt idx="10">
                  <c:v>80.850000000000009</c:v>
                </c:pt>
                <c:pt idx="11">
                  <c:v>196.35000000000002</c:v>
                </c:pt>
                <c:pt idx="12">
                  <c:v>254.10000000000002</c:v>
                </c:pt>
              </c:numCache>
            </c:numRef>
          </c:val>
          <c:extLst>
            <c:ext xmlns:c16="http://schemas.microsoft.com/office/drawing/2014/chart" uri="{C3380CC4-5D6E-409C-BE32-E72D297353CC}">
              <c16:uniqueId val="{00000001-B873-4790-9673-DC8AC3D8D5E2}"/>
            </c:ext>
          </c:extLst>
        </c:ser>
        <c:ser>
          <c:idx val="2"/>
          <c:order val="2"/>
          <c:tx>
            <c:strRef>
              <c:f>Max!$C$49</c:f>
              <c:strCache>
                <c:ptCount val="1"/>
                <c:pt idx="0">
                  <c:v>Commodity HW</c:v>
                </c:pt>
              </c:strCache>
            </c:strRef>
          </c:tx>
          <c:spPr>
            <a:solidFill>
              <a:schemeClr val="accent3"/>
            </a:solidFill>
            <a:ln>
              <a:noFill/>
            </a:ln>
            <a:effectLst/>
          </c:spPr>
          <c:invertIfNegative val="0"/>
          <c:cat>
            <c:strRef>
              <c:f>Max!$D$46:$P$46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Max!$D$49:$P$49</c:f>
              <c:numCache>
                <c:formatCode>0.00</c:formatCode>
                <c:ptCount val="13"/>
                <c:pt idx="0">
                  <c:v>916661</c:v>
                </c:pt>
                <c:pt idx="1">
                  <c:v>1086397</c:v>
                </c:pt>
                <c:pt idx="2">
                  <c:v>570261</c:v>
                </c:pt>
                <c:pt idx="3">
                  <c:v>667686</c:v>
                </c:pt>
                <c:pt idx="4">
                  <c:v>320853</c:v>
                </c:pt>
                <c:pt idx="5">
                  <c:v>3414205</c:v>
                </c:pt>
                <c:pt idx="6">
                  <c:v>1051757</c:v>
                </c:pt>
                <c:pt idx="7">
                  <c:v>18619</c:v>
                </c:pt>
                <c:pt idx="8">
                  <c:v>12557</c:v>
                </c:pt>
                <c:pt idx="9">
                  <c:v>197015</c:v>
                </c:pt>
                <c:pt idx="10">
                  <c:v>433</c:v>
                </c:pt>
                <c:pt idx="11">
                  <c:v>433</c:v>
                </c:pt>
                <c:pt idx="12">
                  <c:v>866</c:v>
                </c:pt>
              </c:numCache>
            </c:numRef>
          </c:val>
          <c:extLst>
            <c:ext xmlns:c16="http://schemas.microsoft.com/office/drawing/2014/chart" uri="{C3380CC4-5D6E-409C-BE32-E72D297353CC}">
              <c16:uniqueId val="{00000002-B873-4790-9673-DC8AC3D8D5E2}"/>
            </c:ext>
          </c:extLst>
        </c:ser>
        <c:ser>
          <c:idx val="3"/>
          <c:order val="3"/>
          <c:tx>
            <c:strRef>
              <c:f>Max!$C$50</c:f>
              <c:strCache>
                <c:ptCount val="1"/>
                <c:pt idx="0">
                  <c:v>Dedicated HW</c:v>
                </c:pt>
              </c:strCache>
            </c:strRef>
          </c:tx>
          <c:spPr>
            <a:solidFill>
              <a:schemeClr val="accent4"/>
            </a:solidFill>
            <a:ln>
              <a:noFill/>
            </a:ln>
            <a:effectLst/>
          </c:spPr>
          <c:invertIfNegative val="0"/>
          <c:cat>
            <c:strRef>
              <c:f>Max!$D$46:$P$46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Max!$D$50:$P$50</c:f>
              <c:numCache>
                <c:formatCode>0.00</c:formatCode>
                <c:ptCount val="13"/>
                <c:pt idx="0">
                  <c:v>1986169.4000000001</c:v>
                </c:pt>
                <c:pt idx="1">
                  <c:v>2353943.8000000003</c:v>
                </c:pt>
                <c:pt idx="2">
                  <c:v>1235609.4000000001</c:v>
                </c:pt>
                <c:pt idx="3">
                  <c:v>1446704.4000000001</c:v>
                </c:pt>
                <c:pt idx="4">
                  <c:v>695206.20000000007</c:v>
                </c:pt>
                <c:pt idx="5">
                  <c:v>7397707</c:v>
                </c:pt>
                <c:pt idx="6">
                  <c:v>2278887.8000000003</c:v>
                </c:pt>
                <c:pt idx="7">
                  <c:v>40342.6</c:v>
                </c:pt>
                <c:pt idx="8">
                  <c:v>27207.800000000003</c:v>
                </c:pt>
                <c:pt idx="9">
                  <c:v>426881</c:v>
                </c:pt>
                <c:pt idx="10">
                  <c:v>938.2</c:v>
                </c:pt>
                <c:pt idx="11">
                  <c:v>938.2</c:v>
                </c:pt>
                <c:pt idx="12">
                  <c:v>1876.4</c:v>
                </c:pt>
              </c:numCache>
            </c:numRef>
          </c:val>
          <c:extLst>
            <c:ext xmlns:c16="http://schemas.microsoft.com/office/drawing/2014/chart" uri="{C3380CC4-5D6E-409C-BE32-E72D297353CC}">
              <c16:uniqueId val="{00000003-B873-4790-9673-DC8AC3D8D5E2}"/>
            </c:ext>
          </c:extLst>
        </c:ser>
        <c:ser>
          <c:idx val="4"/>
          <c:order val="4"/>
          <c:tx>
            <c:strRef>
              <c:f>Max!$C$51</c:f>
              <c:strCache>
                <c:ptCount val="1"/>
                <c:pt idx="0">
                  <c:v>Site Acquisition</c:v>
                </c:pt>
              </c:strCache>
            </c:strRef>
          </c:tx>
          <c:spPr>
            <a:solidFill>
              <a:schemeClr val="accent5"/>
            </a:solidFill>
            <a:ln>
              <a:noFill/>
            </a:ln>
            <a:effectLst/>
          </c:spPr>
          <c:invertIfNegative val="0"/>
          <c:cat>
            <c:strRef>
              <c:f>Max!$D$46:$P$46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Max!$D$51:$P$51</c:f>
              <c:numCache>
                <c:formatCode>General</c:formatCode>
                <c:ptCount val="13"/>
                <c:pt idx="0">
                  <c:v>3666644</c:v>
                </c:pt>
                <c:pt idx="1">
                  <c:v>4345588</c:v>
                </c:pt>
                <c:pt idx="2">
                  <c:v>2281044</c:v>
                </c:pt>
                <c:pt idx="3">
                  <c:v>2670744</c:v>
                </c:pt>
                <c:pt idx="4">
                  <c:v>1283412</c:v>
                </c:pt>
                <c:pt idx="5">
                  <c:v>4097046</c:v>
                </c:pt>
                <c:pt idx="6">
                  <c:v>1262108.4000000001</c:v>
                </c:pt>
                <c:pt idx="7">
                  <c:v>20674.400000000001</c:v>
                </c:pt>
                <c:pt idx="8">
                  <c:v>14819</c:v>
                </c:pt>
                <c:pt idx="9">
                  <c:v>236418</c:v>
                </c:pt>
                <c:pt idx="10">
                  <c:v>480.8</c:v>
                </c:pt>
                <c:pt idx="11">
                  <c:v>480.8</c:v>
                </c:pt>
                <c:pt idx="12">
                  <c:v>961.6</c:v>
                </c:pt>
              </c:numCache>
            </c:numRef>
          </c:val>
          <c:extLst>
            <c:ext xmlns:c16="http://schemas.microsoft.com/office/drawing/2014/chart" uri="{C3380CC4-5D6E-409C-BE32-E72D297353CC}">
              <c16:uniqueId val="{00000004-B873-4790-9673-DC8AC3D8D5E2}"/>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Strategy - Scenarios</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16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CAPEX [ZAR]</a:t>
                </a: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GB"/>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LAOD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scatterChart>
        <c:scatterStyle val="smoothMarker"/>
        <c:varyColors val="0"/>
        <c:ser>
          <c:idx val="0"/>
          <c:order val="0"/>
          <c:tx>
            <c:strRef>
              <c:f>Max!$D$162</c:f>
              <c:strCache>
                <c:ptCount val="1"/>
                <c:pt idx="0">
                  <c:v>UAV - Based</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xVal>
            <c:numRef>
              <c:f>Max!$C$163:$C$188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Max!$D$163:$D$188</c:f>
              <c:numCache>
                <c:formatCode>General</c:formatCode>
                <c:ptCount val="26"/>
                <c:pt idx="0">
                  <c:v>0.27999999999999992</c:v>
                </c:pt>
                <c:pt idx="1">
                  <c:v>0.2990815372781217</c:v>
                </c:pt>
                <c:pt idx="2">
                  <c:v>0.35502577388071427</c:v>
                </c:pt>
                <c:pt idx="3">
                  <c:v>0.44402020253553331</c:v>
                </c:pt>
                <c:pt idx="4">
                  <c:v>0.55999999999999983</c:v>
                </c:pt>
                <c:pt idx="5">
                  <c:v>0.69506133474258824</c:v>
                </c:pt>
                <c:pt idx="6">
                  <c:v>0.84</c:v>
                </c:pt>
                <c:pt idx="7">
                  <c:v>0.98493866525741147</c:v>
                </c:pt>
                <c:pt idx="8">
                  <c:v>1.1199999999999999</c:v>
                </c:pt>
                <c:pt idx="9">
                  <c:v>1.2359797974644666</c:v>
                </c:pt>
                <c:pt idx="10">
                  <c:v>1.3249742261192856</c:v>
                </c:pt>
                <c:pt idx="11">
                  <c:v>1.3809184627218782</c:v>
                </c:pt>
                <c:pt idx="12">
                  <c:v>1.4</c:v>
                </c:pt>
                <c:pt idx="13">
                  <c:v>1.3809184627218785</c:v>
                </c:pt>
                <c:pt idx="14">
                  <c:v>1.3249742261192858</c:v>
                </c:pt>
                <c:pt idx="15">
                  <c:v>1.2359797974644668</c:v>
                </c:pt>
                <c:pt idx="16">
                  <c:v>1.1200000000000001</c:v>
                </c:pt>
                <c:pt idx="17">
                  <c:v>0.98493866525741203</c:v>
                </c:pt>
                <c:pt idx="18">
                  <c:v>0.84000000000000008</c:v>
                </c:pt>
                <c:pt idx="19">
                  <c:v>0.69506133474258858</c:v>
                </c:pt>
                <c:pt idx="20">
                  <c:v>0.56000000000000028</c:v>
                </c:pt>
                <c:pt idx="21">
                  <c:v>0.44402020253553343</c:v>
                </c:pt>
                <c:pt idx="22">
                  <c:v>0.35502577388071443</c:v>
                </c:pt>
                <c:pt idx="23">
                  <c:v>0.29908153727812181</c:v>
                </c:pt>
                <c:pt idx="24">
                  <c:v>0.27999999999999992</c:v>
                </c:pt>
              </c:numCache>
            </c:numRef>
          </c:yVal>
          <c:smooth val="1"/>
          <c:extLst>
            <c:ext xmlns:c16="http://schemas.microsoft.com/office/drawing/2014/chart" uri="{C3380CC4-5D6E-409C-BE32-E72D297353CC}">
              <c16:uniqueId val="{00000000-F6EB-45D3-89D4-C23ECB8ED7A3}"/>
            </c:ext>
          </c:extLst>
        </c:ser>
        <c:ser>
          <c:idx val="1"/>
          <c:order val="1"/>
          <c:tx>
            <c:strRef>
              <c:f>Max!$E$162</c:f>
              <c:strCache>
                <c:ptCount val="1"/>
                <c:pt idx="0">
                  <c:v>LC - Based</c:v>
                </c:pt>
              </c:strCache>
            </c:strRef>
          </c:tx>
          <c:spPr>
            <a:ln w="1905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xVal>
            <c:numRef>
              <c:f>Max!$C$163:$C$188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Max!$E$163:$E$188</c:f>
              <c:numCache>
                <c:formatCode>General</c:formatCode>
                <c:ptCount val="26"/>
                <c:pt idx="0">
                  <c:v>0.87999999999999989</c:v>
                </c:pt>
                <c:pt idx="1">
                  <c:v>0.92463716756132031</c:v>
                </c:pt>
                <c:pt idx="2">
                  <c:v>1.0555067210423852</c:v>
                </c:pt>
                <c:pt idx="3">
                  <c:v>1.2636901166456225</c:v>
                </c:pt>
                <c:pt idx="4">
                  <c:v>1.5349999999999997</c:v>
                </c:pt>
                <c:pt idx="5">
                  <c:v>1.8509470509156976</c:v>
                </c:pt>
                <c:pt idx="6">
                  <c:v>2.19</c:v>
                </c:pt>
                <c:pt idx="7">
                  <c:v>2.5290529490843019</c:v>
                </c:pt>
                <c:pt idx="8">
                  <c:v>2.8449999999999998</c:v>
                </c:pt>
                <c:pt idx="9">
                  <c:v>3.1163098833543774</c:v>
                </c:pt>
                <c:pt idx="10">
                  <c:v>3.3244932789576147</c:v>
                </c:pt>
                <c:pt idx="11">
                  <c:v>3.4553628324386794</c:v>
                </c:pt>
                <c:pt idx="12">
                  <c:v>3.5</c:v>
                </c:pt>
                <c:pt idx="13">
                  <c:v>3.4553628324386798</c:v>
                </c:pt>
                <c:pt idx="14">
                  <c:v>3.3244932789576147</c:v>
                </c:pt>
                <c:pt idx="15">
                  <c:v>3.1163098833543779</c:v>
                </c:pt>
                <c:pt idx="16">
                  <c:v>2.8450000000000006</c:v>
                </c:pt>
                <c:pt idx="17">
                  <c:v>2.5290529490843032</c:v>
                </c:pt>
                <c:pt idx="18">
                  <c:v>2.1900000000000004</c:v>
                </c:pt>
                <c:pt idx="19">
                  <c:v>1.8509470509156984</c:v>
                </c:pt>
                <c:pt idx="20">
                  <c:v>1.5350000000000008</c:v>
                </c:pt>
                <c:pt idx="21">
                  <c:v>1.2636901166456229</c:v>
                </c:pt>
                <c:pt idx="22">
                  <c:v>1.0555067210423856</c:v>
                </c:pt>
                <c:pt idx="23">
                  <c:v>0.92463716756132075</c:v>
                </c:pt>
                <c:pt idx="24">
                  <c:v>0.87999999999999989</c:v>
                </c:pt>
              </c:numCache>
            </c:numRef>
          </c:yVal>
          <c:smooth val="1"/>
          <c:extLst>
            <c:ext xmlns:c16="http://schemas.microsoft.com/office/drawing/2014/chart" uri="{C3380CC4-5D6E-409C-BE32-E72D297353CC}">
              <c16:uniqueId val="{00000001-F6EB-45D3-89D4-C23ECB8ED7A3}"/>
            </c:ext>
          </c:extLst>
        </c:ser>
        <c:ser>
          <c:idx val="2"/>
          <c:order val="2"/>
          <c:tx>
            <c:strRef>
              <c:f>Max!$F$162</c:f>
              <c:strCache>
                <c:ptCount val="1"/>
                <c:pt idx="0">
                  <c:v>Hotspot</c:v>
                </c:pt>
              </c:strCache>
            </c:strRef>
          </c:tx>
          <c:spPr>
            <a:ln w="19050" cap="rnd">
              <a:solidFill>
                <a:schemeClr val="accent3"/>
              </a:solidFill>
              <a:round/>
            </a:ln>
            <a:effectLst/>
          </c:spPr>
          <c:marker>
            <c:symbol val="none"/>
          </c:marker>
          <c:xVal>
            <c:numRef>
              <c:f>Max!$C$163:$C$188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Max!$F$163:$F$188</c:f>
              <c:numCache>
                <c:formatCode>General</c:formatCode>
                <c:ptCount val="26"/>
                <c:pt idx="0">
                  <c:v>0.33000000000000007</c:v>
                </c:pt>
                <c:pt idx="1">
                  <c:v>0.42063730207107852</c:v>
                </c:pt>
                <c:pt idx="2">
                  <c:v>0.68637242593339298</c:v>
                </c:pt>
                <c:pt idx="3">
                  <c:v>1.1090959620437835</c:v>
                </c:pt>
                <c:pt idx="4">
                  <c:v>1.66</c:v>
                </c:pt>
                <c:pt idx="5">
                  <c:v>2.3015413400272946</c:v>
                </c:pt>
                <c:pt idx="6">
                  <c:v>2.99</c:v>
                </c:pt>
                <c:pt idx="7">
                  <c:v>3.6784586599727049</c:v>
                </c:pt>
                <c:pt idx="8">
                  <c:v>4.3199999999999994</c:v>
                </c:pt>
                <c:pt idx="9">
                  <c:v>4.8709040379562163</c:v>
                </c:pt>
                <c:pt idx="10">
                  <c:v>5.2936275740666066</c:v>
                </c:pt>
                <c:pt idx="11">
                  <c:v>5.5593626979289219</c:v>
                </c:pt>
                <c:pt idx="12">
                  <c:v>5.65</c:v>
                </c:pt>
                <c:pt idx="13">
                  <c:v>5.5593626979289219</c:v>
                </c:pt>
                <c:pt idx="14">
                  <c:v>5.2936275740666074</c:v>
                </c:pt>
                <c:pt idx="15">
                  <c:v>4.8709040379562181</c:v>
                </c:pt>
                <c:pt idx="16">
                  <c:v>4.3200000000000012</c:v>
                </c:pt>
                <c:pt idx="17">
                  <c:v>3.6784586599727076</c:v>
                </c:pt>
                <c:pt idx="18">
                  <c:v>2.9900000000000007</c:v>
                </c:pt>
                <c:pt idx="19">
                  <c:v>2.3015413400272964</c:v>
                </c:pt>
                <c:pt idx="20">
                  <c:v>1.6600000000000019</c:v>
                </c:pt>
                <c:pt idx="21">
                  <c:v>1.1090959620437841</c:v>
                </c:pt>
                <c:pt idx="22">
                  <c:v>0.68637242593339387</c:v>
                </c:pt>
                <c:pt idx="23">
                  <c:v>0.42063730207107897</c:v>
                </c:pt>
                <c:pt idx="24">
                  <c:v>0.33000000000000007</c:v>
                </c:pt>
              </c:numCache>
            </c:numRef>
          </c:yVal>
          <c:smooth val="1"/>
          <c:extLst>
            <c:ext xmlns:c16="http://schemas.microsoft.com/office/drawing/2014/chart" uri="{C3380CC4-5D6E-409C-BE32-E72D297353CC}">
              <c16:uniqueId val="{00000002-1407-4EEF-8987-B094F47C84B7}"/>
            </c:ext>
          </c:extLst>
        </c:ser>
        <c:dLbls>
          <c:showLegendKey val="0"/>
          <c:showVal val="0"/>
          <c:showCatName val="0"/>
          <c:showSerName val="0"/>
          <c:showPercent val="0"/>
          <c:showBubbleSize val="0"/>
        </c:dLbls>
        <c:axId val="1725179536"/>
        <c:axId val="1725177456"/>
      </c:scatterChart>
      <c:valAx>
        <c:axId val="1725179536"/>
        <c:scaling>
          <c:orientation val="minMax"/>
          <c:max val="24"/>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Time [HRS]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7456"/>
        <c:crosses val="autoZero"/>
        <c:crossBetween val="midCat"/>
        <c:majorUnit val="6"/>
      </c:valAx>
      <c:valAx>
        <c:axId val="17251774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solidFill>
            <a:srgbClr val="FFFFFF">
              <a:alpha val="0"/>
            </a:srgbClr>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9536"/>
        <c:crosses val="autoZero"/>
        <c:crossBetween val="midCat"/>
        <c:majorUnit val="0.5"/>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no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797369112562357E-2"/>
          <c:y val="1.2203179707864822E-2"/>
          <c:w val="0.92448997438239688"/>
          <c:h val="0.86100365554578684"/>
        </c:manualLayout>
      </c:layout>
      <c:barChart>
        <c:barDir val="col"/>
        <c:grouping val="stacked"/>
        <c:varyColors val="0"/>
        <c:ser>
          <c:idx val="0"/>
          <c:order val="0"/>
          <c:tx>
            <c:strRef>
              <c:f>Max!$C$57</c:f>
              <c:strCache>
                <c:ptCount val="1"/>
                <c:pt idx="0">
                  <c:v>Batteies</c:v>
                </c:pt>
              </c:strCache>
            </c:strRef>
          </c:tx>
          <c:spPr>
            <a:solidFill>
              <a:schemeClr val="accent1"/>
            </a:solidFill>
            <a:ln>
              <a:noFill/>
            </a:ln>
            <a:effectLst/>
          </c:spPr>
          <c:invertIfNegative val="0"/>
          <c:cat>
            <c:strRef>
              <c:f>Max!$D$56:$P$56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Max!$D$57:$P$57</c:f>
              <c:numCache>
                <c:formatCode>General</c:formatCode>
                <c:ptCount val="13"/>
                <c:pt idx="0">
                  <c:v>1220036.4000000001</c:v>
                </c:pt>
                <c:pt idx="1">
                  <c:v>1560556.8</c:v>
                </c:pt>
                <c:pt idx="2">
                  <c:v>2738300.4</c:v>
                </c:pt>
                <c:pt idx="3">
                  <c:v>2219698.8000000003</c:v>
                </c:pt>
                <c:pt idx="4">
                  <c:v>782614.8</c:v>
                </c:pt>
                <c:pt idx="5">
                  <c:v>66616</c:v>
                </c:pt>
                <c:pt idx="6">
                  <c:v>20548</c:v>
                </c:pt>
                <c:pt idx="7">
                  <c:v>363</c:v>
                </c:pt>
                <c:pt idx="8">
                  <c:v>2904</c:v>
                </c:pt>
                <c:pt idx="9">
                  <c:v>1742.4</c:v>
                </c:pt>
                <c:pt idx="10">
                  <c:v>15.400000000000002</c:v>
                </c:pt>
                <c:pt idx="11">
                  <c:v>15.400000000000002</c:v>
                </c:pt>
                <c:pt idx="12">
                  <c:v>15.400000000000002</c:v>
                </c:pt>
              </c:numCache>
            </c:numRef>
          </c:val>
          <c:extLst>
            <c:ext xmlns:c16="http://schemas.microsoft.com/office/drawing/2014/chart" uri="{C3380CC4-5D6E-409C-BE32-E72D297353CC}">
              <c16:uniqueId val="{00000000-B873-4790-9673-DC8AC3D8D5E2}"/>
            </c:ext>
          </c:extLst>
        </c:ser>
        <c:ser>
          <c:idx val="1"/>
          <c:order val="1"/>
          <c:tx>
            <c:strRef>
              <c:f>Max!$C$58</c:f>
              <c:strCache>
                <c:ptCount val="1"/>
                <c:pt idx="0">
                  <c:v>Solar Panel</c:v>
                </c:pt>
              </c:strCache>
            </c:strRef>
          </c:tx>
          <c:spPr>
            <a:solidFill>
              <a:schemeClr val="accent2"/>
            </a:solidFill>
            <a:ln>
              <a:noFill/>
            </a:ln>
            <a:effectLst/>
          </c:spPr>
          <c:invertIfNegative val="0"/>
          <c:cat>
            <c:strRef>
              <c:f>Max!$D$56:$P$56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Max!$D$58:$P$58</c:f>
              <c:numCache>
                <c:formatCode>General</c:formatCode>
                <c:ptCount val="13"/>
                <c:pt idx="0">
                  <c:v>6405191.1000000006</c:v>
                </c:pt>
                <c:pt idx="1">
                  <c:v>8192923.2000000002</c:v>
                </c:pt>
                <c:pt idx="2">
                  <c:v>14376077.1</c:v>
                </c:pt>
                <c:pt idx="3">
                  <c:v>11653418.700000001</c:v>
                </c:pt>
                <c:pt idx="4">
                  <c:v>4108727.7</c:v>
                </c:pt>
                <c:pt idx="5">
                  <c:v>349734</c:v>
                </c:pt>
                <c:pt idx="6">
                  <c:v>107877</c:v>
                </c:pt>
                <c:pt idx="7">
                  <c:v>1905.75</c:v>
                </c:pt>
                <c:pt idx="8">
                  <c:v>15246</c:v>
                </c:pt>
                <c:pt idx="9">
                  <c:v>9147.6</c:v>
                </c:pt>
                <c:pt idx="10">
                  <c:v>80.850000000000009</c:v>
                </c:pt>
                <c:pt idx="11">
                  <c:v>80.850000000000009</c:v>
                </c:pt>
                <c:pt idx="12">
                  <c:v>80.850000000000009</c:v>
                </c:pt>
              </c:numCache>
            </c:numRef>
          </c:val>
          <c:extLst>
            <c:ext xmlns:c16="http://schemas.microsoft.com/office/drawing/2014/chart" uri="{C3380CC4-5D6E-409C-BE32-E72D297353CC}">
              <c16:uniqueId val="{00000001-B873-4790-9673-DC8AC3D8D5E2}"/>
            </c:ext>
          </c:extLst>
        </c:ser>
        <c:ser>
          <c:idx val="2"/>
          <c:order val="2"/>
          <c:tx>
            <c:strRef>
              <c:f>Max!$C$59</c:f>
              <c:strCache>
                <c:ptCount val="1"/>
                <c:pt idx="0">
                  <c:v>Commodity HW</c:v>
                </c:pt>
              </c:strCache>
            </c:strRef>
          </c:tx>
          <c:spPr>
            <a:solidFill>
              <a:schemeClr val="accent3"/>
            </a:solidFill>
            <a:ln>
              <a:noFill/>
            </a:ln>
            <a:effectLst/>
          </c:spPr>
          <c:invertIfNegative val="0"/>
          <c:cat>
            <c:strRef>
              <c:f>Max!$D$56:$P$56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Max!$D$59:$P$59</c:f>
              <c:numCache>
                <c:formatCode>0.00</c:formatCode>
                <c:ptCount val="13"/>
                <c:pt idx="0">
                  <c:v>4448819.6000000006</c:v>
                </c:pt>
                <c:pt idx="1">
                  <c:v>5690515.2000000002</c:v>
                </c:pt>
                <c:pt idx="2">
                  <c:v>9985115.5999999996</c:v>
                </c:pt>
                <c:pt idx="3">
                  <c:v>8094053.2000000002</c:v>
                </c:pt>
                <c:pt idx="4">
                  <c:v>2853777.2</c:v>
                </c:pt>
                <c:pt idx="5">
                  <c:v>218621.6</c:v>
                </c:pt>
                <c:pt idx="6">
                  <c:v>67434.8</c:v>
                </c:pt>
                <c:pt idx="7">
                  <c:v>1588.4</c:v>
                </c:pt>
                <c:pt idx="8">
                  <c:v>12707.2</c:v>
                </c:pt>
                <c:pt idx="9">
                  <c:v>12707.2</c:v>
                </c:pt>
                <c:pt idx="10">
                  <c:v>144.4</c:v>
                </c:pt>
                <c:pt idx="11">
                  <c:v>144.4</c:v>
                </c:pt>
                <c:pt idx="12">
                  <c:v>144.4</c:v>
                </c:pt>
              </c:numCache>
            </c:numRef>
          </c:val>
          <c:extLst>
            <c:ext xmlns:c16="http://schemas.microsoft.com/office/drawing/2014/chart" uri="{C3380CC4-5D6E-409C-BE32-E72D297353CC}">
              <c16:uniqueId val="{00000002-B873-4790-9673-DC8AC3D8D5E2}"/>
            </c:ext>
          </c:extLst>
        </c:ser>
        <c:ser>
          <c:idx val="3"/>
          <c:order val="3"/>
          <c:tx>
            <c:strRef>
              <c:f>Max!$C$60</c:f>
              <c:strCache>
                <c:ptCount val="1"/>
                <c:pt idx="0">
                  <c:v>Dedicated HW</c:v>
                </c:pt>
              </c:strCache>
            </c:strRef>
          </c:tx>
          <c:spPr>
            <a:solidFill>
              <a:schemeClr val="accent4"/>
            </a:solidFill>
            <a:ln>
              <a:noFill/>
            </a:ln>
            <a:effectLst/>
          </c:spPr>
          <c:invertIfNegative val="0"/>
          <c:cat>
            <c:strRef>
              <c:f>Max!$D$56:$P$56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Max!$D$60:$P$60</c:f>
              <c:numCache>
                <c:formatCode>0.00</c:formatCode>
                <c:ptCount val="13"/>
                <c:pt idx="0">
                  <c:v>1216955.5</c:v>
                </c:pt>
                <c:pt idx="1">
                  <c:v>1556616</c:v>
                </c:pt>
                <c:pt idx="2">
                  <c:v>2731385.5</c:v>
                </c:pt>
                <c:pt idx="3">
                  <c:v>2214093.5</c:v>
                </c:pt>
                <c:pt idx="4">
                  <c:v>780638.5</c:v>
                </c:pt>
                <c:pt idx="5">
                  <c:v>59803</c:v>
                </c:pt>
                <c:pt idx="6">
                  <c:v>18446.5</c:v>
                </c:pt>
                <c:pt idx="7">
                  <c:v>434.5</c:v>
                </c:pt>
                <c:pt idx="8">
                  <c:v>3476</c:v>
                </c:pt>
                <c:pt idx="9">
                  <c:v>3476</c:v>
                </c:pt>
                <c:pt idx="10">
                  <c:v>39.5</c:v>
                </c:pt>
                <c:pt idx="11">
                  <c:v>39.5</c:v>
                </c:pt>
                <c:pt idx="12">
                  <c:v>39.5</c:v>
                </c:pt>
              </c:numCache>
            </c:numRef>
          </c:val>
          <c:extLst>
            <c:ext xmlns:c16="http://schemas.microsoft.com/office/drawing/2014/chart" uri="{C3380CC4-5D6E-409C-BE32-E72D297353CC}">
              <c16:uniqueId val="{00000003-B873-4790-9673-DC8AC3D8D5E2}"/>
            </c:ext>
          </c:extLst>
        </c:ser>
        <c:ser>
          <c:idx val="4"/>
          <c:order val="4"/>
          <c:tx>
            <c:strRef>
              <c:f>Max!$C$61</c:f>
              <c:strCache>
                <c:ptCount val="1"/>
                <c:pt idx="0">
                  <c:v>Site Acquisition</c:v>
                </c:pt>
              </c:strCache>
            </c:strRef>
          </c:tx>
          <c:spPr>
            <a:solidFill>
              <a:schemeClr val="accent5"/>
            </a:solidFill>
            <a:ln>
              <a:noFill/>
            </a:ln>
            <a:effectLst/>
          </c:spPr>
          <c:invertIfNegative val="0"/>
          <c:cat>
            <c:strRef>
              <c:f>Max!$D$56:$P$56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Max!$D$61:$P$61</c:f>
              <c:numCache>
                <c:formatCode>General</c:formatCode>
                <c:ptCount val="13"/>
                <c:pt idx="0">
                  <c:v>25016908</c:v>
                </c:pt>
                <c:pt idx="1">
                  <c:v>31999296</c:v>
                </c:pt>
                <c:pt idx="2">
                  <c:v>56148988</c:v>
                </c:pt>
                <c:pt idx="3">
                  <c:v>45515036</c:v>
                </c:pt>
                <c:pt idx="4">
                  <c:v>16047556</c:v>
                </c:pt>
                <c:pt idx="5">
                  <c:v>363360</c:v>
                </c:pt>
                <c:pt idx="6">
                  <c:v>112080</c:v>
                </c:pt>
                <c:pt idx="7">
                  <c:v>1760</c:v>
                </c:pt>
                <c:pt idx="8">
                  <c:v>17600</c:v>
                </c:pt>
                <c:pt idx="9">
                  <c:v>17600</c:v>
                </c:pt>
                <c:pt idx="10">
                  <c:v>160</c:v>
                </c:pt>
                <c:pt idx="11">
                  <c:v>160</c:v>
                </c:pt>
                <c:pt idx="12">
                  <c:v>160</c:v>
                </c:pt>
              </c:numCache>
            </c:numRef>
          </c:val>
          <c:extLst>
            <c:ext xmlns:c16="http://schemas.microsoft.com/office/drawing/2014/chart" uri="{C3380CC4-5D6E-409C-BE32-E72D297353CC}">
              <c16:uniqueId val="{00000004-B873-4790-9673-DC8AC3D8D5E2}"/>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Strategy - Scenarios</a:t>
                </a:r>
              </a:p>
            </c:rich>
          </c:tx>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90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a:t>CAPEX [ZAR]</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2"/>
          <c:tx>
            <c:strRef>
              <c:f>Max!$C$196</c:f>
              <c:strCache>
                <c:ptCount val="1"/>
                <c:pt idx="0">
                  <c:v>Hotspot - Based on Active Users</c:v>
                </c:pt>
              </c:strCache>
            </c:strRef>
          </c:tx>
          <c:spPr>
            <a:solidFill>
              <a:schemeClr val="accent3"/>
            </a:solidFill>
            <a:ln>
              <a:noFill/>
            </a:ln>
            <a:effectLst/>
          </c:spPr>
          <c:invertIfNegative val="0"/>
          <c:cat>
            <c:strRef>
              <c:f>Max!$D$193:$P$193</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Max!$D$196:$P$196</c:f>
              <c:numCache>
                <c:formatCode>General</c:formatCode>
                <c:ptCount val="13"/>
                <c:pt idx="0">
                  <c:v>407</c:v>
                </c:pt>
                <c:pt idx="1">
                  <c:v>482</c:v>
                </c:pt>
                <c:pt idx="2">
                  <c:v>253</c:v>
                </c:pt>
                <c:pt idx="3">
                  <c:v>296</c:v>
                </c:pt>
                <c:pt idx="4">
                  <c:v>143</c:v>
                </c:pt>
                <c:pt idx="5">
                  <c:v>1514</c:v>
                </c:pt>
                <c:pt idx="6">
                  <c:v>467</c:v>
                </c:pt>
                <c:pt idx="7">
                  <c:v>9</c:v>
                </c:pt>
                <c:pt idx="8">
                  <c:v>6</c:v>
                </c:pt>
                <c:pt idx="9">
                  <c:v>88</c:v>
                </c:pt>
                <c:pt idx="10">
                  <c:v>1</c:v>
                </c:pt>
                <c:pt idx="11">
                  <c:v>1</c:v>
                </c:pt>
                <c:pt idx="12">
                  <c:v>1</c:v>
                </c:pt>
              </c:numCache>
            </c:numRef>
          </c:val>
          <c:extLst>
            <c:ext xmlns:c16="http://schemas.microsoft.com/office/drawing/2014/chart" uri="{C3380CC4-5D6E-409C-BE32-E72D297353CC}">
              <c16:uniqueId val="{00000002-22AF-4C38-9F66-181B94B15ABF}"/>
            </c:ext>
          </c:extLst>
        </c:ser>
        <c:ser>
          <c:idx val="5"/>
          <c:order val="5"/>
          <c:tx>
            <c:strRef>
              <c:f>Max!$C$199</c:f>
              <c:strCache>
                <c:ptCount val="1"/>
                <c:pt idx="0">
                  <c:v>Hotspot - Based on Area</c:v>
                </c:pt>
              </c:strCache>
            </c:strRef>
          </c:tx>
          <c:spPr>
            <a:solidFill>
              <a:schemeClr val="accent6"/>
            </a:solidFill>
            <a:ln>
              <a:noFill/>
            </a:ln>
            <a:effectLst/>
          </c:spPr>
          <c:invertIfNegative val="0"/>
          <c:cat>
            <c:strRef>
              <c:f>Max!$D$193:$P$193</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Max!$D$199:$P$199</c:f>
              <c:numCache>
                <c:formatCode>General</c:formatCode>
                <c:ptCount val="13"/>
                <c:pt idx="0">
                  <c:v>30809</c:v>
                </c:pt>
                <c:pt idx="1">
                  <c:v>39408</c:v>
                </c:pt>
                <c:pt idx="2">
                  <c:v>69149</c:v>
                </c:pt>
                <c:pt idx="3">
                  <c:v>56053</c:v>
                </c:pt>
                <c:pt idx="4">
                  <c:v>19763</c:v>
                </c:pt>
                <c:pt idx="5">
                  <c:v>308</c:v>
                </c:pt>
                <c:pt idx="6">
                  <c:v>60</c:v>
                </c:pt>
                <c:pt idx="7">
                  <c:v>11</c:v>
                </c:pt>
                <c:pt idx="8">
                  <c:v>88</c:v>
                </c:pt>
                <c:pt idx="9">
                  <c:v>18</c:v>
                </c:pt>
                <c:pt idx="10">
                  <c:v>0</c:v>
                </c:pt>
                <c:pt idx="11">
                  <c:v>0</c:v>
                </c:pt>
                <c:pt idx="12">
                  <c:v>0</c:v>
                </c:pt>
              </c:numCache>
            </c:numRef>
          </c:val>
          <c:extLst>
            <c:ext xmlns:c16="http://schemas.microsoft.com/office/drawing/2014/chart" uri="{C3380CC4-5D6E-409C-BE32-E72D297353CC}">
              <c16:uniqueId val="{00000005-22AF-4C38-9F66-181B94B15ABF}"/>
            </c:ext>
          </c:extLst>
        </c:ser>
        <c:dLbls>
          <c:showLegendKey val="0"/>
          <c:showVal val="0"/>
          <c:showCatName val="0"/>
          <c:showSerName val="0"/>
          <c:showPercent val="0"/>
          <c:showBubbleSize val="0"/>
        </c:dLbls>
        <c:gapWidth val="219"/>
        <c:overlap val="-27"/>
        <c:axId val="1402120656"/>
        <c:axId val="2018379456"/>
        <c:extLst>
          <c:ext xmlns:c15="http://schemas.microsoft.com/office/drawing/2012/chart" uri="{02D57815-91ED-43cb-92C2-25804820EDAC}">
            <c15:filteredBarSeries>
              <c15:ser>
                <c:idx val="0"/>
                <c:order val="0"/>
                <c:tx>
                  <c:strRef>
                    <c:extLst>
                      <c:ext uri="{02D57815-91ED-43cb-92C2-25804820EDAC}">
                        <c15:formulaRef>
                          <c15:sqref>Max!$C$194</c15:sqref>
                        </c15:formulaRef>
                      </c:ext>
                    </c:extLst>
                    <c:strCache>
                      <c:ptCount val="1"/>
                      <c:pt idx="0">
                        <c:v>UAV - Based on Active Users</c:v>
                      </c:pt>
                    </c:strCache>
                  </c:strRef>
                </c:tx>
                <c:spPr>
                  <a:solidFill>
                    <a:schemeClr val="accent1"/>
                  </a:solidFill>
                  <a:ln>
                    <a:noFill/>
                  </a:ln>
                  <a:effectLst/>
                </c:spPr>
                <c:invertIfNegative val="0"/>
                <c:cat>
                  <c:strRef>
                    <c:extLst>
                      <c:ext uri="{02D57815-91ED-43cb-92C2-25804820EDAC}">
                        <c15:formulaRef>
                          <c15:sqref>Max!$D$193:$P$193</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c:ext uri="{02D57815-91ED-43cb-92C2-25804820EDAC}">
                        <c15:formulaRef>
                          <c15:sqref>Max!$D$194:$P$194</c15:sqref>
                        </c15:formulaRef>
                      </c:ext>
                    </c:extLst>
                    <c:numCache>
                      <c:formatCode>General</c:formatCode>
                      <c:ptCount val="13"/>
                      <c:pt idx="0">
                        <c:v>6351</c:v>
                      </c:pt>
                      <c:pt idx="1">
                        <c:v>7527</c:v>
                      </c:pt>
                      <c:pt idx="2">
                        <c:v>3949</c:v>
                      </c:pt>
                      <c:pt idx="3">
                        <c:v>4624</c:v>
                      </c:pt>
                      <c:pt idx="4">
                        <c:v>2222</c:v>
                      </c:pt>
                      <c:pt idx="5">
                        <c:v>23654</c:v>
                      </c:pt>
                      <c:pt idx="6">
                        <c:v>7287</c:v>
                      </c:pt>
                      <c:pt idx="7">
                        <c:v>127</c:v>
                      </c:pt>
                      <c:pt idx="8">
                        <c:v>85</c:v>
                      </c:pt>
                      <c:pt idx="9">
                        <c:v>1364</c:v>
                      </c:pt>
                      <c:pt idx="10">
                        <c:v>3</c:v>
                      </c:pt>
                      <c:pt idx="11">
                        <c:v>3</c:v>
                      </c:pt>
                      <c:pt idx="12">
                        <c:v>5</c:v>
                      </c:pt>
                    </c:numCache>
                  </c:numRef>
                </c:val>
                <c:extLst>
                  <c:ext xmlns:c16="http://schemas.microsoft.com/office/drawing/2014/chart" uri="{C3380CC4-5D6E-409C-BE32-E72D297353CC}">
                    <c16:uniqueId val="{00000000-22AF-4C38-9F66-181B94B15AB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Max!$C$195</c15:sqref>
                        </c15:formulaRef>
                      </c:ext>
                    </c:extLst>
                    <c:strCache>
                      <c:ptCount val="1"/>
                      <c:pt idx="0">
                        <c:v>LC - Based on Active Users</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Max!$D$193:$P$193</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Max!$D$195:$P$195</c15:sqref>
                        </c15:formulaRef>
                      </c:ext>
                    </c:extLst>
                    <c:numCache>
                      <c:formatCode>General</c:formatCode>
                      <c:ptCount val="13"/>
                      <c:pt idx="0">
                        <c:v>2117</c:v>
                      </c:pt>
                      <c:pt idx="1">
                        <c:v>2509</c:v>
                      </c:pt>
                      <c:pt idx="2">
                        <c:v>1317</c:v>
                      </c:pt>
                      <c:pt idx="3">
                        <c:v>1542</c:v>
                      </c:pt>
                      <c:pt idx="4">
                        <c:v>741</c:v>
                      </c:pt>
                      <c:pt idx="5">
                        <c:v>7885</c:v>
                      </c:pt>
                      <c:pt idx="6">
                        <c:v>2429</c:v>
                      </c:pt>
                      <c:pt idx="7">
                        <c:v>43</c:v>
                      </c:pt>
                      <c:pt idx="8">
                        <c:v>29</c:v>
                      </c:pt>
                      <c:pt idx="9">
                        <c:v>455</c:v>
                      </c:pt>
                      <c:pt idx="10">
                        <c:v>1</c:v>
                      </c:pt>
                      <c:pt idx="11">
                        <c:v>1</c:v>
                      </c:pt>
                      <c:pt idx="12">
                        <c:v>2</c:v>
                      </c:pt>
                    </c:numCache>
                  </c:numRef>
                </c:val>
                <c:extLst xmlns:c15="http://schemas.microsoft.com/office/drawing/2012/chart">
                  <c:ext xmlns:c16="http://schemas.microsoft.com/office/drawing/2014/chart" uri="{C3380CC4-5D6E-409C-BE32-E72D297353CC}">
                    <c16:uniqueId val="{00000001-22AF-4C38-9F66-181B94B15AB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Max!$C$197</c15:sqref>
                        </c15:formulaRef>
                      </c:ext>
                    </c:extLst>
                    <c:strCache>
                      <c:ptCount val="1"/>
                      <c:pt idx="0">
                        <c:v>UAV - Based on Area</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Max!$D$193:$P$193</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Max!$D$197:$P$197</c15:sqref>
                        </c15:formulaRef>
                      </c:ext>
                    </c:extLst>
                    <c:numCache>
                      <c:formatCode>General</c:formatCode>
                      <c:ptCount val="13"/>
                      <c:pt idx="0">
                        <c:v>30809</c:v>
                      </c:pt>
                      <c:pt idx="1">
                        <c:v>39408</c:v>
                      </c:pt>
                      <c:pt idx="2">
                        <c:v>69149</c:v>
                      </c:pt>
                      <c:pt idx="3">
                        <c:v>56053</c:v>
                      </c:pt>
                      <c:pt idx="4">
                        <c:v>19763</c:v>
                      </c:pt>
                      <c:pt idx="5">
                        <c:v>308</c:v>
                      </c:pt>
                      <c:pt idx="6">
                        <c:v>60</c:v>
                      </c:pt>
                      <c:pt idx="7">
                        <c:v>11</c:v>
                      </c:pt>
                      <c:pt idx="8">
                        <c:v>88</c:v>
                      </c:pt>
                      <c:pt idx="9">
                        <c:v>18</c:v>
                      </c:pt>
                      <c:pt idx="10">
                        <c:v>0</c:v>
                      </c:pt>
                      <c:pt idx="11">
                        <c:v>0</c:v>
                      </c:pt>
                      <c:pt idx="12">
                        <c:v>0</c:v>
                      </c:pt>
                    </c:numCache>
                  </c:numRef>
                </c:val>
                <c:extLst xmlns:c15="http://schemas.microsoft.com/office/drawing/2012/chart">
                  <c:ext xmlns:c16="http://schemas.microsoft.com/office/drawing/2014/chart" uri="{C3380CC4-5D6E-409C-BE32-E72D297353CC}">
                    <c16:uniqueId val="{00000003-22AF-4C38-9F66-181B94B15AB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Max!$C$198</c15:sqref>
                        </c15:formulaRef>
                      </c:ext>
                    </c:extLst>
                    <c:strCache>
                      <c:ptCount val="1"/>
                      <c:pt idx="0">
                        <c:v>LC - Based on Area</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Max!$D$193:$P$193</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Max!$D$198:$P$198</c15:sqref>
                        </c15:formulaRef>
                      </c:ext>
                    </c:extLst>
                    <c:numCache>
                      <c:formatCode>General</c:formatCode>
                      <c:ptCount val="13"/>
                      <c:pt idx="0">
                        <c:v>78</c:v>
                      </c:pt>
                      <c:pt idx="1">
                        <c:v>99</c:v>
                      </c:pt>
                      <c:pt idx="2">
                        <c:v>173</c:v>
                      </c:pt>
                      <c:pt idx="3">
                        <c:v>141</c:v>
                      </c:pt>
                      <c:pt idx="4">
                        <c:v>50</c:v>
                      </c:pt>
                      <c:pt idx="5">
                        <c:v>1</c:v>
                      </c:pt>
                      <c:pt idx="6">
                        <c:v>1</c:v>
                      </c:pt>
                      <c:pt idx="7">
                        <c:v>1</c:v>
                      </c:pt>
                      <c:pt idx="8">
                        <c:v>1</c:v>
                      </c:pt>
                      <c:pt idx="9">
                        <c:v>1</c:v>
                      </c:pt>
                      <c:pt idx="10">
                        <c:v>0</c:v>
                      </c:pt>
                      <c:pt idx="11">
                        <c:v>0</c:v>
                      </c:pt>
                      <c:pt idx="12">
                        <c:v>0</c:v>
                      </c:pt>
                    </c:numCache>
                  </c:numRef>
                </c:val>
                <c:extLst xmlns:c15="http://schemas.microsoft.com/office/drawing/2012/chart">
                  <c:ext xmlns:c16="http://schemas.microsoft.com/office/drawing/2014/chart" uri="{C3380CC4-5D6E-409C-BE32-E72D297353CC}">
                    <c16:uniqueId val="{00000004-22AF-4C38-9F66-181B94B15AB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Max!$C$200</c15:sqref>
                        </c15:formulaRef>
                      </c:ext>
                    </c:extLst>
                    <c:strCache>
                      <c:ptCount val="1"/>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Max!$D$193:$P$193</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Max!$D$200:$P$200</c15:sqref>
                        </c15:formulaRef>
                      </c:ext>
                    </c:extLst>
                    <c:numCache>
                      <c:formatCode>General</c:formatCode>
                      <c:ptCount val="13"/>
                    </c:numCache>
                  </c:numRef>
                </c:val>
                <c:extLst xmlns:c15="http://schemas.microsoft.com/office/drawing/2012/chart">
                  <c:ext xmlns:c16="http://schemas.microsoft.com/office/drawing/2014/chart" uri="{C3380CC4-5D6E-409C-BE32-E72D297353CC}">
                    <c16:uniqueId val="{00000006-22AF-4C38-9F66-181B94B15ABF}"/>
                  </c:ext>
                </c:extLst>
              </c15:ser>
            </c15:filteredBarSeries>
          </c:ext>
        </c:extLst>
      </c:barChart>
      <c:catAx>
        <c:axId val="140212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018379456"/>
        <c:crosses val="autoZero"/>
        <c:auto val="1"/>
        <c:lblAlgn val="ctr"/>
        <c:lblOffset val="100"/>
        <c:noMultiLvlLbl val="0"/>
      </c:catAx>
      <c:valAx>
        <c:axId val="2018379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a:t>Number of 5G nodes</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40212065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sz="18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271028</xdr:colOff>
      <xdr:row>14</xdr:row>
      <xdr:rowOff>53341</xdr:rowOff>
    </xdr:from>
    <xdr:to>
      <xdr:col>53</xdr:col>
      <xdr:colOff>173528</xdr:colOff>
      <xdr:row>74</xdr:row>
      <xdr:rowOff>15240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469568</xdr:colOff>
      <xdr:row>79</xdr:row>
      <xdr:rowOff>0</xdr:rowOff>
    </xdr:from>
    <xdr:to>
      <xdr:col>53</xdr:col>
      <xdr:colOff>372068</xdr:colOff>
      <xdr:row>135</xdr:row>
      <xdr:rowOff>13204</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5603</xdr:colOff>
      <xdr:row>166</xdr:row>
      <xdr:rowOff>146235</xdr:rowOff>
    </xdr:from>
    <xdr:to>
      <xdr:col>11</xdr:col>
      <xdr:colOff>336176</xdr:colOff>
      <xdr:row>186</xdr:row>
      <xdr:rowOff>169512</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2087</xdr:colOff>
      <xdr:row>135</xdr:row>
      <xdr:rowOff>50426</xdr:rowOff>
    </xdr:from>
    <xdr:to>
      <xdr:col>54</xdr:col>
      <xdr:colOff>250950</xdr:colOff>
      <xdr:row>191</xdr:row>
      <xdr:rowOff>182426</xdr:rowOff>
    </xdr:to>
    <xdr:graphicFrame macro="">
      <xdr:nvGraphicFramePr>
        <xdr:cNvPr id="5" name="Chart 4">
          <a:extLst>
            <a:ext uri="{FF2B5EF4-FFF2-40B4-BE49-F238E27FC236}">
              <a16:creationId xmlns:a16="http://schemas.microsoft.com/office/drawing/2014/main" id="{68B14816-12D6-4700-8FC5-93DA9E4BF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324970</xdr:colOff>
      <xdr:row>200</xdr:row>
      <xdr:rowOff>180412</xdr:rowOff>
    </xdr:from>
    <xdr:to>
      <xdr:col>16</xdr:col>
      <xdr:colOff>171441</xdr:colOff>
      <xdr:row>238</xdr:row>
      <xdr:rowOff>141412</xdr:rowOff>
    </xdr:to>
    <xdr:graphicFrame macro="">
      <xdr:nvGraphicFramePr>
        <xdr:cNvPr id="9" name="Chart 8">
          <a:extLst>
            <a:ext uri="{FF2B5EF4-FFF2-40B4-BE49-F238E27FC236}">
              <a16:creationId xmlns:a16="http://schemas.microsoft.com/office/drawing/2014/main" id="{A1B39CE3-3352-4E1F-A6FD-4CEAAA3F1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199"/>
  <sheetViews>
    <sheetView tabSelected="1" zoomScaleNormal="100" workbookViewId="0">
      <selection activeCell="D23" sqref="D23"/>
    </sheetView>
  </sheetViews>
  <sheetFormatPr defaultColWidth="10.7109375" defaultRowHeight="15" x14ac:dyDescent="0.25"/>
  <cols>
    <col min="1" max="1" width="32.85546875" customWidth="1"/>
    <col min="2" max="2" width="17.42578125" customWidth="1"/>
    <col min="4" max="16" width="22.7109375" customWidth="1"/>
    <col min="19" max="19" width="23.7109375" customWidth="1"/>
    <col min="21" max="21" width="21.42578125" customWidth="1"/>
  </cols>
  <sheetData>
    <row r="1" spans="1:24" x14ac:dyDescent="0.25">
      <c r="A1" t="s">
        <v>112</v>
      </c>
      <c r="C1" t="s">
        <v>3</v>
      </c>
      <c r="D1" t="s">
        <v>43</v>
      </c>
      <c r="S1" t="s">
        <v>44</v>
      </c>
      <c r="T1" t="s">
        <v>3</v>
      </c>
      <c r="U1" t="s">
        <v>45</v>
      </c>
      <c r="V1" t="s">
        <v>24</v>
      </c>
      <c r="W1" t="s">
        <v>25</v>
      </c>
      <c r="X1" t="s">
        <v>114</v>
      </c>
    </row>
    <row r="2" spans="1:24" x14ac:dyDescent="0.25">
      <c r="D2" t="s">
        <v>4</v>
      </c>
      <c r="E2" t="s">
        <v>5</v>
      </c>
      <c r="F2" t="s">
        <v>46</v>
      </c>
      <c r="G2" t="s">
        <v>47</v>
      </c>
      <c r="H2" t="s">
        <v>48</v>
      </c>
      <c r="I2" t="s">
        <v>6</v>
      </c>
      <c r="J2" t="s">
        <v>7</v>
      </c>
      <c r="K2" t="s">
        <v>8</v>
      </c>
      <c r="L2" t="s">
        <v>49</v>
      </c>
      <c r="M2" t="s">
        <v>9</v>
      </c>
      <c r="N2" t="s">
        <v>10</v>
      </c>
      <c r="O2" t="s">
        <v>11</v>
      </c>
      <c r="P2" t="s">
        <v>12</v>
      </c>
      <c r="S2" t="s">
        <v>26</v>
      </c>
      <c r="T2" t="s">
        <v>27</v>
      </c>
      <c r="U2" t="s">
        <v>50</v>
      </c>
      <c r="V2" s="1">
        <v>5</v>
      </c>
      <c r="W2" s="1">
        <v>10</v>
      </c>
      <c r="X2">
        <v>5</v>
      </c>
    </row>
    <row r="3" spans="1:24" x14ac:dyDescent="0.25">
      <c r="A3" t="s">
        <v>13</v>
      </c>
      <c r="C3" t="s">
        <v>14</v>
      </c>
      <c r="D3" t="s">
        <v>51</v>
      </c>
      <c r="E3" t="s">
        <v>51</v>
      </c>
      <c r="F3" t="s">
        <v>51</v>
      </c>
      <c r="G3" t="s">
        <v>51</v>
      </c>
      <c r="H3" t="s">
        <v>51</v>
      </c>
      <c r="I3" t="s">
        <v>15</v>
      </c>
      <c r="J3" t="s">
        <v>15</v>
      </c>
      <c r="K3" t="s">
        <v>15</v>
      </c>
      <c r="L3" t="s">
        <v>16</v>
      </c>
      <c r="M3" t="s">
        <v>15</v>
      </c>
      <c r="N3" t="s">
        <v>52</v>
      </c>
      <c r="O3" t="s">
        <v>52</v>
      </c>
      <c r="P3" t="s">
        <v>52</v>
      </c>
      <c r="S3" t="s">
        <v>53</v>
      </c>
      <c r="U3" t="s">
        <v>54</v>
      </c>
      <c r="V3" s="1">
        <v>0.5</v>
      </c>
      <c r="W3" s="1">
        <v>10</v>
      </c>
      <c r="X3">
        <v>0.5</v>
      </c>
    </row>
    <row r="4" spans="1:24" x14ac:dyDescent="0.25">
      <c r="A4" t="s">
        <v>55</v>
      </c>
      <c r="C4" t="s">
        <v>14</v>
      </c>
      <c r="D4" t="s">
        <v>56</v>
      </c>
      <c r="E4" t="s">
        <v>56</v>
      </c>
      <c r="F4" t="s">
        <v>56</v>
      </c>
      <c r="G4" t="s">
        <v>57</v>
      </c>
      <c r="H4" t="s">
        <v>58</v>
      </c>
      <c r="I4" t="s">
        <v>59</v>
      </c>
      <c r="J4" t="s">
        <v>17</v>
      </c>
      <c r="K4" t="s">
        <v>60</v>
      </c>
      <c r="L4" t="s">
        <v>61</v>
      </c>
      <c r="M4" t="s">
        <v>62</v>
      </c>
      <c r="N4" t="s">
        <v>63</v>
      </c>
      <c r="O4" t="s">
        <v>64</v>
      </c>
      <c r="P4" t="s">
        <v>18</v>
      </c>
      <c r="S4" t="s">
        <v>28</v>
      </c>
      <c r="T4" t="s">
        <v>0</v>
      </c>
      <c r="U4" t="s">
        <v>65</v>
      </c>
      <c r="V4" s="1">
        <v>4300.8</v>
      </c>
      <c r="W4" s="1">
        <v>12902.4</v>
      </c>
      <c r="X4">
        <v>67200</v>
      </c>
    </row>
    <row r="5" spans="1:24" x14ac:dyDescent="0.25">
      <c r="A5" t="s">
        <v>66</v>
      </c>
      <c r="C5" t="s">
        <v>19</v>
      </c>
      <c r="D5" s="2">
        <v>20011</v>
      </c>
      <c r="E5" s="2">
        <v>25596</v>
      </c>
      <c r="F5" s="2">
        <v>44913</v>
      </c>
      <c r="G5" s="2">
        <v>36407</v>
      </c>
      <c r="H5" s="2">
        <v>12836</v>
      </c>
      <c r="I5" s="2">
        <v>200.03</v>
      </c>
      <c r="J5" s="2">
        <v>38.71</v>
      </c>
      <c r="K5" s="2">
        <v>6.61</v>
      </c>
      <c r="L5" s="2">
        <v>57.09</v>
      </c>
      <c r="M5" s="2">
        <v>11.23</v>
      </c>
      <c r="N5" s="2">
        <v>0</v>
      </c>
      <c r="O5" s="2">
        <v>0</v>
      </c>
      <c r="P5" s="2">
        <v>0</v>
      </c>
      <c r="S5" t="s">
        <v>67</v>
      </c>
      <c r="T5" t="s">
        <v>29</v>
      </c>
      <c r="U5" t="s">
        <v>68</v>
      </c>
      <c r="V5" s="1">
        <v>1.4</v>
      </c>
      <c r="W5" s="1">
        <v>3.5</v>
      </c>
      <c r="X5">
        <v>5.6</v>
      </c>
    </row>
    <row r="6" spans="1:24" x14ac:dyDescent="0.25">
      <c r="A6" t="s">
        <v>69</v>
      </c>
      <c r="C6" t="s">
        <v>20</v>
      </c>
      <c r="D6" s="2">
        <v>55</v>
      </c>
      <c r="E6" s="2">
        <v>51</v>
      </c>
      <c r="F6" s="2">
        <v>15</v>
      </c>
      <c r="G6" s="2">
        <v>22</v>
      </c>
      <c r="H6" s="2">
        <v>30</v>
      </c>
      <c r="I6" s="2">
        <v>6400</v>
      </c>
      <c r="J6" s="2">
        <v>10000</v>
      </c>
      <c r="K6" s="2">
        <v>2200</v>
      </c>
      <c r="L6" s="2">
        <v>160</v>
      </c>
      <c r="M6" s="2">
        <v>6500</v>
      </c>
      <c r="N6" s="2">
        <v>0</v>
      </c>
      <c r="O6" s="2">
        <v>0</v>
      </c>
      <c r="P6" s="2">
        <v>0</v>
      </c>
      <c r="S6" t="s">
        <v>70</v>
      </c>
      <c r="T6" t="s">
        <v>30</v>
      </c>
      <c r="U6" t="s">
        <v>71</v>
      </c>
      <c r="V6" s="1">
        <v>0.28000000000000003</v>
      </c>
      <c r="W6" s="1">
        <v>0.88</v>
      </c>
      <c r="X6">
        <v>0.28000000000000003</v>
      </c>
    </row>
    <row r="7" spans="1:24" x14ac:dyDescent="0.25">
      <c r="A7" t="s">
        <v>72</v>
      </c>
      <c r="C7" t="s">
        <v>2</v>
      </c>
      <c r="D7" s="2">
        <v>50</v>
      </c>
      <c r="E7" s="2">
        <v>50</v>
      </c>
      <c r="F7" s="2">
        <v>50</v>
      </c>
      <c r="G7" s="2">
        <v>50</v>
      </c>
      <c r="H7" s="2">
        <v>50</v>
      </c>
      <c r="I7" s="2">
        <v>100</v>
      </c>
      <c r="J7" s="2">
        <v>100</v>
      </c>
      <c r="K7" s="2">
        <v>50</v>
      </c>
      <c r="L7" s="2">
        <v>50</v>
      </c>
      <c r="M7" s="2">
        <v>100</v>
      </c>
      <c r="N7" s="2">
        <v>10</v>
      </c>
      <c r="O7" s="2">
        <v>10</v>
      </c>
      <c r="P7" s="2">
        <v>10</v>
      </c>
      <c r="S7" t="s">
        <v>73</v>
      </c>
      <c r="T7" t="s">
        <v>31</v>
      </c>
      <c r="U7" t="s">
        <v>74</v>
      </c>
      <c r="V7" s="1">
        <v>2.2000000000000002</v>
      </c>
      <c r="W7" s="1"/>
    </row>
    <row r="8" spans="1:24" x14ac:dyDescent="0.25">
      <c r="A8" t="s">
        <v>75</v>
      </c>
      <c r="C8" t="s">
        <v>91</v>
      </c>
      <c r="D8" s="2">
        <v>1092507</v>
      </c>
      <c r="E8" s="2">
        <v>1294722</v>
      </c>
      <c r="F8" s="2">
        <v>679336</v>
      </c>
      <c r="G8" s="2">
        <v>795461</v>
      </c>
      <c r="H8" s="2">
        <v>382086</v>
      </c>
      <c r="I8" s="2">
        <v>1271628</v>
      </c>
      <c r="J8" s="2">
        <v>391749</v>
      </c>
      <c r="K8" s="2">
        <v>14464</v>
      </c>
      <c r="L8" s="2">
        <v>9093</v>
      </c>
      <c r="M8" s="2">
        <v>73295</v>
      </c>
      <c r="N8" s="2">
        <v>3000</v>
      </c>
      <c r="O8" s="2">
        <v>3500</v>
      </c>
      <c r="P8" s="2">
        <v>5000</v>
      </c>
      <c r="S8" t="s">
        <v>76</v>
      </c>
      <c r="T8" t="s">
        <v>32</v>
      </c>
      <c r="U8" t="s">
        <v>77</v>
      </c>
      <c r="V8" s="1">
        <v>11.55</v>
      </c>
      <c r="W8" s="1"/>
    </row>
    <row r="9" spans="1:24" x14ac:dyDescent="0.25">
      <c r="A9" t="s">
        <v>78</v>
      </c>
      <c r="C9" t="s">
        <v>1</v>
      </c>
      <c r="D9" s="2">
        <v>0.5</v>
      </c>
      <c r="E9" s="2">
        <v>0.5</v>
      </c>
      <c r="F9" s="2">
        <v>0.5</v>
      </c>
      <c r="G9" s="2">
        <v>0.5</v>
      </c>
      <c r="H9" s="2">
        <v>0.5</v>
      </c>
      <c r="I9" s="2">
        <v>0.8</v>
      </c>
      <c r="J9" s="2">
        <v>0.8</v>
      </c>
      <c r="K9" s="2">
        <v>0.75</v>
      </c>
      <c r="L9" s="2">
        <v>0.8</v>
      </c>
      <c r="M9" s="2">
        <v>0.8</v>
      </c>
      <c r="N9" s="2">
        <v>0.3</v>
      </c>
      <c r="O9" s="2">
        <v>0.3</v>
      </c>
      <c r="P9" s="2">
        <v>0.4</v>
      </c>
      <c r="S9" t="s">
        <v>33</v>
      </c>
      <c r="T9" t="s">
        <v>34</v>
      </c>
      <c r="U9" t="s">
        <v>79</v>
      </c>
      <c r="V9" s="1">
        <v>144.4</v>
      </c>
      <c r="W9" s="1">
        <v>433</v>
      </c>
      <c r="X9">
        <v>144.4</v>
      </c>
    </row>
    <row r="10" spans="1:24" x14ac:dyDescent="0.25">
      <c r="A10" t="s">
        <v>80</v>
      </c>
      <c r="C10" t="s">
        <v>92</v>
      </c>
      <c r="D10" s="2">
        <v>2.8900000000000002E-3</v>
      </c>
      <c r="E10" s="2">
        <v>2.8900000000000002E-3</v>
      </c>
      <c r="F10" s="2">
        <v>2.8900000000000002E-3</v>
      </c>
      <c r="G10" s="2">
        <v>2.8900000000000002E-3</v>
      </c>
      <c r="H10" s="2">
        <v>2.8900000000000002E-3</v>
      </c>
      <c r="I10" s="2">
        <v>2.8900000000000002E-3</v>
      </c>
      <c r="J10" s="2">
        <v>2.8900000000000002E-3</v>
      </c>
      <c r="K10" s="2">
        <v>2.8900000000000002E-3</v>
      </c>
      <c r="L10" s="2">
        <v>2.8900000000000002E-3</v>
      </c>
      <c r="M10" s="2">
        <v>0</v>
      </c>
      <c r="N10" s="2">
        <v>0</v>
      </c>
      <c r="O10" s="2">
        <v>0</v>
      </c>
      <c r="P10" s="2">
        <v>0</v>
      </c>
      <c r="S10" t="s">
        <v>35</v>
      </c>
      <c r="T10" t="s">
        <v>36</v>
      </c>
      <c r="U10" t="s">
        <v>81</v>
      </c>
      <c r="V10" s="1">
        <v>144.4</v>
      </c>
      <c r="W10" s="1">
        <v>938.2</v>
      </c>
      <c r="X10">
        <v>39.5</v>
      </c>
    </row>
    <row r="11" spans="1:24" x14ac:dyDescent="0.25">
      <c r="A11" t="s">
        <v>97</v>
      </c>
      <c r="B11" t="s">
        <v>21</v>
      </c>
      <c r="C11" t="s">
        <v>93</v>
      </c>
      <c r="D11" s="2">
        <v>4.5</v>
      </c>
      <c r="E11" s="2">
        <v>3.5</v>
      </c>
      <c r="F11" s="2">
        <v>4.0999999999999996</v>
      </c>
      <c r="G11" s="2">
        <v>3.8</v>
      </c>
      <c r="H11" s="2">
        <v>3.1</v>
      </c>
      <c r="I11" s="2">
        <v>4.8</v>
      </c>
      <c r="J11" s="2">
        <v>4.5999999999999996</v>
      </c>
      <c r="K11" s="2">
        <v>2.6</v>
      </c>
      <c r="L11" s="2">
        <v>3.2</v>
      </c>
      <c r="M11" s="2">
        <v>3.4</v>
      </c>
      <c r="N11" s="2">
        <v>1.8</v>
      </c>
      <c r="O11" s="2">
        <v>1.9</v>
      </c>
      <c r="P11" s="2">
        <v>2.1</v>
      </c>
      <c r="S11" t="s">
        <v>37</v>
      </c>
      <c r="T11" t="s">
        <v>38</v>
      </c>
      <c r="U11" t="s">
        <v>82</v>
      </c>
      <c r="V11" s="1">
        <v>62.1</v>
      </c>
      <c r="W11" s="1" t="s">
        <v>14</v>
      </c>
    </row>
    <row r="12" spans="1:24" x14ac:dyDescent="0.25">
      <c r="B12" t="s">
        <v>22</v>
      </c>
      <c r="D12" s="2">
        <v>12.7</v>
      </c>
      <c r="E12" s="2">
        <v>12.6</v>
      </c>
      <c r="F12" s="2">
        <v>11.5</v>
      </c>
      <c r="G12" s="2">
        <v>10.7</v>
      </c>
      <c r="H12" s="2">
        <v>12</v>
      </c>
      <c r="I12" s="2">
        <v>12.8</v>
      </c>
      <c r="J12" s="2">
        <v>12.5</v>
      </c>
      <c r="K12" s="2">
        <v>10.7</v>
      </c>
      <c r="L12" s="2">
        <v>10.8</v>
      </c>
      <c r="M12" s="2">
        <v>10.199999999999999</v>
      </c>
      <c r="N12" s="2">
        <v>10.199999999999999</v>
      </c>
      <c r="O12" s="2">
        <v>10.5</v>
      </c>
      <c r="P12" s="2">
        <v>10.199999999999999</v>
      </c>
      <c r="S12" t="s">
        <v>39</v>
      </c>
      <c r="T12" t="s">
        <v>40</v>
      </c>
      <c r="U12" t="s">
        <v>83</v>
      </c>
      <c r="V12" s="1"/>
      <c r="W12" s="1"/>
    </row>
    <row r="13" spans="1:24" x14ac:dyDescent="0.25">
      <c r="B13" t="s">
        <v>114</v>
      </c>
      <c r="D13" s="2">
        <v>7.5</v>
      </c>
      <c r="E13" s="2">
        <v>7.6</v>
      </c>
      <c r="F13" s="2">
        <v>7.5</v>
      </c>
      <c r="G13" s="2">
        <v>7.5</v>
      </c>
      <c r="H13" s="2">
        <v>6.9</v>
      </c>
      <c r="I13" s="2">
        <v>9</v>
      </c>
      <c r="J13" s="2">
        <v>8.1</v>
      </c>
      <c r="K13" s="2">
        <v>6.5</v>
      </c>
      <c r="L13" s="2">
        <v>6.3</v>
      </c>
      <c r="M13" s="2">
        <v>6.8</v>
      </c>
      <c r="N13" s="2">
        <v>6.4</v>
      </c>
      <c r="O13" s="2">
        <v>6.5</v>
      </c>
      <c r="P13" s="2">
        <v>6.9</v>
      </c>
      <c r="V13" s="1"/>
      <c r="W13" s="1"/>
    </row>
    <row r="14" spans="1:24" x14ac:dyDescent="0.25">
      <c r="A14" t="s">
        <v>84</v>
      </c>
      <c r="B14" t="s">
        <v>21</v>
      </c>
      <c r="C14" t="s">
        <v>94</v>
      </c>
      <c r="D14" s="2">
        <v>15</v>
      </c>
      <c r="E14" s="2">
        <v>13</v>
      </c>
      <c r="F14" s="2">
        <v>12</v>
      </c>
      <c r="G14" s="2">
        <v>20</v>
      </c>
      <c r="H14" s="2">
        <v>15</v>
      </c>
      <c r="I14" s="2">
        <v>0</v>
      </c>
      <c r="J14" s="2">
        <v>6</v>
      </c>
      <c r="K14" s="2">
        <v>5</v>
      </c>
      <c r="L14" s="2">
        <v>0</v>
      </c>
      <c r="M14" s="2">
        <v>5</v>
      </c>
      <c r="N14" s="2">
        <v>3</v>
      </c>
      <c r="O14" s="2">
        <v>10</v>
      </c>
      <c r="P14" s="2">
        <v>7</v>
      </c>
      <c r="S14" t="s">
        <v>41</v>
      </c>
      <c r="T14" t="s">
        <v>42</v>
      </c>
      <c r="U14" t="s">
        <v>85</v>
      </c>
      <c r="V14" s="1">
        <v>5.0999999999999996</v>
      </c>
      <c r="W14" s="1">
        <v>7.65</v>
      </c>
      <c r="X14">
        <v>2.5499999999999998</v>
      </c>
    </row>
    <row r="15" spans="1:24" x14ac:dyDescent="0.25">
      <c r="B15" t="s">
        <v>22</v>
      </c>
      <c r="D15" s="2">
        <v>26</v>
      </c>
      <c r="E15" s="2">
        <v>27</v>
      </c>
      <c r="F15" s="2">
        <v>18</v>
      </c>
      <c r="G15" s="2">
        <v>32</v>
      </c>
      <c r="H15" s="2">
        <v>24</v>
      </c>
      <c r="I15" s="2">
        <v>5</v>
      </c>
      <c r="J15" s="2">
        <v>13</v>
      </c>
      <c r="K15" s="2">
        <v>10</v>
      </c>
      <c r="L15" s="2">
        <v>2</v>
      </c>
      <c r="M15" s="2">
        <v>10</v>
      </c>
      <c r="N15" s="2">
        <v>7</v>
      </c>
      <c r="O15" s="2">
        <v>17</v>
      </c>
      <c r="P15" s="2">
        <v>11</v>
      </c>
      <c r="S15" t="s">
        <v>113</v>
      </c>
    </row>
    <row r="16" spans="1:24" x14ac:dyDescent="0.25">
      <c r="B16" t="s">
        <v>114</v>
      </c>
      <c r="D16" s="2">
        <v>18</v>
      </c>
      <c r="E16" s="2">
        <v>18</v>
      </c>
      <c r="F16" s="2">
        <v>18</v>
      </c>
      <c r="G16" s="2">
        <v>18</v>
      </c>
      <c r="H16" s="2">
        <v>18</v>
      </c>
      <c r="I16" s="2">
        <v>20</v>
      </c>
      <c r="J16" s="2">
        <v>20</v>
      </c>
      <c r="K16" s="2">
        <v>15</v>
      </c>
      <c r="L16" s="2">
        <v>15</v>
      </c>
      <c r="M16" s="2">
        <v>9</v>
      </c>
      <c r="N16" s="2">
        <v>7</v>
      </c>
      <c r="O16" s="2">
        <v>7</v>
      </c>
      <c r="P16" s="2">
        <v>7</v>
      </c>
      <c r="S16" t="s">
        <v>115</v>
      </c>
      <c r="W16">
        <v>4</v>
      </c>
      <c r="X16">
        <v>2</v>
      </c>
    </row>
    <row r="17" spans="1:17" x14ac:dyDescent="0.25">
      <c r="A17" t="s">
        <v>126</v>
      </c>
      <c r="B17" t="s">
        <v>21</v>
      </c>
      <c r="C17" t="s">
        <v>118</v>
      </c>
      <c r="D17" s="2">
        <f>_xlfn.CEILING.MATH(MAX(((D8*D9*D7)/$V4),(D$5/((6*POWER($V$3,2)/4)*(SQRT(3))))))</f>
        <v>30809</v>
      </c>
      <c r="E17" s="2">
        <f t="shared" ref="E17:P17" si="0">_xlfn.CEILING.MATH(MAX(((E8*E9*E7)/$V4),(E$5/((6*POWER($V$3,2)/4)*(SQRT(3))))))</f>
        <v>39408</v>
      </c>
      <c r="F17" s="2">
        <f t="shared" si="0"/>
        <v>69149</v>
      </c>
      <c r="G17" s="2">
        <f t="shared" si="0"/>
        <v>56053</v>
      </c>
      <c r="H17" s="2">
        <f t="shared" si="0"/>
        <v>19763</v>
      </c>
      <c r="I17" s="2">
        <f t="shared" si="0"/>
        <v>23654</v>
      </c>
      <c r="J17" s="2">
        <f t="shared" si="0"/>
        <v>7287</v>
      </c>
      <c r="K17" s="2">
        <f t="shared" si="0"/>
        <v>127</v>
      </c>
      <c r="L17" s="2">
        <f t="shared" si="0"/>
        <v>88</v>
      </c>
      <c r="M17" s="2">
        <f t="shared" si="0"/>
        <v>1364</v>
      </c>
      <c r="N17" s="2">
        <f t="shared" si="0"/>
        <v>3</v>
      </c>
      <c r="O17" s="2">
        <f t="shared" si="0"/>
        <v>3</v>
      </c>
      <c r="P17" s="2">
        <f t="shared" si="0"/>
        <v>5</v>
      </c>
    </row>
    <row r="18" spans="1:17" x14ac:dyDescent="0.25">
      <c r="B18" t="s">
        <v>22</v>
      </c>
      <c r="D18" s="2">
        <f>_xlfn.CEILING.MATH(MAX(((D8*D9*D7)/$W4),(D$5/((6*POWER($W$3,2)/4)*(SQRT(3))))))</f>
        <v>2117</v>
      </c>
      <c r="E18" s="2">
        <f t="shared" ref="E18:P18" si="1">_xlfn.CEILING.MATH(MAX(((E8*E9*E7)/$W4),(E$5/((6*POWER($W$3,2)/4)*(SQRT(3))))))</f>
        <v>2509</v>
      </c>
      <c r="F18" s="2">
        <f t="shared" si="1"/>
        <v>1317</v>
      </c>
      <c r="G18" s="2">
        <f t="shared" si="1"/>
        <v>1542</v>
      </c>
      <c r="H18" s="2">
        <f t="shared" si="1"/>
        <v>741</v>
      </c>
      <c r="I18" s="2">
        <f t="shared" si="1"/>
        <v>7885</v>
      </c>
      <c r="J18" s="2">
        <f t="shared" si="1"/>
        <v>2429</v>
      </c>
      <c r="K18" s="2">
        <f t="shared" si="1"/>
        <v>43</v>
      </c>
      <c r="L18" s="2">
        <f t="shared" si="1"/>
        <v>29</v>
      </c>
      <c r="M18" s="2">
        <f t="shared" si="1"/>
        <v>455</v>
      </c>
      <c r="N18" s="2">
        <f t="shared" si="1"/>
        <v>1</v>
      </c>
      <c r="O18" s="2">
        <f t="shared" si="1"/>
        <v>1</v>
      </c>
      <c r="P18" s="2">
        <f t="shared" si="1"/>
        <v>2</v>
      </c>
    </row>
    <row r="19" spans="1:17" x14ac:dyDescent="0.25">
      <c r="B19" t="s">
        <v>114</v>
      </c>
      <c r="D19" s="2">
        <f>_xlfn.CEILING.MATH(MAX(((D8*D9*D7)/$X4),(D$5/((6*POWER($V$3,2)/4)*(SQRT(3))))))</f>
        <v>30809</v>
      </c>
      <c r="E19" s="2">
        <f>_xlfn.CEILING.MATH(MAX(((E8*E9*E7)/$X4),(E$5/((6*POWER($V$3,2)/4)*(SQRT(3))))))</f>
        <v>39408</v>
      </c>
      <c r="F19" s="2">
        <f>_xlfn.CEILING.MATH(MAX(((F8*F9*F7)/$X4),(F$5/((6*POWER($V$3,2)/4)*(SQRT(3))))))</f>
        <v>69149</v>
      </c>
      <c r="G19" s="2">
        <f>_xlfn.CEILING.MATH(MAX(((G8*G9*G7)/$X4),(G$5/((6*POWER($V$3,2)/4)*(SQRT(3))))))</f>
        <v>56053</v>
      </c>
      <c r="H19" s="2">
        <f>_xlfn.CEILING.MATH(MAX(((H8*H9*H7)/$X4),(H$5/((6*POWER($V$3,2)/4)*(SQRT(3))))))</f>
        <v>19763</v>
      </c>
      <c r="I19" s="2">
        <f>_xlfn.CEILING.MATH(MAX(((I8*I9*I7)/$X4),(I$5/((6*POWER($V$3,2)/4)*(SQRT(3))))))</f>
        <v>1514</v>
      </c>
      <c r="J19" s="2">
        <f>_xlfn.CEILING.MATH(MAX(((J8*J9*J7)/$X4),(J$5/((6*POWER($V$3,2)/4)*(SQRT(3))))))</f>
        <v>467</v>
      </c>
      <c r="K19" s="2">
        <f>_xlfn.CEILING.MATH(MAX(((K8*K9*K7)/$X4),(K$5/((6*POWER($V$3,2)/4)*(SQRT(3))))))</f>
        <v>11</v>
      </c>
      <c r="L19" s="2">
        <f>_xlfn.CEILING.MATH(MAX(((L8*L9*L7)/$X4),(L$5/((6*POWER($V$3,2)/4)*(SQRT(3))))))</f>
        <v>88</v>
      </c>
      <c r="M19" s="2">
        <f>_xlfn.CEILING.MATH(MAX(((M8*M9*M7)/$X4),(M$5/((6*POWER($V$3,2)/4)*(SQRT(3))))))</f>
        <v>88</v>
      </c>
      <c r="N19" s="2">
        <f>_xlfn.CEILING.MATH(MAX(((N8*N9*N7)/$X4),(N$5/((6*POWER($V$3,2)/4)*(SQRT(3))))))</f>
        <v>1</v>
      </c>
      <c r="O19" s="2">
        <f>_xlfn.CEILING.MATH(MAX(((O8*O9*O7)/$X4),(O$5/((6*POWER($V$3,2)/4)*(SQRT(3))))))</f>
        <v>1</v>
      </c>
      <c r="P19" s="2">
        <f>_xlfn.CEILING.MATH(MAX(((P8*P9*P7)/$X4),(P$5/((6*POWER($V$3,2)/4)*(SQRT(3))))))</f>
        <v>1</v>
      </c>
    </row>
    <row r="20" spans="1:17" x14ac:dyDescent="0.25">
      <c r="A20" t="s">
        <v>127</v>
      </c>
      <c r="B20" t="s">
        <v>21</v>
      </c>
      <c r="D20" s="2">
        <f>_xlfn.CEILING.MATH((D8*D9*D7)/$V4)</f>
        <v>6351</v>
      </c>
      <c r="E20" s="2"/>
      <c r="F20" s="2"/>
      <c r="G20" s="2"/>
      <c r="H20" s="2"/>
      <c r="I20" s="2"/>
      <c r="J20" s="2"/>
      <c r="K20" s="2"/>
      <c r="L20" s="2"/>
      <c r="M20" s="2"/>
      <c r="N20" s="2"/>
      <c r="O20" s="2"/>
      <c r="P20" s="2"/>
    </row>
    <row r="21" spans="1:17" x14ac:dyDescent="0.25">
      <c r="B21" t="s">
        <v>22</v>
      </c>
      <c r="D21" s="2">
        <f>_xlfn.CEILING.MATH((D8*D9*D7)/$W4)</f>
        <v>2117</v>
      </c>
      <c r="E21" s="2"/>
      <c r="F21" s="2"/>
      <c r="G21" s="2"/>
      <c r="H21" s="2"/>
      <c r="I21" s="2"/>
      <c r="J21" s="2"/>
      <c r="K21" s="2"/>
      <c r="L21" s="2"/>
      <c r="M21" s="2"/>
      <c r="N21" s="2"/>
      <c r="O21" s="2"/>
      <c r="P21" s="2"/>
    </row>
    <row r="22" spans="1:17" x14ac:dyDescent="0.25">
      <c r="B22" t="s">
        <v>114</v>
      </c>
      <c r="D22" s="2">
        <f>_xlfn.CEILING.MATH((D8*D9*D7)/$X4)</f>
        <v>407</v>
      </c>
      <c r="E22" s="2"/>
      <c r="F22" s="2"/>
      <c r="G22" s="2"/>
      <c r="H22" s="2"/>
      <c r="I22" s="2"/>
      <c r="J22" s="2"/>
      <c r="K22" s="2"/>
      <c r="L22" s="2"/>
      <c r="M22" s="2"/>
      <c r="N22" s="2"/>
      <c r="O22" s="2"/>
      <c r="P22" s="2"/>
    </row>
    <row r="23" spans="1:17" x14ac:dyDescent="0.25">
      <c r="A23" t="s">
        <v>128</v>
      </c>
      <c r="B23" t="s">
        <v>21</v>
      </c>
      <c r="D23" s="2">
        <f>_xlfn.CEILING.MATH(MAX(((D8*D9*D7)/$V4),(D$5/((6*POWER($V$3,2)/4)*(SQRT(3))))))</f>
        <v>30809</v>
      </c>
      <c r="E23" s="2"/>
      <c r="F23" s="2"/>
      <c r="G23" s="2"/>
      <c r="H23" s="2"/>
      <c r="I23" s="2"/>
      <c r="J23" s="2"/>
      <c r="K23" s="2"/>
      <c r="L23" s="2"/>
      <c r="M23" s="2"/>
      <c r="N23" s="2"/>
      <c r="O23" s="2"/>
      <c r="P23" s="2"/>
    </row>
    <row r="24" spans="1:17" x14ac:dyDescent="0.25">
      <c r="B24" t="s">
        <v>22</v>
      </c>
      <c r="D24" s="2">
        <f>_xlfn.CEILING.MATH(MAX(((D8*D9*D7)/$W4),(D$5/((6*POWER($W$3,2)/4)*(SQRT(3))))))</f>
        <v>2117</v>
      </c>
      <c r="E24" s="2"/>
      <c r="F24" s="2"/>
      <c r="G24" s="2"/>
      <c r="H24" s="2"/>
      <c r="I24" s="2"/>
      <c r="J24" s="2"/>
      <c r="K24" s="2"/>
      <c r="L24" s="2"/>
      <c r="M24" s="2"/>
      <c r="N24" s="2"/>
      <c r="O24" s="2"/>
      <c r="P24" s="2"/>
    </row>
    <row r="25" spans="1:17" x14ac:dyDescent="0.25">
      <c r="B25" t="s">
        <v>114</v>
      </c>
      <c r="D25" s="2">
        <f>_xlfn.CEILING.MATH(MAX(((D8*D9*D7)/$X4),(D$5/((6*POWER($V$3,2)/4)*(SQRT(3))))))</f>
        <v>30809</v>
      </c>
      <c r="E25" s="2"/>
      <c r="F25" s="2"/>
      <c r="G25" s="2"/>
      <c r="H25" s="2"/>
      <c r="I25" s="2"/>
      <c r="J25" s="2"/>
      <c r="K25" s="2"/>
      <c r="L25" s="2"/>
      <c r="M25" s="2"/>
      <c r="N25" s="2"/>
      <c r="O25" s="2"/>
      <c r="P25" s="2"/>
    </row>
    <row r="26" spans="1:17" x14ac:dyDescent="0.25">
      <c r="A26" t="s">
        <v>23</v>
      </c>
      <c r="B26" t="s">
        <v>21</v>
      </c>
      <c r="C26" t="s">
        <v>40</v>
      </c>
      <c r="D26" s="2">
        <v>577.29999999999995</v>
      </c>
      <c r="E26" s="2">
        <v>577.29999999999995</v>
      </c>
      <c r="F26" s="2">
        <v>577.29999999999995</v>
      </c>
      <c r="G26" s="2">
        <v>577.29999999999995</v>
      </c>
      <c r="H26" s="2">
        <v>577.29999999999995</v>
      </c>
      <c r="I26" s="2">
        <v>173.3</v>
      </c>
      <c r="J26" s="2">
        <v>173.3</v>
      </c>
      <c r="K26" s="2">
        <v>120</v>
      </c>
      <c r="L26" s="2">
        <v>178.5</v>
      </c>
      <c r="M26" s="2">
        <v>173.3</v>
      </c>
      <c r="N26" s="2">
        <v>120</v>
      </c>
      <c r="O26" s="2">
        <v>120</v>
      </c>
      <c r="P26" s="2">
        <v>120</v>
      </c>
    </row>
    <row r="27" spans="1:17" x14ac:dyDescent="0.25">
      <c r="B27" t="s">
        <v>22</v>
      </c>
      <c r="D27" s="2">
        <v>1732</v>
      </c>
      <c r="E27" s="2">
        <v>1732</v>
      </c>
      <c r="F27" s="2">
        <v>1732</v>
      </c>
      <c r="G27" s="2">
        <v>1732</v>
      </c>
      <c r="H27" s="2">
        <v>1732</v>
      </c>
      <c r="I27" s="2">
        <v>519.6</v>
      </c>
      <c r="J27" s="2">
        <v>519.6</v>
      </c>
      <c r="K27" s="2">
        <v>480.8</v>
      </c>
      <c r="L27" s="2">
        <v>511</v>
      </c>
      <c r="M27" s="2">
        <v>519.6</v>
      </c>
      <c r="N27" s="2">
        <v>480.8</v>
      </c>
      <c r="O27" s="2">
        <v>480.8</v>
      </c>
      <c r="P27" s="2">
        <v>480.8</v>
      </c>
    </row>
    <row r="28" spans="1:17" x14ac:dyDescent="0.25">
      <c r="B28" t="s">
        <v>114</v>
      </c>
      <c r="D28" s="2">
        <v>812</v>
      </c>
      <c r="E28" s="2">
        <v>812</v>
      </c>
      <c r="F28" s="2">
        <v>812</v>
      </c>
      <c r="G28" s="2">
        <v>812</v>
      </c>
      <c r="H28" s="2">
        <v>812</v>
      </c>
      <c r="I28" s="2">
        <v>240</v>
      </c>
      <c r="J28" s="2">
        <v>240</v>
      </c>
      <c r="K28" s="2">
        <v>160</v>
      </c>
      <c r="L28" s="2">
        <v>200</v>
      </c>
      <c r="M28" s="2">
        <v>200</v>
      </c>
      <c r="N28" s="2">
        <v>160</v>
      </c>
      <c r="O28" s="2">
        <v>160</v>
      </c>
      <c r="P28" s="2">
        <v>160</v>
      </c>
    </row>
    <row r="29" spans="1:17" x14ac:dyDescent="0.25">
      <c r="A29" t="s">
        <v>102</v>
      </c>
      <c r="C29" t="s">
        <v>101</v>
      </c>
      <c r="D29">
        <v>0.4</v>
      </c>
      <c r="E29">
        <v>0.4</v>
      </c>
      <c r="F29">
        <v>0.4</v>
      </c>
      <c r="G29">
        <v>0.4</v>
      </c>
      <c r="H29">
        <v>0.4</v>
      </c>
      <c r="I29">
        <v>0.4</v>
      </c>
      <c r="J29">
        <v>0.4</v>
      </c>
      <c r="K29">
        <v>0.3</v>
      </c>
      <c r="L29">
        <v>0.3</v>
      </c>
      <c r="M29">
        <v>0.3</v>
      </c>
      <c r="N29">
        <v>0.02</v>
      </c>
      <c r="O29">
        <v>0.02</v>
      </c>
      <c r="P29">
        <v>0.02</v>
      </c>
      <c r="Q29">
        <f>AVERAGE(D29:P29)</f>
        <v>0.28923076923076918</v>
      </c>
    </row>
    <row r="32" spans="1:17" x14ac:dyDescent="0.25">
      <c r="D32">
        <f>((2*D5)/(3*SQRT(3)*POWER($W4*EXP(-6),2)))</f>
        <v>7.5302550301611504</v>
      </c>
    </row>
    <row r="35" spans="3:16" x14ac:dyDescent="0.25">
      <c r="D35" t="s">
        <v>4</v>
      </c>
      <c r="E35" t="s">
        <v>5</v>
      </c>
      <c r="F35" t="s">
        <v>46</v>
      </c>
      <c r="G35" t="s">
        <v>47</v>
      </c>
      <c r="H35" t="s">
        <v>48</v>
      </c>
      <c r="I35" t="s">
        <v>6</v>
      </c>
      <c r="J35" t="s">
        <v>7</v>
      </c>
      <c r="K35" t="s">
        <v>8</v>
      </c>
      <c r="L35" t="s">
        <v>49</v>
      </c>
      <c r="M35" t="s">
        <v>9</v>
      </c>
      <c r="N35" t="s">
        <v>10</v>
      </c>
      <c r="O35" t="s">
        <v>11</v>
      </c>
      <c r="P35" t="s">
        <v>12</v>
      </c>
    </row>
    <row r="36" spans="3:16" x14ac:dyDescent="0.25">
      <c r="C36" t="s">
        <v>95</v>
      </c>
      <c r="D36">
        <f>(D14)*$V7*D17</f>
        <v>1016697</v>
      </c>
      <c r="E36">
        <f>(E14)*$V7*E17</f>
        <v>1127068.8</v>
      </c>
      <c r="F36">
        <f>(F14)*$V7*F17</f>
        <v>1825533.6</v>
      </c>
      <c r="G36">
        <f>(G14)*$V7*G17</f>
        <v>2466332</v>
      </c>
      <c r="H36">
        <f>(H14)*$V7*H17</f>
        <v>652179</v>
      </c>
      <c r="I36">
        <f>(I14)*$V7*I17</f>
        <v>0</v>
      </c>
      <c r="J36">
        <f>(J14)*$V7*J17</f>
        <v>96188.400000000009</v>
      </c>
      <c r="K36">
        <f>(K14)*$V7*K17</f>
        <v>1397</v>
      </c>
      <c r="L36">
        <f>(L14)*$V7*L17</f>
        <v>0</v>
      </c>
      <c r="M36">
        <f>(M14)*$V7*M17</f>
        <v>15004</v>
      </c>
      <c r="N36">
        <f>(N14)*$V7*N17</f>
        <v>19.8</v>
      </c>
      <c r="O36">
        <f>(O14)*$V7*O17</f>
        <v>66</v>
      </c>
      <c r="P36">
        <f>(P14)*$V7*P17</f>
        <v>77.000000000000014</v>
      </c>
    </row>
    <row r="37" spans="3:16" x14ac:dyDescent="0.25">
      <c r="C37" t="s">
        <v>96</v>
      </c>
      <c r="D37">
        <f>(D11)*$V8*D17</f>
        <v>1601297.7750000001</v>
      </c>
      <c r="E37">
        <f>(E11)*$V8*E17</f>
        <v>1593068.4000000001</v>
      </c>
      <c r="F37">
        <f>(F11)*$V8*F17</f>
        <v>3274550.8949999996</v>
      </c>
      <c r="G37">
        <f>(G11)*$V8*G17</f>
        <v>2460166.17</v>
      </c>
      <c r="H37">
        <f>(H11)*$V8*H17</f>
        <v>707614.21499999997</v>
      </c>
      <c r="I37">
        <f>(I11)*$V8*I17</f>
        <v>1311377.76</v>
      </c>
      <c r="J37">
        <f>(J11)*$V8*J17</f>
        <v>387158.31</v>
      </c>
      <c r="K37">
        <f>(K11)*$V8*K17</f>
        <v>3813.81</v>
      </c>
      <c r="L37">
        <f>(L11)*$V8*L17</f>
        <v>3252.48</v>
      </c>
      <c r="M37">
        <f>(M11)*$V8*M17</f>
        <v>53564.280000000006</v>
      </c>
      <c r="N37">
        <f>(N11)*$V8*N17</f>
        <v>62.370000000000005</v>
      </c>
      <c r="O37">
        <f>(O11)*$V8*O17</f>
        <v>65.835000000000008</v>
      </c>
      <c r="P37">
        <f>(P11)*$V8*P17</f>
        <v>121.27500000000001</v>
      </c>
    </row>
    <row r="38" spans="3:16" x14ac:dyDescent="0.25">
      <c r="C38" t="s">
        <v>87</v>
      </c>
      <c r="D38" s="1">
        <f>$V9*D17</f>
        <v>4448819.6000000006</v>
      </c>
      <c r="E38" s="1">
        <f>$V9*E17</f>
        <v>5690515.2000000002</v>
      </c>
      <c r="F38" s="1">
        <f>$V9*F17</f>
        <v>9985115.5999999996</v>
      </c>
      <c r="G38" s="1">
        <f>$V9*G17</f>
        <v>8094053.2000000002</v>
      </c>
      <c r="H38" s="1">
        <f>$V9*H17</f>
        <v>2853777.2</v>
      </c>
      <c r="I38" s="1">
        <f>$V9*I17</f>
        <v>3415637.6</v>
      </c>
      <c r="J38" s="1">
        <f>$V9*J17</f>
        <v>1052242.8</v>
      </c>
      <c r="K38" s="1">
        <f>$V9*K17</f>
        <v>18338.8</v>
      </c>
      <c r="L38" s="1">
        <f>$V9*L17</f>
        <v>12707.2</v>
      </c>
      <c r="M38" s="1">
        <f>$V9*M17</f>
        <v>196961.6</v>
      </c>
      <c r="N38" s="1">
        <f>$V9*N17</f>
        <v>433.20000000000005</v>
      </c>
      <c r="O38" s="1">
        <f>$V9*O17</f>
        <v>433.20000000000005</v>
      </c>
      <c r="P38" s="1">
        <f>$V9*P17</f>
        <v>722</v>
      </c>
    </row>
    <row r="39" spans="3:16" x14ac:dyDescent="0.25">
      <c r="C39" t="s">
        <v>88</v>
      </c>
      <c r="D39" s="1">
        <f>$V10*D17</f>
        <v>4448819.6000000006</v>
      </c>
      <c r="E39" s="1">
        <f>$V10*E17</f>
        <v>5690515.2000000002</v>
      </c>
      <c r="F39" s="1">
        <f>$V10*F17</f>
        <v>9985115.5999999996</v>
      </c>
      <c r="G39" s="1">
        <f>$V10*G17</f>
        <v>8094053.2000000002</v>
      </c>
      <c r="H39" s="1">
        <f>$V10*H17</f>
        <v>2853777.2</v>
      </c>
      <c r="I39" s="1">
        <f>$V10*I17</f>
        <v>3415637.6</v>
      </c>
      <c r="J39" s="1">
        <f>$V10*J17</f>
        <v>1052242.8</v>
      </c>
      <c r="K39" s="1">
        <f>$V10*K17</f>
        <v>18338.8</v>
      </c>
      <c r="L39" s="1">
        <f>$V10*L17</f>
        <v>12707.2</v>
      </c>
      <c r="M39" s="1">
        <f>$V10*M17</f>
        <v>196961.6</v>
      </c>
      <c r="N39" s="1">
        <f>$V10*N17</f>
        <v>433.20000000000005</v>
      </c>
      <c r="O39" s="1">
        <f>$V10*O17</f>
        <v>433.20000000000005</v>
      </c>
      <c r="P39" s="1">
        <f>$V10*P17</f>
        <v>722</v>
      </c>
    </row>
    <row r="40" spans="3:16" x14ac:dyDescent="0.25">
      <c r="C40" t="s">
        <v>89</v>
      </c>
      <c r="D40" s="1">
        <f>$V11*D17</f>
        <v>1913238.9000000001</v>
      </c>
      <c r="E40" s="1">
        <f>$V11*E17</f>
        <v>2447236.8000000003</v>
      </c>
      <c r="F40" s="1">
        <f>$V11*F17</f>
        <v>4294152.9000000004</v>
      </c>
      <c r="G40" s="1">
        <f>$V11*G17</f>
        <v>3480891.3000000003</v>
      </c>
      <c r="H40" s="1">
        <f>$V11*H17</f>
        <v>1227282.3</v>
      </c>
      <c r="I40" s="1">
        <f>$V11*I17</f>
        <v>1468913.4000000001</v>
      </c>
      <c r="J40" s="1">
        <f>$V11*J17</f>
        <v>452522.7</v>
      </c>
      <c r="K40" s="1">
        <f>$V11*K17</f>
        <v>7886.7</v>
      </c>
      <c r="L40" s="1">
        <f>$V11*L17</f>
        <v>5464.8</v>
      </c>
      <c r="M40" s="1">
        <f>$V11*M17</f>
        <v>84704.400000000009</v>
      </c>
      <c r="N40" s="1">
        <f>$V11*N17</f>
        <v>186.3</v>
      </c>
      <c r="O40" s="1">
        <f>$V11*O17</f>
        <v>186.3</v>
      </c>
      <c r="P40" s="1">
        <f>$V11*P17</f>
        <v>310.5</v>
      </c>
    </row>
    <row r="41" spans="3:16" x14ac:dyDescent="0.25">
      <c r="C41" t="s">
        <v>90</v>
      </c>
      <c r="D41">
        <f>D26*D17</f>
        <v>17786035.699999999</v>
      </c>
      <c r="E41">
        <f>E26*E17</f>
        <v>22750238.399999999</v>
      </c>
      <c r="F41">
        <f>F26*F17</f>
        <v>39919717.699999996</v>
      </c>
      <c r="G41">
        <f>G26*G17</f>
        <v>32359396.899999999</v>
      </c>
      <c r="H41">
        <f>H26*H17</f>
        <v>11409179.899999999</v>
      </c>
      <c r="I41">
        <f>I26*I17</f>
        <v>4099238.2</v>
      </c>
      <c r="J41">
        <f>J26*J17</f>
        <v>1262837.1000000001</v>
      </c>
      <c r="K41">
        <f>K26*K17</f>
        <v>15240</v>
      </c>
      <c r="L41">
        <f>L26*L17</f>
        <v>15708</v>
      </c>
      <c r="M41">
        <f>M26*M17</f>
        <v>236381.2</v>
      </c>
      <c r="N41">
        <f>N26*N17</f>
        <v>360</v>
      </c>
      <c r="O41">
        <f>O26*O17</f>
        <v>360</v>
      </c>
      <c r="P41">
        <f>P26*P17</f>
        <v>600</v>
      </c>
    </row>
    <row r="42" spans="3:16" x14ac:dyDescent="0.25">
      <c r="C42" t="s">
        <v>100</v>
      </c>
      <c r="D42">
        <f>SUM(D36:D41)</f>
        <v>31214908.575000003</v>
      </c>
      <c r="E42">
        <f t="shared" ref="E42:P42" si="2">SUM(E36:E41)</f>
        <v>39298642.799999997</v>
      </c>
      <c r="F42">
        <f t="shared" si="2"/>
        <v>69284186.294999987</v>
      </c>
      <c r="G42">
        <f t="shared" si="2"/>
        <v>56954892.769999996</v>
      </c>
      <c r="H42">
        <f t="shared" si="2"/>
        <v>19703809.814999998</v>
      </c>
      <c r="I42">
        <f t="shared" si="2"/>
        <v>13710804.560000002</v>
      </c>
      <c r="J42">
        <f t="shared" si="2"/>
        <v>4303192.1100000003</v>
      </c>
      <c r="K42">
        <f t="shared" si="2"/>
        <v>65015.11</v>
      </c>
      <c r="L42">
        <f t="shared" si="2"/>
        <v>49839.68</v>
      </c>
      <c r="M42">
        <f t="shared" si="2"/>
        <v>783577.08000000007</v>
      </c>
      <c r="N42">
        <f t="shared" si="2"/>
        <v>1494.8700000000001</v>
      </c>
      <c r="O42">
        <f t="shared" si="2"/>
        <v>1544.5350000000001</v>
      </c>
      <c r="P42">
        <f t="shared" si="2"/>
        <v>2552.7750000000001</v>
      </c>
    </row>
    <row r="46" spans="3:16" x14ac:dyDescent="0.25">
      <c r="D46" t="s">
        <v>4</v>
      </c>
      <c r="E46" t="s">
        <v>5</v>
      </c>
      <c r="F46" t="s">
        <v>46</v>
      </c>
      <c r="G46" t="s">
        <v>47</v>
      </c>
      <c r="H46" t="s">
        <v>48</v>
      </c>
      <c r="I46" t="s">
        <v>6</v>
      </c>
      <c r="J46" t="s">
        <v>7</v>
      </c>
      <c r="K46" t="s">
        <v>8</v>
      </c>
      <c r="L46" t="s">
        <v>49</v>
      </c>
      <c r="M46" t="s">
        <v>9</v>
      </c>
      <c r="N46" t="s">
        <v>10</v>
      </c>
      <c r="O46" t="s">
        <v>11</v>
      </c>
      <c r="P46" t="s">
        <v>12</v>
      </c>
    </row>
    <row r="47" spans="3:16" x14ac:dyDescent="0.25">
      <c r="C47" t="s">
        <v>95</v>
      </c>
      <c r="D47">
        <f>(D15)*$V7*D18</f>
        <v>121092.40000000001</v>
      </c>
      <c r="E47">
        <f>(E15)*$V7*E18</f>
        <v>149034.6</v>
      </c>
      <c r="F47">
        <f>(F15)*$V7*F18</f>
        <v>52153.200000000004</v>
      </c>
      <c r="G47">
        <f>(G15)*$V7*G18</f>
        <v>108556.8</v>
      </c>
      <c r="H47">
        <f>(H15)*$V7*H18</f>
        <v>39124.800000000003</v>
      </c>
      <c r="I47">
        <f>(I15)*$V7*I18</f>
        <v>86735</v>
      </c>
      <c r="J47">
        <f>(J15)*$V7*J18</f>
        <v>69469.400000000009</v>
      </c>
      <c r="K47">
        <f>(K15)*$V7*K18</f>
        <v>946</v>
      </c>
      <c r="L47">
        <f>(L15)*$V7*L18</f>
        <v>127.60000000000001</v>
      </c>
      <c r="M47">
        <f>(M15)*$V7*M18</f>
        <v>10010</v>
      </c>
      <c r="N47">
        <f>(N15)*$V7*N18</f>
        <v>15.400000000000002</v>
      </c>
      <c r="O47">
        <f>(O15)*$V7*O18</f>
        <v>37.400000000000006</v>
      </c>
      <c r="P47">
        <f>(P15)*$V7*P18</f>
        <v>48.400000000000006</v>
      </c>
    </row>
    <row r="48" spans="3:16" x14ac:dyDescent="0.25">
      <c r="C48" t="s">
        <v>96</v>
      </c>
      <c r="D48">
        <f>(D15)*$V8*D18</f>
        <v>635735.1</v>
      </c>
      <c r="E48">
        <f>(E15)*$V8*E18</f>
        <v>782431.65</v>
      </c>
      <c r="F48">
        <f>(F15)*$V8*F18</f>
        <v>273804.3</v>
      </c>
      <c r="G48">
        <f>(G15)*$V8*G18</f>
        <v>569923.20000000007</v>
      </c>
      <c r="H48">
        <f>(H15)*$V8*H18</f>
        <v>205405.20000000004</v>
      </c>
      <c r="I48">
        <f>(I15)*$V8*I18</f>
        <v>455358.75</v>
      </c>
      <c r="J48">
        <f>(J15)*$V8*J18</f>
        <v>364714.35000000003</v>
      </c>
      <c r="K48">
        <f>(K15)*$V8*K18</f>
        <v>4966.5</v>
      </c>
      <c r="L48">
        <f>(L15)*$V8*L18</f>
        <v>669.90000000000009</v>
      </c>
      <c r="M48">
        <f>(M15)*$V8*M18</f>
        <v>52552.5</v>
      </c>
      <c r="N48">
        <f>(N15)*$V8*N18</f>
        <v>80.850000000000009</v>
      </c>
      <c r="O48">
        <f>(O15)*$V8*O18</f>
        <v>196.35000000000002</v>
      </c>
      <c r="P48">
        <f>(P15)*$V8*P18</f>
        <v>254.10000000000002</v>
      </c>
    </row>
    <row r="49" spans="3:16" x14ac:dyDescent="0.25">
      <c r="C49" t="s">
        <v>87</v>
      </c>
      <c r="D49" s="1">
        <f>$W9*D18</f>
        <v>916661</v>
      </c>
      <c r="E49" s="1">
        <f>$W9*E18</f>
        <v>1086397</v>
      </c>
      <c r="F49" s="1">
        <f>$W9*F18</f>
        <v>570261</v>
      </c>
      <c r="G49" s="1">
        <f>$W9*G18</f>
        <v>667686</v>
      </c>
      <c r="H49" s="1">
        <f>$W9*H18</f>
        <v>320853</v>
      </c>
      <c r="I49" s="1">
        <f>$W9*I18</f>
        <v>3414205</v>
      </c>
      <c r="J49" s="1">
        <f>$W9*J18</f>
        <v>1051757</v>
      </c>
      <c r="K49" s="1">
        <f>$W9*K18</f>
        <v>18619</v>
      </c>
      <c r="L49" s="1">
        <f>$W9*L18</f>
        <v>12557</v>
      </c>
      <c r="M49" s="1">
        <f>$W9*M18</f>
        <v>197015</v>
      </c>
      <c r="N49" s="1">
        <f>$W9*N18</f>
        <v>433</v>
      </c>
      <c r="O49" s="1">
        <f>$W9*O18</f>
        <v>433</v>
      </c>
      <c r="P49" s="1">
        <f>$W9*P18</f>
        <v>866</v>
      </c>
    </row>
    <row r="50" spans="3:16" x14ac:dyDescent="0.25">
      <c r="C50" t="s">
        <v>88</v>
      </c>
      <c r="D50" s="1">
        <f>$W10*D18</f>
        <v>1986169.4000000001</v>
      </c>
      <c r="E50" s="1">
        <f>$W10*E18</f>
        <v>2353943.8000000003</v>
      </c>
      <c r="F50" s="1">
        <f>$W10*F18</f>
        <v>1235609.4000000001</v>
      </c>
      <c r="G50" s="1">
        <f>$W10*G18</f>
        <v>1446704.4000000001</v>
      </c>
      <c r="H50" s="1">
        <f>$W10*H18</f>
        <v>695206.20000000007</v>
      </c>
      <c r="I50" s="1">
        <f>$W10*I18</f>
        <v>7397707</v>
      </c>
      <c r="J50" s="1">
        <f>$W10*J18</f>
        <v>2278887.8000000003</v>
      </c>
      <c r="K50" s="1">
        <f>$W10*K18</f>
        <v>40342.6</v>
      </c>
      <c r="L50" s="1">
        <f>$W10*L18</f>
        <v>27207.800000000003</v>
      </c>
      <c r="M50" s="1">
        <f>$W10*M18</f>
        <v>426881</v>
      </c>
      <c r="N50" s="1">
        <f>$W10*N18</f>
        <v>938.2</v>
      </c>
      <c r="O50" s="1">
        <f>$W10*O18</f>
        <v>938.2</v>
      </c>
      <c r="P50" s="1">
        <f>$W10*P18</f>
        <v>1876.4</v>
      </c>
    </row>
    <row r="51" spans="3:16" x14ac:dyDescent="0.25">
      <c r="C51" t="s">
        <v>90</v>
      </c>
      <c r="D51">
        <f>D27*D18</f>
        <v>3666644</v>
      </c>
      <c r="E51">
        <f>E27*E18</f>
        <v>4345588</v>
      </c>
      <c r="F51">
        <f>F27*F18</f>
        <v>2281044</v>
      </c>
      <c r="G51">
        <f>G27*G18</f>
        <v>2670744</v>
      </c>
      <c r="H51">
        <f>H27*H18</f>
        <v>1283412</v>
      </c>
      <c r="I51">
        <f>I27*I18</f>
        <v>4097046</v>
      </c>
      <c r="J51">
        <f>J27*J18</f>
        <v>1262108.4000000001</v>
      </c>
      <c r="K51">
        <f>K27*K18</f>
        <v>20674.400000000001</v>
      </c>
      <c r="L51">
        <f>L27*L18</f>
        <v>14819</v>
      </c>
      <c r="M51">
        <f>M27*M18</f>
        <v>236418</v>
      </c>
      <c r="N51">
        <f>N27*N18</f>
        <v>480.8</v>
      </c>
      <c r="O51">
        <f>O27*O18</f>
        <v>480.8</v>
      </c>
      <c r="P51">
        <f>P27*P18</f>
        <v>961.6</v>
      </c>
    </row>
    <row r="52" spans="3:16" x14ac:dyDescent="0.25">
      <c r="C52" t="s">
        <v>100</v>
      </c>
      <c r="D52">
        <f t="shared" ref="D52:P52" si="3">SUM(D47:D51)</f>
        <v>7326301.9000000004</v>
      </c>
      <c r="E52">
        <f t="shared" si="3"/>
        <v>8717395.0500000007</v>
      </c>
      <c r="F52">
        <f t="shared" si="3"/>
        <v>4412871.9000000004</v>
      </c>
      <c r="G52">
        <f t="shared" si="3"/>
        <v>5463614.4000000004</v>
      </c>
      <c r="H52">
        <f t="shared" si="3"/>
        <v>2544001.2000000002</v>
      </c>
      <c r="I52">
        <f t="shared" si="3"/>
        <v>15451051.75</v>
      </c>
      <c r="J52">
        <f t="shared" si="3"/>
        <v>5026936.95</v>
      </c>
      <c r="K52">
        <f t="shared" si="3"/>
        <v>85548.5</v>
      </c>
      <c r="L52">
        <f t="shared" si="3"/>
        <v>55381.3</v>
      </c>
      <c r="M52">
        <f t="shared" si="3"/>
        <v>922876.5</v>
      </c>
      <c r="N52">
        <f t="shared" si="3"/>
        <v>1948.25</v>
      </c>
      <c r="O52">
        <f t="shared" si="3"/>
        <v>2085.75</v>
      </c>
      <c r="P52">
        <f t="shared" si="3"/>
        <v>4006.5</v>
      </c>
    </row>
    <row r="56" spans="3:16" x14ac:dyDescent="0.25">
      <c r="D56" t="s">
        <v>4</v>
      </c>
      <c r="E56" t="s">
        <v>5</v>
      </c>
      <c r="F56" t="s">
        <v>46</v>
      </c>
      <c r="G56" t="s">
        <v>47</v>
      </c>
      <c r="H56" t="s">
        <v>48</v>
      </c>
      <c r="I56" t="s">
        <v>6</v>
      </c>
      <c r="J56" t="s">
        <v>7</v>
      </c>
      <c r="K56" t="s">
        <v>8</v>
      </c>
      <c r="L56" t="s">
        <v>49</v>
      </c>
      <c r="M56" t="s">
        <v>9</v>
      </c>
      <c r="N56" t="s">
        <v>10</v>
      </c>
      <c r="O56" t="s">
        <v>11</v>
      </c>
      <c r="P56" t="s">
        <v>12</v>
      </c>
    </row>
    <row r="57" spans="3:16" x14ac:dyDescent="0.25">
      <c r="C57" t="s">
        <v>95</v>
      </c>
      <c r="D57">
        <f>(D16)*$V7*D19</f>
        <v>1220036.4000000001</v>
      </c>
      <c r="E57">
        <f>(E16)*$V7*E19</f>
        <v>1560556.8</v>
      </c>
      <c r="F57">
        <f>(F16)*$V7*F19</f>
        <v>2738300.4</v>
      </c>
      <c r="G57">
        <f>(G16)*$V7*G19</f>
        <v>2219698.8000000003</v>
      </c>
      <c r="H57">
        <f>(H16)*$V7*H19</f>
        <v>782614.8</v>
      </c>
      <c r="I57">
        <f>(I16)*$V7*I19</f>
        <v>66616</v>
      </c>
      <c r="J57">
        <f>(J16)*$V7*J19</f>
        <v>20548</v>
      </c>
      <c r="K57">
        <f>(K16)*$V7*K19</f>
        <v>363</v>
      </c>
      <c r="L57">
        <f>(L16)*$V7*L19</f>
        <v>2904</v>
      </c>
      <c r="M57">
        <f>(M16)*$V7*M19</f>
        <v>1742.4</v>
      </c>
      <c r="N57">
        <f>(N16)*$V7*N19</f>
        <v>15.400000000000002</v>
      </c>
      <c r="O57">
        <f>(O16)*$V7*O19</f>
        <v>15.400000000000002</v>
      </c>
      <c r="P57">
        <f>(P16)*$V7*P19</f>
        <v>15.400000000000002</v>
      </c>
    </row>
    <row r="58" spans="3:16" x14ac:dyDescent="0.25">
      <c r="C58" t="s">
        <v>86</v>
      </c>
      <c r="D58">
        <f>(D16)*$V$8*D19</f>
        <v>6405191.1000000006</v>
      </c>
      <c r="E58">
        <f>(E16)*$V$8*E19</f>
        <v>8192923.2000000002</v>
      </c>
      <c r="F58">
        <f>(F16)*$V$8*F19</f>
        <v>14376077.1</v>
      </c>
      <c r="G58">
        <f>(G16)*$V$8*G19</f>
        <v>11653418.700000001</v>
      </c>
      <c r="H58">
        <f>(H16)*$V$8*H19</f>
        <v>4108727.7</v>
      </c>
      <c r="I58">
        <f>(I16)*$V$8*I19</f>
        <v>349734</v>
      </c>
      <c r="J58">
        <f>(J16)*$V$8*J19</f>
        <v>107877</v>
      </c>
      <c r="K58">
        <f>(K16)*$V$8*K19</f>
        <v>1905.75</v>
      </c>
      <c r="L58">
        <f>(L16)*$V$8*L19</f>
        <v>15246</v>
      </c>
      <c r="M58">
        <f>(M16)*$V$8*M19</f>
        <v>9147.6</v>
      </c>
      <c r="N58">
        <f>(N16)*$V$8*N19</f>
        <v>80.850000000000009</v>
      </c>
      <c r="O58">
        <f>(O16)*$V$8*O19</f>
        <v>80.850000000000009</v>
      </c>
      <c r="P58">
        <f>(P16)*$V$8*P19</f>
        <v>80.850000000000009</v>
      </c>
    </row>
    <row r="59" spans="3:16" x14ac:dyDescent="0.25">
      <c r="C59" t="s">
        <v>87</v>
      </c>
      <c r="D59" s="1">
        <f t="shared" ref="D59:P59" si="4">$X$9*D19</f>
        <v>4448819.6000000006</v>
      </c>
      <c r="E59" s="1">
        <f t="shared" si="4"/>
        <v>5690515.2000000002</v>
      </c>
      <c r="F59" s="1">
        <f t="shared" si="4"/>
        <v>9985115.5999999996</v>
      </c>
      <c r="G59" s="1">
        <f t="shared" si="4"/>
        <v>8094053.2000000002</v>
      </c>
      <c r="H59" s="1">
        <f t="shared" si="4"/>
        <v>2853777.2</v>
      </c>
      <c r="I59" s="1">
        <f t="shared" si="4"/>
        <v>218621.6</v>
      </c>
      <c r="J59" s="1">
        <f t="shared" si="4"/>
        <v>67434.8</v>
      </c>
      <c r="K59" s="1">
        <f t="shared" si="4"/>
        <v>1588.4</v>
      </c>
      <c r="L59" s="1">
        <f t="shared" si="4"/>
        <v>12707.2</v>
      </c>
      <c r="M59" s="1">
        <f t="shared" si="4"/>
        <v>12707.2</v>
      </c>
      <c r="N59" s="1">
        <f t="shared" si="4"/>
        <v>144.4</v>
      </c>
      <c r="O59" s="1">
        <f t="shared" si="4"/>
        <v>144.4</v>
      </c>
      <c r="P59" s="1">
        <f t="shared" si="4"/>
        <v>144.4</v>
      </c>
    </row>
    <row r="60" spans="3:16" x14ac:dyDescent="0.25">
      <c r="C60" t="s">
        <v>88</v>
      </c>
      <c r="D60" s="1">
        <f t="shared" ref="D60:P60" si="5">$X$10*D19</f>
        <v>1216955.5</v>
      </c>
      <c r="E60" s="1">
        <f t="shared" si="5"/>
        <v>1556616</v>
      </c>
      <c r="F60" s="1">
        <f t="shared" si="5"/>
        <v>2731385.5</v>
      </c>
      <c r="G60" s="1">
        <f t="shared" si="5"/>
        <v>2214093.5</v>
      </c>
      <c r="H60" s="1">
        <f t="shared" si="5"/>
        <v>780638.5</v>
      </c>
      <c r="I60" s="1">
        <f t="shared" si="5"/>
        <v>59803</v>
      </c>
      <c r="J60" s="1">
        <f t="shared" si="5"/>
        <v>18446.5</v>
      </c>
      <c r="K60" s="1">
        <f t="shared" si="5"/>
        <v>434.5</v>
      </c>
      <c r="L60" s="1">
        <f t="shared" si="5"/>
        <v>3476</v>
      </c>
      <c r="M60" s="1">
        <f t="shared" si="5"/>
        <v>3476</v>
      </c>
      <c r="N60" s="1">
        <f t="shared" si="5"/>
        <v>39.5</v>
      </c>
      <c r="O60" s="1">
        <f t="shared" si="5"/>
        <v>39.5</v>
      </c>
      <c r="P60" s="1">
        <f t="shared" si="5"/>
        <v>39.5</v>
      </c>
    </row>
    <row r="61" spans="3:16" x14ac:dyDescent="0.25">
      <c r="C61" t="s">
        <v>90</v>
      </c>
      <c r="D61">
        <f t="shared" ref="D61:P61" si="6">D28*D19</f>
        <v>25016908</v>
      </c>
      <c r="E61">
        <f t="shared" si="6"/>
        <v>31999296</v>
      </c>
      <c r="F61">
        <f t="shared" si="6"/>
        <v>56148988</v>
      </c>
      <c r="G61">
        <f t="shared" si="6"/>
        <v>45515036</v>
      </c>
      <c r="H61">
        <f t="shared" si="6"/>
        <v>16047556</v>
      </c>
      <c r="I61">
        <f t="shared" si="6"/>
        <v>363360</v>
      </c>
      <c r="J61">
        <f t="shared" si="6"/>
        <v>112080</v>
      </c>
      <c r="K61">
        <f t="shared" si="6"/>
        <v>1760</v>
      </c>
      <c r="L61">
        <f t="shared" si="6"/>
        <v>17600</v>
      </c>
      <c r="M61">
        <f t="shared" si="6"/>
        <v>17600</v>
      </c>
      <c r="N61">
        <f t="shared" si="6"/>
        <v>160</v>
      </c>
      <c r="O61">
        <f t="shared" si="6"/>
        <v>160</v>
      </c>
      <c r="P61">
        <f t="shared" si="6"/>
        <v>160</v>
      </c>
    </row>
    <row r="62" spans="3:16" x14ac:dyDescent="0.25">
      <c r="C62" t="s">
        <v>100</v>
      </c>
      <c r="D62">
        <f t="shared" ref="D62:P62" si="7">SUM(D57:D61)</f>
        <v>38307910.600000001</v>
      </c>
      <c r="E62">
        <f t="shared" si="7"/>
        <v>48999907.200000003</v>
      </c>
      <c r="F62">
        <f t="shared" si="7"/>
        <v>85979866.599999994</v>
      </c>
      <c r="G62">
        <f t="shared" si="7"/>
        <v>69696300.200000003</v>
      </c>
      <c r="H62">
        <f t="shared" si="7"/>
        <v>24573314.199999999</v>
      </c>
      <c r="I62">
        <f t="shared" si="7"/>
        <v>1058134.6000000001</v>
      </c>
      <c r="J62">
        <f t="shared" si="7"/>
        <v>326386.3</v>
      </c>
      <c r="K62">
        <f t="shared" si="7"/>
        <v>6051.65</v>
      </c>
      <c r="L62">
        <f t="shared" si="7"/>
        <v>51933.2</v>
      </c>
      <c r="M62">
        <f t="shared" si="7"/>
        <v>44673.2</v>
      </c>
      <c r="N62">
        <f t="shared" si="7"/>
        <v>440.15000000000003</v>
      </c>
      <c r="O62">
        <f t="shared" si="7"/>
        <v>440.15000000000003</v>
      </c>
      <c r="P62">
        <f t="shared" si="7"/>
        <v>440.15000000000003</v>
      </c>
    </row>
    <row r="67" spans="2:16" x14ac:dyDescent="0.25">
      <c r="D67" t="s">
        <v>4</v>
      </c>
      <c r="E67" t="s">
        <v>5</v>
      </c>
      <c r="F67" t="s">
        <v>46</v>
      </c>
      <c r="G67" t="s">
        <v>47</v>
      </c>
      <c r="H67" t="s">
        <v>48</v>
      </c>
      <c r="I67" t="s">
        <v>6</v>
      </c>
      <c r="J67" t="s">
        <v>7</v>
      </c>
      <c r="K67" t="s">
        <v>8</v>
      </c>
      <c r="L67" t="s">
        <v>49</v>
      </c>
      <c r="M67" t="s">
        <v>9</v>
      </c>
      <c r="N67" t="s">
        <v>10</v>
      </c>
      <c r="O67" t="s">
        <v>11</v>
      </c>
      <c r="P67" t="s">
        <v>12</v>
      </c>
    </row>
    <row r="68" spans="2:16" x14ac:dyDescent="0.25">
      <c r="B68" t="s">
        <v>119</v>
      </c>
      <c r="C68" t="s">
        <v>100</v>
      </c>
    </row>
    <row r="72" spans="2:16" x14ac:dyDescent="0.25">
      <c r="C72" t="s">
        <v>107</v>
      </c>
    </row>
    <row r="73" spans="2:16" x14ac:dyDescent="0.25">
      <c r="B73" t="s">
        <v>103</v>
      </c>
      <c r="C73" t="s">
        <v>104</v>
      </c>
      <c r="D73">
        <v>-2</v>
      </c>
      <c r="E73">
        <v>-2</v>
      </c>
      <c r="F73">
        <v>-2</v>
      </c>
      <c r="G73">
        <v>-2</v>
      </c>
      <c r="H73">
        <v>-2</v>
      </c>
      <c r="I73">
        <v>-2</v>
      </c>
      <c r="J73">
        <v>-2</v>
      </c>
      <c r="K73">
        <v>-2</v>
      </c>
      <c r="L73">
        <v>-2</v>
      </c>
      <c r="M73">
        <v>-2</v>
      </c>
      <c r="N73">
        <v>-2</v>
      </c>
      <c r="O73">
        <v>-2</v>
      </c>
      <c r="P73">
        <v>-2</v>
      </c>
    </row>
    <row r="74" spans="2:16" x14ac:dyDescent="0.25">
      <c r="C74" t="s">
        <v>105</v>
      </c>
      <c r="D74">
        <v>2</v>
      </c>
      <c r="E74">
        <v>2</v>
      </c>
      <c r="F74">
        <v>2</v>
      </c>
      <c r="G74">
        <v>2</v>
      </c>
      <c r="H74">
        <v>2</v>
      </c>
      <c r="I74">
        <v>2</v>
      </c>
      <c r="J74">
        <v>2</v>
      </c>
      <c r="K74">
        <v>2</v>
      </c>
      <c r="L74">
        <v>2</v>
      </c>
      <c r="M74">
        <v>2</v>
      </c>
      <c r="N74">
        <v>2</v>
      </c>
      <c r="O74">
        <v>2</v>
      </c>
      <c r="P74">
        <v>2</v>
      </c>
    </row>
    <row r="75" spans="2:16" x14ac:dyDescent="0.25">
      <c r="C75" t="s">
        <v>106</v>
      </c>
      <c r="D75">
        <f>((-0.56*(24/(2*PI()))*SIN(((2*PI())/24)*D74))+(0.84*D74))-((-0.56*(24/(2*PI()))*SIN(((2*PI())/24)*D73))+(0.84*D73))</f>
        <v>1.2209575648449267</v>
      </c>
      <c r="E75">
        <f t="shared" ref="E75:P75" si="8">((-0.56*(24/(2*PI()))*SIN(((2*PI())/24)*E74))+(0.84*E74))-((-0.56*(24/(2*PI()))*SIN(((2*PI())/24)*E73))+(0.84*E73))</f>
        <v>1.2209575648449267</v>
      </c>
      <c r="F75">
        <f t="shared" si="8"/>
        <v>1.2209575648449267</v>
      </c>
      <c r="G75">
        <f t="shared" si="8"/>
        <v>1.2209575648449267</v>
      </c>
      <c r="H75">
        <f t="shared" si="8"/>
        <v>1.2209575648449267</v>
      </c>
      <c r="I75">
        <f t="shared" si="8"/>
        <v>1.2209575648449267</v>
      </c>
      <c r="J75">
        <f t="shared" si="8"/>
        <v>1.2209575648449267</v>
      </c>
      <c r="K75">
        <f t="shared" si="8"/>
        <v>1.2209575648449267</v>
      </c>
      <c r="L75">
        <f t="shared" si="8"/>
        <v>1.2209575648449267</v>
      </c>
      <c r="M75">
        <f t="shared" si="8"/>
        <v>1.2209575648449267</v>
      </c>
      <c r="N75">
        <f t="shared" si="8"/>
        <v>1.2209575648449267</v>
      </c>
      <c r="O75">
        <f t="shared" si="8"/>
        <v>1.2209575648449267</v>
      </c>
      <c r="P75">
        <f t="shared" si="8"/>
        <v>1.2209575648449267</v>
      </c>
    </row>
    <row r="77" spans="2:16" x14ac:dyDescent="0.25">
      <c r="C77" t="s">
        <v>108</v>
      </c>
    </row>
    <row r="78" spans="2:16" x14ac:dyDescent="0.25">
      <c r="B78" t="s">
        <v>103</v>
      </c>
      <c r="C78" t="s">
        <v>104</v>
      </c>
      <c r="D78">
        <v>-2</v>
      </c>
      <c r="E78">
        <v>-2</v>
      </c>
      <c r="F78">
        <v>-2</v>
      </c>
      <c r="G78">
        <v>-2</v>
      </c>
      <c r="H78">
        <v>-2</v>
      </c>
      <c r="I78">
        <v>-2</v>
      </c>
      <c r="J78">
        <v>-2</v>
      </c>
      <c r="K78">
        <v>-2</v>
      </c>
      <c r="L78">
        <v>-2</v>
      </c>
      <c r="M78">
        <v>-2</v>
      </c>
      <c r="N78">
        <v>-2</v>
      </c>
      <c r="O78">
        <v>-2</v>
      </c>
      <c r="P78">
        <v>-2</v>
      </c>
    </row>
    <row r="79" spans="2:16" x14ac:dyDescent="0.25">
      <c r="C79" t="s">
        <v>105</v>
      </c>
      <c r="D79">
        <v>2</v>
      </c>
      <c r="E79">
        <v>2</v>
      </c>
      <c r="F79">
        <v>2</v>
      </c>
      <c r="G79">
        <v>2</v>
      </c>
      <c r="H79">
        <v>2</v>
      </c>
      <c r="I79">
        <v>2</v>
      </c>
      <c r="J79">
        <v>2</v>
      </c>
      <c r="K79">
        <v>2</v>
      </c>
      <c r="L79">
        <v>2</v>
      </c>
      <c r="M79">
        <v>2</v>
      </c>
      <c r="N79">
        <v>2</v>
      </c>
      <c r="O79">
        <v>2</v>
      </c>
      <c r="P79">
        <v>2</v>
      </c>
    </row>
    <row r="80" spans="2:16" x14ac:dyDescent="0.25">
      <c r="C80" t="s">
        <v>106</v>
      </c>
      <c r="D80">
        <f>((-1.31*(24/(2*PI()))*SIN(((2*PI())/24)*D79))+(2.19*D79))-((-1.31*(24/(2*PI()))*SIN(((2*PI())/24)*D78))+(2.19*D78))</f>
        <v>3.7561685891908114</v>
      </c>
      <c r="E80">
        <f t="shared" ref="E80:P80" si="9">((-1.31*(24/(2*PI()))*SIN(((2*PI())/24)*E79))+(2.19*E79))-((-1.31*(24/(2*PI()))*SIN(((2*PI())/24)*E78))+(2.19*E78))</f>
        <v>3.7561685891908114</v>
      </c>
      <c r="F80">
        <f t="shared" si="9"/>
        <v>3.7561685891908114</v>
      </c>
      <c r="G80">
        <f t="shared" si="9"/>
        <v>3.7561685891908114</v>
      </c>
      <c r="H80">
        <f t="shared" si="9"/>
        <v>3.7561685891908114</v>
      </c>
      <c r="I80">
        <f t="shared" si="9"/>
        <v>3.7561685891908114</v>
      </c>
      <c r="J80">
        <f t="shared" si="9"/>
        <v>3.7561685891908114</v>
      </c>
      <c r="K80">
        <f t="shared" si="9"/>
        <v>3.7561685891908114</v>
      </c>
      <c r="L80">
        <f t="shared" si="9"/>
        <v>3.7561685891908114</v>
      </c>
      <c r="M80">
        <f t="shared" si="9"/>
        <v>3.7561685891908114</v>
      </c>
      <c r="N80">
        <f t="shared" si="9"/>
        <v>3.7561685891908114</v>
      </c>
      <c r="O80">
        <f t="shared" si="9"/>
        <v>3.7561685891908114</v>
      </c>
      <c r="P80">
        <f t="shared" si="9"/>
        <v>3.7561685891908114</v>
      </c>
    </row>
    <row r="82" spans="2:16" x14ac:dyDescent="0.25">
      <c r="C82" t="s">
        <v>114</v>
      </c>
    </row>
    <row r="83" spans="2:16" x14ac:dyDescent="0.25">
      <c r="B83" t="s">
        <v>103</v>
      </c>
      <c r="C83" t="s">
        <v>104</v>
      </c>
      <c r="D83">
        <v>-2</v>
      </c>
      <c r="E83">
        <v>-2</v>
      </c>
      <c r="F83">
        <v>-2</v>
      </c>
      <c r="G83">
        <v>-2</v>
      </c>
      <c r="H83">
        <v>-2</v>
      </c>
      <c r="I83">
        <v>-2</v>
      </c>
      <c r="J83">
        <v>-2</v>
      </c>
      <c r="K83">
        <v>-2</v>
      </c>
      <c r="L83">
        <v>-2</v>
      </c>
      <c r="M83">
        <v>-2</v>
      </c>
      <c r="N83">
        <v>-2</v>
      </c>
      <c r="O83">
        <v>-2</v>
      </c>
      <c r="P83">
        <v>-2</v>
      </c>
    </row>
    <row r="84" spans="2:16" x14ac:dyDescent="0.25">
      <c r="C84" t="s">
        <v>105</v>
      </c>
      <c r="D84">
        <v>2</v>
      </c>
      <c r="E84">
        <v>2</v>
      </c>
      <c r="F84">
        <v>2</v>
      </c>
      <c r="G84">
        <v>2</v>
      </c>
      <c r="H84">
        <v>2</v>
      </c>
      <c r="I84">
        <v>2</v>
      </c>
      <c r="J84">
        <v>2</v>
      </c>
      <c r="K84">
        <v>2</v>
      </c>
      <c r="L84">
        <v>2</v>
      </c>
      <c r="M84">
        <v>2</v>
      </c>
      <c r="N84">
        <v>2</v>
      </c>
      <c r="O84">
        <v>2</v>
      </c>
      <c r="P84">
        <v>2</v>
      </c>
    </row>
    <row r="85" spans="2:16" x14ac:dyDescent="0.25">
      <c r="C85" t="s">
        <v>106</v>
      </c>
      <c r="D85">
        <f>((-2.66*(24/(2*PI()))*SIN(((2*PI())/24)*D84))+(2.94*D84))-((-2.66*(24/(2*PI()))*SIN(((2*PI())/24)*D83))+(2.94*D83))</f>
        <v>1.5995484330134033</v>
      </c>
      <c r="E85">
        <f t="shared" ref="E85:P85" si="10">((-2.66*(24/(2*PI()))*SIN(((2*PI())/24)*E84))+(2.94*E84))-((-2.66*(24/(2*PI()))*SIN(((2*PI())/24)*E83))+(2.94*E83))</f>
        <v>1.5995484330134033</v>
      </c>
      <c r="F85">
        <f t="shared" si="10"/>
        <v>1.5995484330134033</v>
      </c>
      <c r="G85">
        <f t="shared" si="10"/>
        <v>1.5995484330134033</v>
      </c>
      <c r="H85">
        <f t="shared" si="10"/>
        <v>1.5995484330134033</v>
      </c>
      <c r="I85">
        <f t="shared" si="10"/>
        <v>1.5995484330134033</v>
      </c>
      <c r="J85">
        <f t="shared" si="10"/>
        <v>1.5995484330134033</v>
      </c>
      <c r="K85">
        <f t="shared" si="10"/>
        <v>1.5995484330134033</v>
      </c>
      <c r="L85">
        <f t="shared" si="10"/>
        <v>1.5995484330134033</v>
      </c>
      <c r="M85">
        <f t="shared" si="10"/>
        <v>1.5995484330134033</v>
      </c>
      <c r="N85">
        <f t="shared" si="10"/>
        <v>1.5995484330134033</v>
      </c>
      <c r="O85">
        <f t="shared" si="10"/>
        <v>1.5995484330134033</v>
      </c>
      <c r="P85">
        <f t="shared" si="10"/>
        <v>1.5995484330134033</v>
      </c>
    </row>
    <row r="90" spans="2:16" x14ac:dyDescent="0.25">
      <c r="C90" t="s">
        <v>107</v>
      </c>
    </row>
    <row r="91" spans="2:16" x14ac:dyDescent="0.25">
      <c r="D91" t="s">
        <v>4</v>
      </c>
      <c r="E91" t="s">
        <v>5</v>
      </c>
      <c r="F91" t="s">
        <v>46</v>
      </c>
      <c r="G91" t="s">
        <v>47</v>
      </c>
      <c r="H91" t="s">
        <v>48</v>
      </c>
      <c r="I91" t="s">
        <v>6</v>
      </c>
      <c r="J91" t="s">
        <v>7</v>
      </c>
      <c r="K91" t="s">
        <v>8</v>
      </c>
      <c r="L91" t="s">
        <v>49</v>
      </c>
      <c r="M91" t="s">
        <v>9</v>
      </c>
      <c r="N91" t="s">
        <v>10</v>
      </c>
      <c r="O91" t="s">
        <v>11</v>
      </c>
      <c r="P91" t="s">
        <v>12</v>
      </c>
    </row>
    <row r="92" spans="2:16" x14ac:dyDescent="0.25">
      <c r="C92" t="s">
        <v>99</v>
      </c>
      <c r="D92">
        <f>D17*((365*D75*D10)+$V14)</f>
        <v>196805.64563190695</v>
      </c>
      <c r="E92">
        <f>E17*((365*E75*E10)+$V14)</f>
        <v>251735.43065539905</v>
      </c>
      <c r="F92">
        <f>F17*((365*F75*F10)+$V14)</f>
        <v>441718.77015809453</v>
      </c>
      <c r="G92">
        <f>G17*((365*G75*G10)+$V14)</f>
        <v>358062.47702311922</v>
      </c>
      <c r="H92">
        <f>H17*((365*H75*H10)+$V14)</f>
        <v>126244.60302584885</v>
      </c>
      <c r="I92">
        <f>I17*((365*I75*I10)+$V14)</f>
        <v>151100.02732244236</v>
      </c>
      <c r="J92">
        <f>J17*((365*J75*J10)+$V14)</f>
        <v>46548.824684985098</v>
      </c>
      <c r="K92">
        <f>K17*((365*K75*K10)+$V14)</f>
        <v>811.26674008413715</v>
      </c>
      <c r="L92">
        <f>L17*((365*L75*L10)+$V14)</f>
        <v>562.13758368034701</v>
      </c>
      <c r="M92">
        <f>M17*((365*M75*M10)+$V14)</f>
        <v>6956.4</v>
      </c>
      <c r="N92">
        <f>N17*((365*N75*N10)+$V14)</f>
        <v>15.299999999999999</v>
      </c>
      <c r="O92">
        <f>O17*((365*O75*O10)+$V14)</f>
        <v>15.299999999999999</v>
      </c>
      <c r="P92">
        <f>P17*((365*P75*P10)+$V14)</f>
        <v>25.5</v>
      </c>
    </row>
    <row r="94" spans="2:16" x14ac:dyDescent="0.25">
      <c r="C94" t="s">
        <v>108</v>
      </c>
    </row>
    <row r="95" spans="2:16" x14ac:dyDescent="0.25">
      <c r="D95" t="s">
        <v>4</v>
      </c>
      <c r="E95" t="s">
        <v>5</v>
      </c>
      <c r="F95" t="s">
        <v>46</v>
      </c>
      <c r="G95" t="s">
        <v>47</v>
      </c>
      <c r="H95" t="s">
        <v>48</v>
      </c>
      <c r="I95" t="s">
        <v>6</v>
      </c>
      <c r="J95" t="s">
        <v>7</v>
      </c>
      <c r="K95" t="s">
        <v>8</v>
      </c>
      <c r="L95" t="s">
        <v>49</v>
      </c>
      <c r="M95" t="s">
        <v>9</v>
      </c>
      <c r="N95" t="s">
        <v>10</v>
      </c>
      <c r="O95" t="s">
        <v>11</v>
      </c>
      <c r="P95" t="s">
        <v>12</v>
      </c>
    </row>
    <row r="96" spans="2:16" x14ac:dyDescent="0.25">
      <c r="C96" t="s">
        <v>99</v>
      </c>
      <c r="D96">
        <f>D18*((365*D80*D10)+$W14)</f>
        <v>24583.015621663882</v>
      </c>
      <c r="E96">
        <f>E18*((365*E80*E10)+$W14)</f>
        <v>29134.995840696589</v>
      </c>
      <c r="F96">
        <f>F18*((365*F80*F10)+$W14)</f>
        <v>15293.260072617541</v>
      </c>
      <c r="G96">
        <f>G18*((365*G80*G10)+$W14)</f>
        <v>17906.003820786824</v>
      </c>
      <c r="H96">
        <f>H18*((365*H80*H10)+$W14)</f>
        <v>8604.6360773041743</v>
      </c>
      <c r="I96">
        <f>I18*((365*I80*I10)+$W14)</f>
        <v>91562.153130288003</v>
      </c>
      <c r="J96">
        <f>J18*((365*J80*J10)+$W14)</f>
        <v>28206.020285791954</v>
      </c>
      <c r="K96">
        <f>K18*((365*K80*K10)+$W14)</f>
        <v>499.32436076124088</v>
      </c>
      <c r="L96">
        <f>L18*((365*L80*L10)+$W14)</f>
        <v>336.75363865292991</v>
      </c>
      <c r="M96">
        <f>M18*((365*M80*M10)+$W14)</f>
        <v>3480.75</v>
      </c>
      <c r="N96">
        <f>N18*((365*N80*N10)+$W14)</f>
        <v>7.65</v>
      </c>
      <c r="O96">
        <f>O18*((365*O80*O10)+$W14)</f>
        <v>7.65</v>
      </c>
      <c r="P96">
        <f>P18*((365*P80*P10)+$W14)</f>
        <v>15.3</v>
      </c>
    </row>
    <row r="98" spans="3:16" x14ac:dyDescent="0.25">
      <c r="C98" t="s">
        <v>114</v>
      </c>
    </row>
    <row r="99" spans="3:16" x14ac:dyDescent="0.25">
      <c r="D99" t="s">
        <v>4</v>
      </c>
      <c r="E99" t="s">
        <v>5</v>
      </c>
      <c r="F99" t="s">
        <v>46</v>
      </c>
      <c r="G99" t="s">
        <v>47</v>
      </c>
      <c r="H99" t="s">
        <v>48</v>
      </c>
      <c r="I99" t="s">
        <v>6</v>
      </c>
      <c r="J99" t="s">
        <v>7</v>
      </c>
      <c r="K99" t="s">
        <v>8</v>
      </c>
      <c r="L99" t="s">
        <v>49</v>
      </c>
      <c r="M99" t="s">
        <v>9</v>
      </c>
      <c r="N99" t="s">
        <v>10</v>
      </c>
      <c r="O99" t="s">
        <v>11</v>
      </c>
      <c r="P99" t="s">
        <v>12</v>
      </c>
    </row>
    <row r="100" spans="3:16" x14ac:dyDescent="0.25">
      <c r="C100" t="s">
        <v>99</v>
      </c>
      <c r="D100">
        <f>D19*((365*D85*D10)+$V$14)</f>
        <v>209109.42242155806</v>
      </c>
      <c r="E100">
        <f>E19*((365*E85*E10)+$V$14)</f>
        <v>267473.27465314552</v>
      </c>
      <c r="F100">
        <f>F19*((365*F85*F10)+$V$14)</f>
        <v>469333.87812094903</v>
      </c>
      <c r="G100">
        <f>G19*((365*G85*G10)+$V$14)</f>
        <v>380447.61124981643</v>
      </c>
      <c r="H100">
        <f>H19*((365*H85*H10)+$V$14)</f>
        <v>134137.08706278205</v>
      </c>
      <c r="I100">
        <f>I19*((365*I85*I10)+$V$14)</f>
        <v>10275.947468150182</v>
      </c>
      <c r="J100">
        <f>J19*((365*J85*J10)+$V$14)</f>
        <v>3169.6614713514759</v>
      </c>
      <c r="K100">
        <f>K19*((365*K85*K10)+$V$14)</f>
        <v>74.660120310206068</v>
      </c>
      <c r="L100">
        <f>L19*((365*L85*L10)+$V$14)</f>
        <v>597.28096248164854</v>
      </c>
      <c r="M100">
        <f>M19*((365*M85*M10)+$V$14)</f>
        <v>448.79999999999995</v>
      </c>
      <c r="N100">
        <f>N19*((365*N85*N10)+$V$14)</f>
        <v>5.0999999999999996</v>
      </c>
      <c r="O100">
        <f>O19*((365*O85*O10)+$V$14)</f>
        <v>5.0999999999999996</v>
      </c>
      <c r="P100">
        <f>P19*((365*P85*P10)+$V$14)</f>
        <v>5.0999999999999996</v>
      </c>
    </row>
    <row r="103" spans="3:16" x14ac:dyDescent="0.25">
      <c r="C103" t="s">
        <v>107</v>
      </c>
    </row>
    <row r="104" spans="3:16" x14ac:dyDescent="0.25">
      <c r="D104" t="s">
        <v>4</v>
      </c>
      <c r="E104" t="s">
        <v>5</v>
      </c>
      <c r="F104" t="s">
        <v>46</v>
      </c>
      <c r="G104" t="s">
        <v>47</v>
      </c>
      <c r="H104" t="s">
        <v>48</v>
      </c>
      <c r="I104" t="s">
        <v>6</v>
      </c>
      <c r="J104" t="s">
        <v>7</v>
      </c>
      <c r="K104" t="s">
        <v>8</v>
      </c>
      <c r="L104" t="s">
        <v>49</v>
      </c>
      <c r="M104" t="s">
        <v>9</v>
      </c>
      <c r="N104" t="s">
        <v>10</v>
      </c>
      <c r="O104" t="s">
        <v>11</v>
      </c>
      <c r="P104" t="s">
        <v>12</v>
      </c>
    </row>
    <row r="105" spans="3:16" x14ac:dyDescent="0.25">
      <c r="C105" t="s">
        <v>98</v>
      </c>
      <c r="D105">
        <f>D8*12*D29</f>
        <v>5244033.6000000006</v>
      </c>
      <c r="E105">
        <f>E8*12*E29</f>
        <v>6214665.6000000006</v>
      </c>
      <c r="F105">
        <f>F8*12*F29</f>
        <v>3260812.8000000003</v>
      </c>
      <c r="G105">
        <f>G8*12*G29</f>
        <v>3818212.8000000003</v>
      </c>
      <c r="H105">
        <f>H8*12*H29</f>
        <v>1834012.8</v>
      </c>
      <c r="I105">
        <f>I8*12*I29</f>
        <v>6103814.4000000004</v>
      </c>
      <c r="J105">
        <f>J8*12*J29</f>
        <v>1880395.2000000002</v>
      </c>
      <c r="K105">
        <f>K8*12*K29</f>
        <v>52070.400000000001</v>
      </c>
      <c r="L105">
        <f>L8*12*L29</f>
        <v>32734.799999999999</v>
      </c>
      <c r="M105">
        <f>M8*12*M29</f>
        <v>263862</v>
      </c>
      <c r="N105">
        <f>N8*12*N29</f>
        <v>720</v>
      </c>
      <c r="O105">
        <f>O8*12*O29</f>
        <v>840</v>
      </c>
      <c r="P105">
        <f>P8*12*P29</f>
        <v>1200</v>
      </c>
    </row>
    <row r="107" spans="3:16" x14ac:dyDescent="0.25">
      <c r="C107" t="s">
        <v>108</v>
      </c>
    </row>
    <row r="108" spans="3:16" x14ac:dyDescent="0.25">
      <c r="D108" t="s">
        <v>4</v>
      </c>
      <c r="E108" t="s">
        <v>5</v>
      </c>
      <c r="F108" t="s">
        <v>46</v>
      </c>
      <c r="G108" t="s">
        <v>47</v>
      </c>
      <c r="H108" t="s">
        <v>48</v>
      </c>
      <c r="I108" t="s">
        <v>6</v>
      </c>
      <c r="J108" t="s">
        <v>7</v>
      </c>
      <c r="K108" t="s">
        <v>8</v>
      </c>
      <c r="L108" t="s">
        <v>49</v>
      </c>
      <c r="M108" t="s">
        <v>9</v>
      </c>
      <c r="N108" t="s">
        <v>10</v>
      </c>
      <c r="O108" t="s">
        <v>11</v>
      </c>
      <c r="P108" t="s">
        <v>12</v>
      </c>
    </row>
    <row r="109" spans="3:16" x14ac:dyDescent="0.25">
      <c r="C109" t="s">
        <v>98</v>
      </c>
      <c r="D109">
        <f>D8*12*D29</f>
        <v>5244033.6000000006</v>
      </c>
      <c r="E109">
        <f>E8*12*E29</f>
        <v>6214665.6000000006</v>
      </c>
      <c r="F109">
        <f>F8*12*F29</f>
        <v>3260812.8000000003</v>
      </c>
      <c r="G109">
        <f>G8*12*G29</f>
        <v>3818212.8000000003</v>
      </c>
      <c r="H109">
        <f>H8*12*H29</f>
        <v>1834012.8</v>
      </c>
      <c r="I109">
        <f>I8*12*I29</f>
        <v>6103814.4000000004</v>
      </c>
      <c r="J109">
        <f>J8*12*J29</f>
        <v>1880395.2000000002</v>
      </c>
      <c r="K109">
        <f>K8*12*K29</f>
        <v>52070.400000000001</v>
      </c>
      <c r="L109">
        <f>L8*12*L29</f>
        <v>32734.799999999999</v>
      </c>
      <c r="M109">
        <f>M8*12*M29</f>
        <v>263862</v>
      </c>
      <c r="N109">
        <f>N8*12*N29</f>
        <v>720</v>
      </c>
      <c r="O109">
        <f>O8*12*O29</f>
        <v>840</v>
      </c>
      <c r="P109">
        <f>P8*12*P29</f>
        <v>1200</v>
      </c>
    </row>
    <row r="111" spans="3:16" x14ac:dyDescent="0.25">
      <c r="C111" t="s">
        <v>114</v>
      </c>
    </row>
    <row r="112" spans="3:16" x14ac:dyDescent="0.25">
      <c r="D112" t="s">
        <v>4</v>
      </c>
      <c r="E112" t="s">
        <v>5</v>
      </c>
      <c r="F112" t="s">
        <v>46</v>
      </c>
      <c r="G112" t="s">
        <v>47</v>
      </c>
      <c r="H112" t="s">
        <v>48</v>
      </c>
      <c r="I112" t="s">
        <v>6</v>
      </c>
      <c r="J112" t="s">
        <v>7</v>
      </c>
      <c r="K112" t="s">
        <v>8</v>
      </c>
      <c r="L112" t="s">
        <v>49</v>
      </c>
      <c r="M112" t="s">
        <v>9</v>
      </c>
      <c r="N112" t="s">
        <v>10</v>
      </c>
      <c r="O112" t="s">
        <v>11</v>
      </c>
      <c r="P112" t="s">
        <v>12</v>
      </c>
    </row>
    <row r="113" spans="2:16" x14ac:dyDescent="0.25">
      <c r="C113" t="s">
        <v>98</v>
      </c>
      <c r="D113">
        <f>D8*12*D29</f>
        <v>5244033.6000000006</v>
      </c>
      <c r="E113">
        <f>E8*12*E29</f>
        <v>6214665.6000000006</v>
      </c>
      <c r="F113">
        <f>F8*12*F29</f>
        <v>3260812.8000000003</v>
      </c>
      <c r="G113">
        <f>G8*12*G29</f>
        <v>3818212.8000000003</v>
      </c>
      <c r="H113">
        <f>H8*12*H29</f>
        <v>1834012.8</v>
      </c>
      <c r="I113">
        <f>I8*12*I29</f>
        <v>6103814.4000000004</v>
      </c>
      <c r="J113">
        <f>J8*12*J29</f>
        <v>1880395.2000000002</v>
      </c>
      <c r="K113">
        <f>K8*12*K29</f>
        <v>52070.400000000001</v>
      </c>
      <c r="L113">
        <f>L8*12*L29</f>
        <v>32734.799999999999</v>
      </c>
      <c r="M113">
        <f>M8*12*M29</f>
        <v>263862</v>
      </c>
      <c r="N113">
        <f>N8*12*N29</f>
        <v>720</v>
      </c>
      <c r="O113">
        <f>O8*12*O29</f>
        <v>840</v>
      </c>
      <c r="P113">
        <f>P8*12*P29</f>
        <v>1200</v>
      </c>
    </row>
    <row r="116" spans="2:16" x14ac:dyDescent="0.25">
      <c r="C116" t="s">
        <v>21</v>
      </c>
    </row>
    <row r="117" spans="2:16" x14ac:dyDescent="0.25">
      <c r="B117" t="s">
        <v>109</v>
      </c>
      <c r="D117" t="s">
        <v>4</v>
      </c>
      <c r="E117" t="s">
        <v>5</v>
      </c>
      <c r="F117" t="s">
        <v>46</v>
      </c>
      <c r="G117" t="s">
        <v>47</v>
      </c>
      <c r="H117" t="s">
        <v>48</v>
      </c>
      <c r="I117" t="s">
        <v>6</v>
      </c>
      <c r="J117" t="s">
        <v>7</v>
      </c>
      <c r="K117" t="s">
        <v>8</v>
      </c>
      <c r="L117" t="s">
        <v>49</v>
      </c>
      <c r="M117" t="s">
        <v>9</v>
      </c>
      <c r="N117" t="s">
        <v>10</v>
      </c>
      <c r="O117" t="s">
        <v>11</v>
      </c>
      <c r="P117" t="s">
        <v>12</v>
      </c>
    </row>
    <row r="118" spans="2:16" x14ac:dyDescent="0.25">
      <c r="C118" t="s">
        <v>110</v>
      </c>
      <c r="D118" s="4">
        <f t="shared" ref="D118:P118" si="11">D42*-1</f>
        <v>-31214908.575000003</v>
      </c>
      <c r="E118" s="4">
        <f t="shared" si="11"/>
        <v>-39298642.799999997</v>
      </c>
      <c r="F118" s="4">
        <f t="shared" si="11"/>
        <v>-69284186.294999987</v>
      </c>
      <c r="G118" s="4">
        <f t="shared" si="11"/>
        <v>-56954892.769999996</v>
      </c>
      <c r="H118" s="4">
        <f t="shared" si="11"/>
        <v>-19703809.814999998</v>
      </c>
      <c r="I118" s="4">
        <f t="shared" si="11"/>
        <v>-13710804.560000002</v>
      </c>
      <c r="J118" s="4">
        <f t="shared" si="11"/>
        <v>-4303192.1100000003</v>
      </c>
      <c r="K118" s="4">
        <f t="shared" si="11"/>
        <v>-65015.11</v>
      </c>
      <c r="L118" s="4">
        <f t="shared" si="11"/>
        <v>-49839.68</v>
      </c>
      <c r="M118" s="4">
        <f t="shared" si="11"/>
        <v>-783577.08000000007</v>
      </c>
      <c r="N118" s="4">
        <f t="shared" si="11"/>
        <v>-1494.8700000000001</v>
      </c>
      <c r="O118" s="4">
        <f t="shared" si="11"/>
        <v>-1544.5350000000001</v>
      </c>
      <c r="P118" s="4">
        <f t="shared" si="11"/>
        <v>-2552.7750000000001</v>
      </c>
    </row>
    <row r="119" spans="2:16" x14ac:dyDescent="0.25">
      <c r="C119">
        <v>1</v>
      </c>
      <c r="D119" s="4">
        <f>D105-D92</f>
        <v>5047227.954368094</v>
      </c>
      <c r="E119" s="4">
        <f>E105-E92</f>
        <v>5962930.1693446012</v>
      </c>
      <c r="F119" s="4">
        <f t="shared" ref="F119:P119" si="12">F105-F92</f>
        <v>2819094.0298419059</v>
      </c>
      <c r="G119" s="4">
        <f t="shared" si="12"/>
        <v>3460150.3229768812</v>
      </c>
      <c r="H119" s="4">
        <f t="shared" si="12"/>
        <v>1707768.1969741513</v>
      </c>
      <c r="I119" s="4">
        <f t="shared" si="12"/>
        <v>5952714.3726775581</v>
      </c>
      <c r="J119" s="4">
        <f t="shared" si="12"/>
        <v>1833846.3753150152</v>
      </c>
      <c r="K119" s="4">
        <f t="shared" si="12"/>
        <v>51259.133259915863</v>
      </c>
      <c r="L119" s="4">
        <f>L105-L92</f>
        <v>32172.662416319654</v>
      </c>
      <c r="M119" s="4">
        <f t="shared" si="12"/>
        <v>256905.60000000001</v>
      </c>
      <c r="N119" s="4">
        <f t="shared" si="12"/>
        <v>704.7</v>
      </c>
      <c r="O119" s="4">
        <f t="shared" si="12"/>
        <v>824.7</v>
      </c>
      <c r="P119" s="4">
        <f t="shared" si="12"/>
        <v>1174.5</v>
      </c>
    </row>
    <row r="120" spans="2:16" x14ac:dyDescent="0.25">
      <c r="C120">
        <v>2</v>
      </c>
      <c r="D120" s="4">
        <f>D119</f>
        <v>5047227.954368094</v>
      </c>
      <c r="E120" s="4">
        <f t="shared" ref="E120:P120" si="13">E119</f>
        <v>5962930.1693446012</v>
      </c>
      <c r="F120" s="4">
        <f t="shared" si="13"/>
        <v>2819094.0298419059</v>
      </c>
      <c r="G120" s="4">
        <f t="shared" si="13"/>
        <v>3460150.3229768812</v>
      </c>
      <c r="H120" s="4">
        <f t="shared" si="13"/>
        <v>1707768.1969741513</v>
      </c>
      <c r="I120" s="4">
        <f t="shared" si="13"/>
        <v>5952714.3726775581</v>
      </c>
      <c r="J120" s="4">
        <f t="shared" si="13"/>
        <v>1833846.3753150152</v>
      </c>
      <c r="K120" s="4">
        <f t="shared" si="13"/>
        <v>51259.133259915863</v>
      </c>
      <c r="L120" s="4">
        <f t="shared" si="13"/>
        <v>32172.662416319654</v>
      </c>
      <c r="M120" s="4">
        <f t="shared" si="13"/>
        <v>256905.60000000001</v>
      </c>
      <c r="N120" s="4">
        <f t="shared" si="13"/>
        <v>704.7</v>
      </c>
      <c r="O120" s="4">
        <f t="shared" si="13"/>
        <v>824.7</v>
      </c>
      <c r="P120" s="4">
        <f t="shared" si="13"/>
        <v>1174.5</v>
      </c>
    </row>
    <row r="121" spans="2:16" x14ac:dyDescent="0.25">
      <c r="C121">
        <v>3</v>
      </c>
      <c r="D121" s="4">
        <f t="shared" ref="D121:D123" si="14">D120</f>
        <v>5047227.954368094</v>
      </c>
      <c r="E121" s="4">
        <f t="shared" ref="E121:E123" si="15">E120</f>
        <v>5962930.1693446012</v>
      </c>
      <c r="F121" s="4">
        <f t="shared" ref="F121:F123" si="16">F120</f>
        <v>2819094.0298419059</v>
      </c>
      <c r="G121" s="4">
        <f t="shared" ref="G121:G123" si="17">G120</f>
        <v>3460150.3229768812</v>
      </c>
      <c r="H121" s="4">
        <f t="shared" ref="H121:H123" si="18">H120</f>
        <v>1707768.1969741513</v>
      </c>
      <c r="I121" s="4">
        <f t="shared" ref="I121:I123" si="19">I120</f>
        <v>5952714.3726775581</v>
      </c>
      <c r="J121" s="4">
        <f t="shared" ref="J121:J123" si="20">J120</f>
        <v>1833846.3753150152</v>
      </c>
      <c r="K121" s="4">
        <f t="shared" ref="K121:K123" si="21">K120</f>
        <v>51259.133259915863</v>
      </c>
      <c r="L121" s="4">
        <f t="shared" ref="L121:L123" si="22">L120</f>
        <v>32172.662416319654</v>
      </c>
      <c r="M121" s="4">
        <f t="shared" ref="M121:M123" si="23">M120</f>
        <v>256905.60000000001</v>
      </c>
      <c r="N121" s="4">
        <f t="shared" ref="N121:N123" si="24">N120</f>
        <v>704.7</v>
      </c>
      <c r="O121" s="4">
        <f t="shared" ref="O121:O123" si="25">O120</f>
        <v>824.7</v>
      </c>
      <c r="P121" s="4">
        <f t="shared" ref="P121:P123" si="26">P120</f>
        <v>1174.5</v>
      </c>
    </row>
    <row r="122" spans="2:16" x14ac:dyDescent="0.25">
      <c r="C122">
        <v>4</v>
      </c>
      <c r="D122" s="4">
        <f t="shared" si="14"/>
        <v>5047227.954368094</v>
      </c>
      <c r="E122" s="4">
        <f t="shared" si="15"/>
        <v>5962930.1693446012</v>
      </c>
      <c r="F122" s="4">
        <f t="shared" si="16"/>
        <v>2819094.0298419059</v>
      </c>
      <c r="G122" s="4">
        <f t="shared" si="17"/>
        <v>3460150.3229768812</v>
      </c>
      <c r="H122" s="4">
        <f t="shared" si="18"/>
        <v>1707768.1969741513</v>
      </c>
      <c r="I122" s="4">
        <f t="shared" si="19"/>
        <v>5952714.3726775581</v>
      </c>
      <c r="J122" s="4">
        <f t="shared" si="20"/>
        <v>1833846.3753150152</v>
      </c>
      <c r="K122" s="4">
        <f t="shared" si="21"/>
        <v>51259.133259915863</v>
      </c>
      <c r="L122" s="4">
        <f t="shared" si="22"/>
        <v>32172.662416319654</v>
      </c>
      <c r="M122" s="4">
        <f t="shared" si="23"/>
        <v>256905.60000000001</v>
      </c>
      <c r="N122" s="4">
        <f t="shared" si="24"/>
        <v>704.7</v>
      </c>
      <c r="O122" s="4">
        <f t="shared" si="25"/>
        <v>824.7</v>
      </c>
      <c r="P122" s="4">
        <f t="shared" si="26"/>
        <v>1174.5</v>
      </c>
    </row>
    <row r="123" spans="2:16" x14ac:dyDescent="0.25">
      <c r="C123">
        <v>5</v>
      </c>
      <c r="D123" s="4">
        <f t="shared" si="14"/>
        <v>5047227.954368094</v>
      </c>
      <c r="E123" s="4">
        <f t="shared" si="15"/>
        <v>5962930.1693446012</v>
      </c>
      <c r="F123" s="4">
        <f t="shared" si="16"/>
        <v>2819094.0298419059</v>
      </c>
      <c r="G123" s="4">
        <f t="shared" si="17"/>
        <v>3460150.3229768812</v>
      </c>
      <c r="H123" s="4">
        <f t="shared" si="18"/>
        <v>1707768.1969741513</v>
      </c>
      <c r="I123" s="4">
        <f t="shared" si="19"/>
        <v>5952714.3726775581</v>
      </c>
      <c r="J123" s="4">
        <f t="shared" si="20"/>
        <v>1833846.3753150152</v>
      </c>
      <c r="K123" s="4">
        <f t="shared" si="21"/>
        <v>51259.133259915863</v>
      </c>
      <c r="L123" s="4">
        <f t="shared" si="22"/>
        <v>32172.662416319654</v>
      </c>
      <c r="M123" s="4">
        <f t="shared" si="23"/>
        <v>256905.60000000001</v>
      </c>
      <c r="N123" s="4">
        <f t="shared" si="24"/>
        <v>704.7</v>
      </c>
      <c r="O123" s="4">
        <f t="shared" si="25"/>
        <v>824.7</v>
      </c>
      <c r="P123" s="4">
        <f t="shared" si="26"/>
        <v>1174.5</v>
      </c>
    </row>
    <row r="124" spans="2:16" x14ac:dyDescent="0.25">
      <c r="C124" t="s">
        <v>109</v>
      </c>
      <c r="D124" s="4">
        <f>NPV(5%,D119:D123)+D118</f>
        <v>-9363052.8952076286</v>
      </c>
      <c r="E124" s="4">
        <f t="shared" ref="E124:P124" si="27">NPV(5%,E119:E123)+E118</f>
        <v>-13482275.743221864</v>
      </c>
      <c r="F124" s="4">
        <f t="shared" si="27"/>
        <v>-57078984.460484833</v>
      </c>
      <c r="G124" s="4">
        <f t="shared" si="27"/>
        <v>-41974252.669795893</v>
      </c>
      <c r="H124" s="4">
        <f t="shared" si="27"/>
        <v>-12310067.247355152</v>
      </c>
      <c r="I124" s="4">
        <f t="shared" si="27"/>
        <v>12061333.443436258</v>
      </c>
      <c r="J124" s="4">
        <f t="shared" si="27"/>
        <v>3636402.9894472472</v>
      </c>
      <c r="K124" s="4">
        <f t="shared" si="27"/>
        <v>156910.11160556198</v>
      </c>
      <c r="L124" s="4">
        <f t="shared" si="27"/>
        <v>89451.111363536911</v>
      </c>
      <c r="M124" s="4">
        <f t="shared" si="27"/>
        <v>328689.72175441263</v>
      </c>
      <c r="N124" s="4">
        <f t="shared" si="27"/>
        <v>1556.1122097935383</v>
      </c>
      <c r="O124" s="4">
        <f t="shared" si="27"/>
        <v>2025.9844102692362</v>
      </c>
      <c r="P124" s="4">
        <f t="shared" si="27"/>
        <v>2532.1953496558967</v>
      </c>
    </row>
    <row r="125" spans="2:16" x14ac:dyDescent="0.25">
      <c r="C125" t="s">
        <v>111</v>
      </c>
      <c r="D125" s="3">
        <f>IRR(D118:D123)</f>
        <v>-6.6929857122558389E-2</v>
      </c>
      <c r="E125" s="3">
        <f t="shared" ref="E125:P125" si="28">IRR(E118:E123)</f>
        <v>-8.5523602876574678E-2</v>
      </c>
      <c r="F125" s="3">
        <f t="shared" si="28"/>
        <v>-0.37030964468791783</v>
      </c>
      <c r="G125" s="3">
        <f t="shared" si="28"/>
        <v>-0.29954419830951362</v>
      </c>
      <c r="H125" s="3">
        <f t="shared" si="28"/>
        <v>-0.22664479243082902</v>
      </c>
      <c r="I125" s="3">
        <f t="shared" si="28"/>
        <v>0.32973002075111535</v>
      </c>
      <c r="J125" s="3">
        <f t="shared" si="28"/>
        <v>0.3196952576202523</v>
      </c>
      <c r="K125" s="3">
        <f t="shared" si="28"/>
        <v>0.73881828313357034</v>
      </c>
      <c r="L125" s="3">
        <f t="shared" si="28"/>
        <v>0.57995578528210423</v>
      </c>
      <c r="M125" s="3">
        <f t="shared" si="28"/>
        <v>0.1911122348638572</v>
      </c>
      <c r="N125" s="3">
        <f t="shared" si="28"/>
        <v>0.37576258090731463</v>
      </c>
      <c r="O125" s="3">
        <f t="shared" si="28"/>
        <v>0.45090366688612882</v>
      </c>
      <c r="P125" s="3">
        <f t="shared" si="28"/>
        <v>0.36187950910258171</v>
      </c>
    </row>
    <row r="129" spans="2:16" x14ac:dyDescent="0.25">
      <c r="C129" t="s">
        <v>22</v>
      </c>
    </row>
    <row r="130" spans="2:16" x14ac:dyDescent="0.25">
      <c r="B130" t="s">
        <v>109</v>
      </c>
      <c r="D130" t="s">
        <v>4</v>
      </c>
      <c r="E130" t="s">
        <v>5</v>
      </c>
      <c r="F130" t="s">
        <v>46</v>
      </c>
      <c r="G130" t="s">
        <v>47</v>
      </c>
      <c r="H130" t="s">
        <v>48</v>
      </c>
      <c r="I130" t="s">
        <v>6</v>
      </c>
      <c r="J130" t="s">
        <v>7</v>
      </c>
      <c r="K130" t="s">
        <v>8</v>
      </c>
      <c r="L130" t="s">
        <v>49</v>
      </c>
      <c r="M130" t="s">
        <v>9</v>
      </c>
      <c r="N130" t="s">
        <v>10</v>
      </c>
      <c r="O130" t="s">
        <v>11</v>
      </c>
      <c r="P130" t="s">
        <v>12</v>
      </c>
    </row>
    <row r="131" spans="2:16" x14ac:dyDescent="0.25">
      <c r="C131" t="s">
        <v>110</v>
      </c>
      <c r="D131" s="4">
        <f t="shared" ref="D131:P131" si="29">D52*-1</f>
        <v>-7326301.9000000004</v>
      </c>
      <c r="E131" s="4">
        <f t="shared" si="29"/>
        <v>-8717395.0500000007</v>
      </c>
      <c r="F131" s="4">
        <f t="shared" si="29"/>
        <v>-4412871.9000000004</v>
      </c>
      <c r="G131" s="4">
        <f t="shared" si="29"/>
        <v>-5463614.4000000004</v>
      </c>
      <c r="H131" s="4">
        <f t="shared" si="29"/>
        <v>-2544001.2000000002</v>
      </c>
      <c r="I131" s="4">
        <f t="shared" si="29"/>
        <v>-15451051.75</v>
      </c>
      <c r="J131" s="4">
        <f t="shared" si="29"/>
        <v>-5026936.95</v>
      </c>
      <c r="K131" s="4">
        <f t="shared" si="29"/>
        <v>-85548.5</v>
      </c>
      <c r="L131" s="4">
        <f t="shared" si="29"/>
        <v>-55381.3</v>
      </c>
      <c r="M131" s="4">
        <f t="shared" si="29"/>
        <v>-922876.5</v>
      </c>
      <c r="N131" s="4">
        <f t="shared" si="29"/>
        <v>-1948.25</v>
      </c>
      <c r="O131" s="4">
        <f t="shared" si="29"/>
        <v>-2085.75</v>
      </c>
      <c r="P131" s="4">
        <f t="shared" si="29"/>
        <v>-4006.5</v>
      </c>
    </row>
    <row r="132" spans="2:16" x14ac:dyDescent="0.25">
      <c r="C132">
        <v>1</v>
      </c>
      <c r="D132" s="4">
        <f>D109-D96</f>
        <v>5219450.5843783366</v>
      </c>
      <c r="E132" s="4">
        <f>E109-E96</f>
        <v>6185530.6041593039</v>
      </c>
      <c r="F132" s="4">
        <f t="shared" ref="F132:P132" si="30">F109-F96</f>
        <v>3245519.539927383</v>
      </c>
      <c r="G132" s="4">
        <f t="shared" si="30"/>
        <v>3800306.7961792136</v>
      </c>
      <c r="H132" s="4">
        <f t="shared" si="30"/>
        <v>1825408.1639226959</v>
      </c>
      <c r="I132" s="4">
        <f t="shared" si="30"/>
        <v>6012252.2468697121</v>
      </c>
      <c r="J132" s="4">
        <f t="shared" si="30"/>
        <v>1852189.1797142082</v>
      </c>
      <c r="K132" s="4">
        <f t="shared" si="30"/>
        <v>51571.075639238763</v>
      </c>
      <c r="L132" s="4">
        <f t="shared" si="30"/>
        <v>32398.046361347071</v>
      </c>
      <c r="M132" s="4">
        <f t="shared" si="30"/>
        <v>260381.25</v>
      </c>
      <c r="N132" s="4">
        <f t="shared" si="30"/>
        <v>712.35</v>
      </c>
      <c r="O132" s="4">
        <f t="shared" si="30"/>
        <v>832.35</v>
      </c>
      <c r="P132" s="4">
        <f t="shared" si="30"/>
        <v>1184.7</v>
      </c>
    </row>
    <row r="133" spans="2:16" x14ac:dyDescent="0.25">
      <c r="C133">
        <v>2</v>
      </c>
      <c r="D133" s="4">
        <f>D132</f>
        <v>5219450.5843783366</v>
      </c>
      <c r="E133" s="4">
        <f t="shared" ref="E133:P133" si="31">E132</f>
        <v>6185530.6041593039</v>
      </c>
      <c r="F133" s="4">
        <f t="shared" si="31"/>
        <v>3245519.539927383</v>
      </c>
      <c r="G133" s="4">
        <f t="shared" si="31"/>
        <v>3800306.7961792136</v>
      </c>
      <c r="H133" s="4">
        <f t="shared" si="31"/>
        <v>1825408.1639226959</v>
      </c>
      <c r="I133" s="4">
        <f t="shared" si="31"/>
        <v>6012252.2468697121</v>
      </c>
      <c r="J133" s="4">
        <f t="shared" si="31"/>
        <v>1852189.1797142082</v>
      </c>
      <c r="K133" s="4">
        <f t="shared" si="31"/>
        <v>51571.075639238763</v>
      </c>
      <c r="L133" s="4">
        <f t="shared" si="31"/>
        <v>32398.046361347071</v>
      </c>
      <c r="M133" s="4">
        <f t="shared" si="31"/>
        <v>260381.25</v>
      </c>
      <c r="N133" s="4">
        <f t="shared" si="31"/>
        <v>712.35</v>
      </c>
      <c r="O133" s="4">
        <f t="shared" si="31"/>
        <v>832.35</v>
      </c>
      <c r="P133" s="4">
        <f t="shared" si="31"/>
        <v>1184.7</v>
      </c>
    </row>
    <row r="134" spans="2:16" x14ac:dyDescent="0.25">
      <c r="C134">
        <v>3</v>
      </c>
      <c r="D134" s="4">
        <f t="shared" ref="D134:D141" si="32">D133</f>
        <v>5219450.5843783366</v>
      </c>
      <c r="E134" s="4">
        <f t="shared" ref="E134:E141" si="33">E133</f>
        <v>6185530.6041593039</v>
      </c>
      <c r="F134" s="4">
        <f t="shared" ref="F134:F141" si="34">F133</f>
        <v>3245519.539927383</v>
      </c>
      <c r="G134" s="4">
        <f t="shared" ref="G134:G141" si="35">G133</f>
        <v>3800306.7961792136</v>
      </c>
      <c r="H134" s="4">
        <f t="shared" ref="H134:H141" si="36">H133</f>
        <v>1825408.1639226959</v>
      </c>
      <c r="I134" s="4">
        <f t="shared" ref="I134:I141" si="37">I133</f>
        <v>6012252.2468697121</v>
      </c>
      <c r="J134" s="4">
        <f t="shared" ref="J134:J141" si="38">J133</f>
        <v>1852189.1797142082</v>
      </c>
      <c r="K134" s="4">
        <f t="shared" ref="K134:K141" si="39">K133</f>
        <v>51571.075639238763</v>
      </c>
      <c r="L134" s="4">
        <f t="shared" ref="L134:L141" si="40">L133</f>
        <v>32398.046361347071</v>
      </c>
      <c r="M134" s="4">
        <f t="shared" ref="M134:M141" si="41">M133</f>
        <v>260381.25</v>
      </c>
      <c r="N134" s="4">
        <f t="shared" ref="N134:N141" si="42">N133</f>
        <v>712.35</v>
      </c>
      <c r="O134" s="4">
        <f t="shared" ref="O134:O141" si="43">O133</f>
        <v>832.35</v>
      </c>
      <c r="P134" s="4">
        <f t="shared" ref="P134:P141" si="44">P133</f>
        <v>1184.7</v>
      </c>
    </row>
    <row r="135" spans="2:16" x14ac:dyDescent="0.25">
      <c r="C135">
        <v>4</v>
      </c>
      <c r="D135" s="4">
        <f t="shared" si="32"/>
        <v>5219450.5843783366</v>
      </c>
      <c r="E135" s="4">
        <f t="shared" si="33"/>
        <v>6185530.6041593039</v>
      </c>
      <c r="F135" s="4">
        <f t="shared" si="34"/>
        <v>3245519.539927383</v>
      </c>
      <c r="G135" s="4">
        <f t="shared" si="35"/>
        <v>3800306.7961792136</v>
      </c>
      <c r="H135" s="4">
        <f t="shared" si="36"/>
        <v>1825408.1639226959</v>
      </c>
      <c r="I135" s="4">
        <f t="shared" si="37"/>
        <v>6012252.2468697121</v>
      </c>
      <c r="J135" s="4">
        <f t="shared" si="38"/>
        <v>1852189.1797142082</v>
      </c>
      <c r="K135" s="4">
        <f t="shared" si="39"/>
        <v>51571.075639238763</v>
      </c>
      <c r="L135" s="4">
        <f t="shared" si="40"/>
        <v>32398.046361347071</v>
      </c>
      <c r="M135" s="4">
        <f t="shared" si="41"/>
        <v>260381.25</v>
      </c>
      <c r="N135" s="4">
        <f t="shared" si="42"/>
        <v>712.35</v>
      </c>
      <c r="O135" s="4">
        <f t="shared" si="43"/>
        <v>832.35</v>
      </c>
      <c r="P135" s="4">
        <f t="shared" si="44"/>
        <v>1184.7</v>
      </c>
    </row>
    <row r="136" spans="2:16" x14ac:dyDescent="0.25">
      <c r="C136">
        <v>5</v>
      </c>
      <c r="D136" s="4">
        <f t="shared" si="32"/>
        <v>5219450.5843783366</v>
      </c>
      <c r="E136" s="4">
        <f t="shared" si="33"/>
        <v>6185530.6041593039</v>
      </c>
      <c r="F136" s="4">
        <f t="shared" si="34"/>
        <v>3245519.539927383</v>
      </c>
      <c r="G136" s="4">
        <f t="shared" si="35"/>
        <v>3800306.7961792136</v>
      </c>
      <c r="H136" s="4">
        <f t="shared" si="36"/>
        <v>1825408.1639226959</v>
      </c>
      <c r="I136" s="4">
        <f t="shared" si="37"/>
        <v>6012252.2468697121</v>
      </c>
      <c r="J136" s="4">
        <f t="shared" si="38"/>
        <v>1852189.1797142082</v>
      </c>
      <c r="K136" s="4">
        <f t="shared" si="39"/>
        <v>51571.075639238763</v>
      </c>
      <c r="L136" s="4">
        <f t="shared" si="40"/>
        <v>32398.046361347071</v>
      </c>
      <c r="M136" s="4">
        <f t="shared" si="41"/>
        <v>260381.25</v>
      </c>
      <c r="N136" s="4">
        <f t="shared" si="42"/>
        <v>712.35</v>
      </c>
      <c r="O136" s="4">
        <f t="shared" si="43"/>
        <v>832.35</v>
      </c>
      <c r="P136" s="4">
        <f t="shared" si="44"/>
        <v>1184.7</v>
      </c>
    </row>
    <row r="137" spans="2:16" x14ac:dyDescent="0.25">
      <c r="C137">
        <v>6</v>
      </c>
      <c r="D137" s="4">
        <f t="shared" si="32"/>
        <v>5219450.5843783366</v>
      </c>
      <c r="E137" s="4">
        <f t="shared" si="33"/>
        <v>6185530.6041593039</v>
      </c>
      <c r="F137" s="4">
        <f t="shared" si="34"/>
        <v>3245519.539927383</v>
      </c>
      <c r="G137" s="4">
        <f t="shared" si="35"/>
        <v>3800306.7961792136</v>
      </c>
      <c r="H137" s="4">
        <f t="shared" si="36"/>
        <v>1825408.1639226959</v>
      </c>
      <c r="I137" s="4">
        <f t="shared" si="37"/>
        <v>6012252.2468697121</v>
      </c>
      <c r="J137" s="4">
        <f t="shared" si="38"/>
        <v>1852189.1797142082</v>
      </c>
      <c r="K137" s="4">
        <f t="shared" si="39"/>
        <v>51571.075639238763</v>
      </c>
      <c r="L137" s="4">
        <f t="shared" si="40"/>
        <v>32398.046361347071</v>
      </c>
      <c r="M137" s="4">
        <f t="shared" si="41"/>
        <v>260381.25</v>
      </c>
      <c r="N137" s="4">
        <f t="shared" si="42"/>
        <v>712.35</v>
      </c>
      <c r="O137" s="4">
        <f t="shared" si="43"/>
        <v>832.35</v>
      </c>
      <c r="P137" s="4">
        <f t="shared" si="44"/>
        <v>1184.7</v>
      </c>
    </row>
    <row r="138" spans="2:16" x14ac:dyDescent="0.25">
      <c r="C138">
        <v>7</v>
      </c>
      <c r="D138" s="4">
        <f t="shared" si="32"/>
        <v>5219450.5843783366</v>
      </c>
      <c r="E138" s="4">
        <f t="shared" si="33"/>
        <v>6185530.6041593039</v>
      </c>
      <c r="F138" s="4">
        <f t="shared" si="34"/>
        <v>3245519.539927383</v>
      </c>
      <c r="G138" s="4">
        <f t="shared" si="35"/>
        <v>3800306.7961792136</v>
      </c>
      <c r="H138" s="4">
        <f t="shared" si="36"/>
        <v>1825408.1639226959</v>
      </c>
      <c r="I138" s="4">
        <f t="shared" si="37"/>
        <v>6012252.2468697121</v>
      </c>
      <c r="J138" s="4">
        <f t="shared" si="38"/>
        <v>1852189.1797142082</v>
      </c>
      <c r="K138" s="4">
        <f t="shared" si="39"/>
        <v>51571.075639238763</v>
      </c>
      <c r="L138" s="4">
        <f t="shared" si="40"/>
        <v>32398.046361347071</v>
      </c>
      <c r="M138" s="4">
        <f t="shared" si="41"/>
        <v>260381.25</v>
      </c>
      <c r="N138" s="4">
        <f t="shared" si="42"/>
        <v>712.35</v>
      </c>
      <c r="O138" s="4">
        <f t="shared" si="43"/>
        <v>832.35</v>
      </c>
      <c r="P138" s="4">
        <f t="shared" si="44"/>
        <v>1184.7</v>
      </c>
    </row>
    <row r="139" spans="2:16" x14ac:dyDescent="0.25">
      <c r="C139">
        <v>8</v>
      </c>
      <c r="D139" s="4">
        <f t="shared" si="32"/>
        <v>5219450.5843783366</v>
      </c>
      <c r="E139" s="4">
        <f t="shared" si="33"/>
        <v>6185530.6041593039</v>
      </c>
      <c r="F139" s="4">
        <f t="shared" si="34"/>
        <v>3245519.539927383</v>
      </c>
      <c r="G139" s="4">
        <f t="shared" si="35"/>
        <v>3800306.7961792136</v>
      </c>
      <c r="H139" s="4">
        <f t="shared" si="36"/>
        <v>1825408.1639226959</v>
      </c>
      <c r="I139" s="4">
        <f t="shared" si="37"/>
        <v>6012252.2468697121</v>
      </c>
      <c r="J139" s="4">
        <f t="shared" si="38"/>
        <v>1852189.1797142082</v>
      </c>
      <c r="K139" s="4">
        <f t="shared" si="39"/>
        <v>51571.075639238763</v>
      </c>
      <c r="L139" s="4">
        <f t="shared" si="40"/>
        <v>32398.046361347071</v>
      </c>
      <c r="M139" s="4">
        <f t="shared" si="41"/>
        <v>260381.25</v>
      </c>
      <c r="N139" s="4">
        <f t="shared" si="42"/>
        <v>712.35</v>
      </c>
      <c r="O139" s="4">
        <f t="shared" si="43"/>
        <v>832.35</v>
      </c>
      <c r="P139" s="4">
        <f t="shared" si="44"/>
        <v>1184.7</v>
      </c>
    </row>
    <row r="140" spans="2:16" x14ac:dyDescent="0.25">
      <c r="C140">
        <v>9</v>
      </c>
      <c r="D140" s="4">
        <f t="shared" si="32"/>
        <v>5219450.5843783366</v>
      </c>
      <c r="E140" s="4">
        <f t="shared" si="33"/>
        <v>6185530.6041593039</v>
      </c>
      <c r="F140" s="4">
        <f t="shared" si="34"/>
        <v>3245519.539927383</v>
      </c>
      <c r="G140" s="4">
        <f t="shared" si="35"/>
        <v>3800306.7961792136</v>
      </c>
      <c r="H140" s="4">
        <f t="shared" si="36"/>
        <v>1825408.1639226959</v>
      </c>
      <c r="I140" s="4">
        <f t="shared" si="37"/>
        <v>6012252.2468697121</v>
      </c>
      <c r="J140" s="4">
        <f t="shared" si="38"/>
        <v>1852189.1797142082</v>
      </c>
      <c r="K140" s="4">
        <f t="shared" si="39"/>
        <v>51571.075639238763</v>
      </c>
      <c r="L140" s="4">
        <f t="shared" si="40"/>
        <v>32398.046361347071</v>
      </c>
      <c r="M140" s="4">
        <f t="shared" si="41"/>
        <v>260381.25</v>
      </c>
      <c r="N140" s="4">
        <f t="shared" si="42"/>
        <v>712.35</v>
      </c>
      <c r="O140" s="4">
        <f t="shared" si="43"/>
        <v>832.35</v>
      </c>
      <c r="P140" s="4">
        <f t="shared" si="44"/>
        <v>1184.7</v>
      </c>
    </row>
    <row r="141" spans="2:16" x14ac:dyDescent="0.25">
      <c r="C141">
        <v>10</v>
      </c>
      <c r="D141" s="4">
        <f t="shared" si="32"/>
        <v>5219450.5843783366</v>
      </c>
      <c r="E141" s="4">
        <f t="shared" si="33"/>
        <v>6185530.6041593039</v>
      </c>
      <c r="F141" s="4">
        <f t="shared" si="34"/>
        <v>3245519.539927383</v>
      </c>
      <c r="G141" s="4">
        <f t="shared" si="35"/>
        <v>3800306.7961792136</v>
      </c>
      <c r="H141" s="4">
        <f t="shared" si="36"/>
        <v>1825408.1639226959</v>
      </c>
      <c r="I141" s="4">
        <f t="shared" si="37"/>
        <v>6012252.2468697121</v>
      </c>
      <c r="J141" s="4">
        <f t="shared" si="38"/>
        <v>1852189.1797142082</v>
      </c>
      <c r="K141" s="4">
        <f t="shared" si="39"/>
        <v>51571.075639238763</v>
      </c>
      <c r="L141" s="4">
        <f t="shared" si="40"/>
        <v>32398.046361347071</v>
      </c>
      <c r="M141" s="4">
        <f t="shared" si="41"/>
        <v>260381.25</v>
      </c>
      <c r="N141" s="4">
        <f t="shared" si="42"/>
        <v>712.35</v>
      </c>
      <c r="O141" s="4">
        <f t="shared" si="43"/>
        <v>832.35</v>
      </c>
      <c r="P141" s="4">
        <f t="shared" si="44"/>
        <v>1184.7</v>
      </c>
    </row>
    <row r="142" spans="2:16" x14ac:dyDescent="0.25">
      <c r="C142" t="s">
        <v>109</v>
      </c>
      <c r="D142" s="4">
        <f>NPV(5%,D132:D141)+D131</f>
        <v>32976911.988548279</v>
      </c>
      <c r="E142" s="4">
        <f t="shared" ref="E142:P142" si="45">NPV(5%,E132:E141)+E131</f>
        <v>39045632.671678528</v>
      </c>
      <c r="F142" s="4">
        <f t="shared" si="45"/>
        <v>20648169.694809087</v>
      </c>
      <c r="G142" s="4">
        <f t="shared" si="45"/>
        <v>23881347.329675458</v>
      </c>
      <c r="H142" s="4">
        <f t="shared" si="45"/>
        <v>11551316.779380996</v>
      </c>
      <c r="I142" s="4">
        <f t="shared" si="45"/>
        <v>30973966.427723713</v>
      </c>
      <c r="J142" s="4">
        <f t="shared" si="45"/>
        <v>9275176.9344573617</v>
      </c>
      <c r="K142" s="4">
        <f t="shared" si="45"/>
        <v>312669.67609914177</v>
      </c>
      <c r="L142" s="4">
        <f t="shared" si="45"/>
        <v>194787.82622576255</v>
      </c>
      <c r="M142" s="4">
        <f t="shared" si="45"/>
        <v>1087718.4930298026</v>
      </c>
      <c r="N142" s="4">
        <f t="shared" si="45"/>
        <v>3552.3278768048003</v>
      </c>
      <c r="O142" s="4">
        <f t="shared" si="45"/>
        <v>4341.4360683069772</v>
      </c>
      <c r="P142" s="4">
        <f t="shared" si="45"/>
        <v>5141.4393706052469</v>
      </c>
    </row>
    <row r="143" spans="2:16" x14ac:dyDescent="0.25">
      <c r="C143" t="s">
        <v>111</v>
      </c>
      <c r="D143" s="3">
        <f>IRR(D131:D141)</f>
        <v>0.70907572509869254</v>
      </c>
      <c r="E143" s="3">
        <f t="shared" ref="E143:P143" si="46">IRR(E131:E141)</f>
        <v>0.7061673232304515</v>
      </c>
      <c r="F143" s="3">
        <f t="shared" si="46"/>
        <v>0.73244682019246499</v>
      </c>
      <c r="G143" s="3">
        <f t="shared" si="46"/>
        <v>0.69194844608441586</v>
      </c>
      <c r="H143" s="3">
        <f t="shared" si="46"/>
        <v>0.71426034574152264</v>
      </c>
      <c r="I143" s="3">
        <f t="shared" si="46"/>
        <v>0.37274055372767956</v>
      </c>
      <c r="J143" s="3">
        <f t="shared" si="46"/>
        <v>0.350147889375789</v>
      </c>
      <c r="K143" s="3">
        <f t="shared" si="46"/>
        <v>0.59725072092314102</v>
      </c>
      <c r="L143" s="3">
        <f t="shared" si="46"/>
        <v>0.57892481621616576</v>
      </c>
      <c r="M143" s="3">
        <f t="shared" si="46"/>
        <v>0.2524286545143406</v>
      </c>
      <c r="N143" s="3">
        <f t="shared" si="46"/>
        <v>0.34704852593957747</v>
      </c>
      <c r="O143" s="3">
        <f t="shared" si="46"/>
        <v>0.38353627237534038</v>
      </c>
      <c r="P143" s="3">
        <f t="shared" si="46"/>
        <v>0.26822262267047692</v>
      </c>
    </row>
    <row r="147" spans="2:17" x14ac:dyDescent="0.25">
      <c r="C147" t="s">
        <v>114</v>
      </c>
    </row>
    <row r="148" spans="2:17" x14ac:dyDescent="0.25">
      <c r="B148" t="s">
        <v>109</v>
      </c>
      <c r="D148" t="s">
        <v>4</v>
      </c>
      <c r="E148" t="s">
        <v>5</v>
      </c>
      <c r="F148" t="s">
        <v>46</v>
      </c>
      <c r="G148" t="s">
        <v>47</v>
      </c>
      <c r="H148" t="s">
        <v>48</v>
      </c>
      <c r="I148" t="s">
        <v>6</v>
      </c>
      <c r="J148" t="s">
        <v>7</v>
      </c>
      <c r="K148" t="s">
        <v>8</v>
      </c>
      <c r="L148" t="s">
        <v>49</v>
      </c>
      <c r="M148" t="s">
        <v>9</v>
      </c>
      <c r="N148" t="s">
        <v>10</v>
      </c>
      <c r="O148" t="s">
        <v>11</v>
      </c>
      <c r="P148" t="s">
        <v>12</v>
      </c>
    </row>
    <row r="149" spans="2:17" x14ac:dyDescent="0.25">
      <c r="C149" t="s">
        <v>110</v>
      </c>
      <c r="D149" s="4">
        <f>D62*-1</f>
        <v>-38307910.600000001</v>
      </c>
      <c r="E149" s="4">
        <f t="shared" ref="E149:P149" si="47">E62*-1</f>
        <v>-48999907.200000003</v>
      </c>
      <c r="F149" s="4">
        <f t="shared" si="47"/>
        <v>-85979866.599999994</v>
      </c>
      <c r="G149" s="4">
        <f t="shared" si="47"/>
        <v>-69696300.200000003</v>
      </c>
      <c r="H149" s="4">
        <f t="shared" si="47"/>
        <v>-24573314.199999999</v>
      </c>
      <c r="I149" s="4">
        <f t="shared" si="47"/>
        <v>-1058134.6000000001</v>
      </c>
      <c r="J149" s="4">
        <f t="shared" si="47"/>
        <v>-326386.3</v>
      </c>
      <c r="K149" s="4">
        <f t="shared" si="47"/>
        <v>-6051.65</v>
      </c>
      <c r="L149" s="4">
        <f t="shared" si="47"/>
        <v>-51933.2</v>
      </c>
      <c r="M149" s="4">
        <f t="shared" si="47"/>
        <v>-44673.2</v>
      </c>
      <c r="N149" s="4">
        <f t="shared" si="47"/>
        <v>-440.15000000000003</v>
      </c>
      <c r="O149" s="4">
        <f t="shared" si="47"/>
        <v>-440.15000000000003</v>
      </c>
      <c r="P149" s="4">
        <f t="shared" si="47"/>
        <v>-440.15000000000003</v>
      </c>
    </row>
    <row r="150" spans="2:17" x14ac:dyDescent="0.25">
      <c r="C150">
        <v>1</v>
      </c>
      <c r="D150" s="4">
        <f>D113-D100</f>
        <v>5034924.1775784427</v>
      </c>
      <c r="E150" s="4">
        <f t="shared" ref="E150:P150" si="48">E113-E100</f>
        <v>5947192.3253468554</v>
      </c>
      <c r="F150" s="4">
        <f t="shared" si="48"/>
        <v>2791478.9218790513</v>
      </c>
      <c r="G150" s="4">
        <f t="shared" si="48"/>
        <v>3437765.1887501837</v>
      </c>
      <c r="H150" s="4">
        <f t="shared" si="48"/>
        <v>1699875.7129372179</v>
      </c>
      <c r="I150" s="4">
        <f t="shared" si="48"/>
        <v>6093538.45253185</v>
      </c>
      <c r="J150" s="4">
        <f t="shared" si="48"/>
        <v>1877225.5385286487</v>
      </c>
      <c r="K150" s="4">
        <f t="shared" si="48"/>
        <v>51995.739879689798</v>
      </c>
      <c r="L150" s="4">
        <f t="shared" si="48"/>
        <v>32137.519037518352</v>
      </c>
      <c r="M150" s="4">
        <f t="shared" si="48"/>
        <v>263413.2</v>
      </c>
      <c r="N150" s="4">
        <f t="shared" si="48"/>
        <v>714.9</v>
      </c>
      <c r="O150" s="4">
        <f t="shared" si="48"/>
        <v>834.9</v>
      </c>
      <c r="P150" s="4">
        <f t="shared" si="48"/>
        <v>1194.9000000000001</v>
      </c>
      <c r="Q150" s="4"/>
    </row>
    <row r="151" spans="2:17" x14ac:dyDescent="0.25">
      <c r="C151">
        <v>2</v>
      </c>
      <c r="D151" s="4">
        <f>D150</f>
        <v>5034924.1775784427</v>
      </c>
      <c r="E151" s="4">
        <f t="shared" ref="E151:P154" si="49">E150</f>
        <v>5947192.3253468554</v>
      </c>
      <c r="F151" s="4">
        <f t="shared" si="49"/>
        <v>2791478.9218790513</v>
      </c>
      <c r="G151" s="4">
        <f t="shared" si="49"/>
        <v>3437765.1887501837</v>
      </c>
      <c r="H151" s="4">
        <f t="shared" si="49"/>
        <v>1699875.7129372179</v>
      </c>
      <c r="I151" s="4">
        <f t="shared" si="49"/>
        <v>6093538.45253185</v>
      </c>
      <c r="J151" s="4">
        <f t="shared" si="49"/>
        <v>1877225.5385286487</v>
      </c>
      <c r="K151" s="4">
        <f t="shared" si="49"/>
        <v>51995.739879689798</v>
      </c>
      <c r="L151" s="4">
        <f t="shared" si="49"/>
        <v>32137.519037518352</v>
      </c>
      <c r="M151" s="4">
        <f t="shared" si="49"/>
        <v>263413.2</v>
      </c>
      <c r="N151" s="4">
        <f t="shared" si="49"/>
        <v>714.9</v>
      </c>
      <c r="O151" s="4">
        <f t="shared" si="49"/>
        <v>834.9</v>
      </c>
      <c r="P151" s="4">
        <f t="shared" si="49"/>
        <v>1194.9000000000001</v>
      </c>
    </row>
    <row r="152" spans="2:17" x14ac:dyDescent="0.25">
      <c r="C152">
        <v>3</v>
      </c>
      <c r="D152" s="4">
        <f t="shared" ref="D152:D154" si="50">D151</f>
        <v>5034924.1775784427</v>
      </c>
      <c r="E152" s="4">
        <f t="shared" si="49"/>
        <v>5947192.3253468554</v>
      </c>
      <c r="F152" s="4">
        <f t="shared" si="49"/>
        <v>2791478.9218790513</v>
      </c>
      <c r="G152" s="4">
        <f t="shared" si="49"/>
        <v>3437765.1887501837</v>
      </c>
      <c r="H152" s="4">
        <f t="shared" si="49"/>
        <v>1699875.7129372179</v>
      </c>
      <c r="I152" s="4">
        <f t="shared" si="49"/>
        <v>6093538.45253185</v>
      </c>
      <c r="J152" s="4">
        <f t="shared" si="49"/>
        <v>1877225.5385286487</v>
      </c>
      <c r="K152" s="4">
        <f t="shared" si="49"/>
        <v>51995.739879689798</v>
      </c>
      <c r="L152" s="4">
        <f t="shared" si="49"/>
        <v>32137.519037518352</v>
      </c>
      <c r="M152" s="4">
        <f t="shared" si="49"/>
        <v>263413.2</v>
      </c>
      <c r="N152" s="4">
        <f t="shared" si="49"/>
        <v>714.9</v>
      </c>
      <c r="O152" s="4">
        <f t="shared" si="49"/>
        <v>834.9</v>
      </c>
      <c r="P152" s="4">
        <f t="shared" si="49"/>
        <v>1194.9000000000001</v>
      </c>
    </row>
    <row r="153" spans="2:17" x14ac:dyDescent="0.25">
      <c r="C153">
        <v>4</v>
      </c>
      <c r="D153" s="4">
        <f t="shared" si="50"/>
        <v>5034924.1775784427</v>
      </c>
      <c r="E153" s="4">
        <f t="shared" si="49"/>
        <v>5947192.3253468554</v>
      </c>
      <c r="F153" s="4">
        <f t="shared" si="49"/>
        <v>2791478.9218790513</v>
      </c>
      <c r="G153" s="4">
        <f t="shared" si="49"/>
        <v>3437765.1887501837</v>
      </c>
      <c r="H153" s="4">
        <f t="shared" si="49"/>
        <v>1699875.7129372179</v>
      </c>
      <c r="I153" s="4">
        <f t="shared" si="49"/>
        <v>6093538.45253185</v>
      </c>
      <c r="J153" s="4">
        <f t="shared" si="49"/>
        <v>1877225.5385286487</v>
      </c>
      <c r="K153" s="4">
        <f t="shared" si="49"/>
        <v>51995.739879689798</v>
      </c>
      <c r="L153" s="4">
        <f t="shared" si="49"/>
        <v>32137.519037518352</v>
      </c>
      <c r="M153" s="4">
        <f t="shared" si="49"/>
        <v>263413.2</v>
      </c>
      <c r="N153" s="4">
        <f t="shared" si="49"/>
        <v>714.9</v>
      </c>
      <c r="O153" s="4">
        <f t="shared" si="49"/>
        <v>834.9</v>
      </c>
      <c r="P153" s="4">
        <f t="shared" si="49"/>
        <v>1194.9000000000001</v>
      </c>
    </row>
    <row r="154" spans="2:17" x14ac:dyDescent="0.25">
      <c r="C154">
        <v>5</v>
      </c>
      <c r="D154" s="4">
        <f t="shared" si="50"/>
        <v>5034924.1775784427</v>
      </c>
      <c r="E154" s="4">
        <f t="shared" si="49"/>
        <v>5947192.3253468554</v>
      </c>
      <c r="F154" s="4">
        <f t="shared" si="49"/>
        <v>2791478.9218790513</v>
      </c>
      <c r="G154" s="4">
        <f t="shared" si="49"/>
        <v>3437765.1887501837</v>
      </c>
      <c r="H154" s="4">
        <f t="shared" si="49"/>
        <v>1699875.7129372179</v>
      </c>
      <c r="I154" s="4">
        <f t="shared" si="49"/>
        <v>6093538.45253185</v>
      </c>
      <c r="J154" s="4">
        <f t="shared" si="49"/>
        <v>1877225.5385286487</v>
      </c>
      <c r="K154" s="4">
        <f t="shared" si="49"/>
        <v>51995.739879689798</v>
      </c>
      <c r="L154" s="4">
        <f t="shared" si="49"/>
        <v>32137.519037518352</v>
      </c>
      <c r="M154" s="4">
        <f t="shared" si="49"/>
        <v>263413.2</v>
      </c>
      <c r="N154" s="4">
        <f t="shared" si="49"/>
        <v>714.9</v>
      </c>
      <c r="O154" s="4">
        <f t="shared" si="49"/>
        <v>834.9</v>
      </c>
      <c r="P154" s="4">
        <f t="shared" si="49"/>
        <v>1194.9000000000001</v>
      </c>
    </row>
    <row r="155" spans="2:17" x14ac:dyDescent="0.25">
      <c r="C155" t="s">
        <v>109</v>
      </c>
      <c r="D155" s="4">
        <f>NPV(5%,D150:D154)+D149</f>
        <v>-16509323.834779073</v>
      </c>
      <c r="E155" s="4">
        <f t="shared" ref="E155:P155" si="51">NPV(5%,E150:E154)+E149</f>
        <v>-23251676.771656141</v>
      </c>
      <c r="F155" s="4">
        <f t="shared" si="51"/>
        <v>-73894223.731166974</v>
      </c>
      <c r="G155" s="4">
        <f t="shared" si="51"/>
        <v>-54812576.016199328</v>
      </c>
      <c r="H155" s="4">
        <f t="shared" si="51"/>
        <v>-17213741.957866386</v>
      </c>
      <c r="I155" s="4">
        <f t="shared" si="51"/>
        <v>25323697.971828461</v>
      </c>
      <c r="J155" s="4">
        <f t="shared" si="51"/>
        <v>7801017.8745721597</v>
      </c>
      <c r="K155" s="4">
        <f t="shared" si="51"/>
        <v>219062.69278130546</v>
      </c>
      <c r="L155" s="4">
        <f t="shared" si="51"/>
        <v>87205.438924889531</v>
      </c>
      <c r="M155" s="4">
        <f t="shared" si="51"/>
        <v>1095768.1041362099</v>
      </c>
      <c r="N155" s="4">
        <f t="shared" si="51"/>
        <v>2654.992871833972</v>
      </c>
      <c r="O155" s="4">
        <f t="shared" si="51"/>
        <v>3174.5300723096707</v>
      </c>
      <c r="P155" s="4">
        <f t="shared" si="51"/>
        <v>4733.1416737367672</v>
      </c>
    </row>
    <row r="156" spans="2:17" x14ac:dyDescent="0.25">
      <c r="C156" t="s">
        <v>111</v>
      </c>
      <c r="D156" s="3">
        <f>IRR(D149:D154)</f>
        <v>-0.12539210056043426</v>
      </c>
      <c r="E156" s="3">
        <f t="shared" ref="E156:P156" si="52">IRR(E149:E154)</f>
        <v>-0.1463128281907895</v>
      </c>
      <c r="F156" s="3">
        <f t="shared" si="52"/>
        <v>-0.4057865150599026</v>
      </c>
      <c r="G156" s="3">
        <f t="shared" si="52"/>
        <v>-0.33767506633099342</v>
      </c>
      <c r="H156" s="3">
        <f t="shared" si="52"/>
        <v>-0.27414262097829023</v>
      </c>
      <c r="I156" s="3">
        <f t="shared" si="52"/>
        <v>5.7583470667209768</v>
      </c>
      <c r="J156" s="3">
        <f t="shared" si="52"/>
        <v>5.7511350328774284</v>
      </c>
      <c r="K156" s="3">
        <f t="shared" si="52"/>
        <v>8.5918880777432829</v>
      </c>
      <c r="L156" s="3">
        <f t="shared" si="52"/>
        <v>0.5495565728326508</v>
      </c>
      <c r="M156" s="3">
        <f t="shared" si="52"/>
        <v>5.8960699035483888</v>
      </c>
      <c r="N156" s="3">
        <f t="shared" si="52"/>
        <v>1.6108299066400402</v>
      </c>
      <c r="O156" s="3">
        <f t="shared" si="52"/>
        <v>1.8874019147516958</v>
      </c>
      <c r="P156" s="3">
        <f t="shared" si="52"/>
        <v>2.7108985710346958</v>
      </c>
    </row>
    <row r="162" spans="3:6" x14ac:dyDescent="0.25">
      <c r="D162" t="s">
        <v>21</v>
      </c>
      <c r="E162" t="s">
        <v>22</v>
      </c>
      <c r="F162" t="s">
        <v>114</v>
      </c>
    </row>
    <row r="163" spans="3:6" x14ac:dyDescent="0.25">
      <c r="C163">
        <v>0</v>
      </c>
      <c r="D163">
        <f>0.84-(0.56*COS((2*PI()/24)*C163))</f>
        <v>0.27999999999999992</v>
      </c>
      <c r="E163">
        <f>2.19-(1.31*COS((2*PI()/24)*C163))</f>
        <v>0.87999999999999989</v>
      </c>
      <c r="F163">
        <f>2.99-(2.66*COS((2*PI()/24)*C163))</f>
        <v>0.33000000000000007</v>
      </c>
    </row>
    <row r="164" spans="3:6" x14ac:dyDescent="0.25">
      <c r="C164">
        <v>1</v>
      </c>
      <c r="D164">
        <f t="shared" ref="D164:D187" si="53">0.84-(0.56*COS((2*PI()/24)*C164))</f>
        <v>0.2990815372781217</v>
      </c>
      <c r="E164">
        <f t="shared" ref="E164:E187" si="54">2.19-(1.31*COS((2*PI()/24)*C164))</f>
        <v>0.92463716756132031</v>
      </c>
      <c r="F164">
        <f t="shared" ref="F164:F187" si="55">2.99-(2.66*COS((2*PI()/24)*C164))</f>
        <v>0.42063730207107852</v>
      </c>
    </row>
    <row r="165" spans="3:6" x14ac:dyDescent="0.25">
      <c r="C165">
        <v>2</v>
      </c>
      <c r="D165">
        <f t="shared" si="53"/>
        <v>0.35502577388071427</v>
      </c>
      <c r="E165">
        <f t="shared" si="54"/>
        <v>1.0555067210423852</v>
      </c>
      <c r="F165">
        <f t="shared" si="55"/>
        <v>0.68637242593339298</v>
      </c>
    </row>
    <row r="166" spans="3:6" x14ac:dyDescent="0.25">
      <c r="C166">
        <v>3</v>
      </c>
      <c r="D166">
        <f t="shared" si="53"/>
        <v>0.44402020253553331</v>
      </c>
      <c r="E166">
        <f t="shared" si="54"/>
        <v>1.2636901166456225</v>
      </c>
      <c r="F166">
        <f t="shared" si="55"/>
        <v>1.1090959620437835</v>
      </c>
    </row>
    <row r="167" spans="3:6" x14ac:dyDescent="0.25">
      <c r="C167">
        <v>4</v>
      </c>
      <c r="D167">
        <f t="shared" si="53"/>
        <v>0.55999999999999983</v>
      </c>
      <c r="E167">
        <f t="shared" si="54"/>
        <v>1.5349999999999997</v>
      </c>
      <c r="F167">
        <f t="shared" si="55"/>
        <v>1.66</v>
      </c>
    </row>
    <row r="168" spans="3:6" x14ac:dyDescent="0.25">
      <c r="C168">
        <v>5</v>
      </c>
      <c r="D168">
        <f t="shared" si="53"/>
        <v>0.69506133474258824</v>
      </c>
      <c r="E168">
        <f t="shared" si="54"/>
        <v>1.8509470509156976</v>
      </c>
      <c r="F168">
        <f t="shared" si="55"/>
        <v>2.3015413400272946</v>
      </c>
    </row>
    <row r="169" spans="3:6" x14ac:dyDescent="0.25">
      <c r="C169">
        <v>6</v>
      </c>
      <c r="D169">
        <f t="shared" si="53"/>
        <v>0.84</v>
      </c>
      <c r="E169">
        <f t="shared" si="54"/>
        <v>2.19</v>
      </c>
      <c r="F169">
        <f t="shared" si="55"/>
        <v>2.99</v>
      </c>
    </row>
    <row r="170" spans="3:6" x14ac:dyDescent="0.25">
      <c r="C170">
        <v>7</v>
      </c>
      <c r="D170">
        <f t="shared" si="53"/>
        <v>0.98493866525741147</v>
      </c>
      <c r="E170">
        <f t="shared" si="54"/>
        <v>2.5290529490843019</v>
      </c>
      <c r="F170">
        <f t="shared" si="55"/>
        <v>3.6784586599727049</v>
      </c>
    </row>
    <row r="171" spans="3:6" x14ac:dyDescent="0.25">
      <c r="C171">
        <v>8</v>
      </c>
      <c r="D171">
        <f t="shared" si="53"/>
        <v>1.1199999999999999</v>
      </c>
      <c r="E171">
        <f t="shared" si="54"/>
        <v>2.8449999999999998</v>
      </c>
      <c r="F171">
        <f t="shared" si="55"/>
        <v>4.3199999999999994</v>
      </c>
    </row>
    <row r="172" spans="3:6" x14ac:dyDescent="0.25">
      <c r="C172">
        <v>9</v>
      </c>
      <c r="D172">
        <f t="shared" si="53"/>
        <v>1.2359797974644666</v>
      </c>
      <c r="E172">
        <f t="shared" si="54"/>
        <v>3.1163098833543774</v>
      </c>
      <c r="F172">
        <f t="shared" si="55"/>
        <v>4.8709040379562163</v>
      </c>
    </row>
    <row r="173" spans="3:6" x14ac:dyDescent="0.25">
      <c r="C173">
        <v>10</v>
      </c>
      <c r="D173">
        <f t="shared" si="53"/>
        <v>1.3249742261192856</v>
      </c>
      <c r="E173">
        <f t="shared" si="54"/>
        <v>3.3244932789576147</v>
      </c>
      <c r="F173">
        <f t="shared" si="55"/>
        <v>5.2936275740666066</v>
      </c>
    </row>
    <row r="174" spans="3:6" x14ac:dyDescent="0.25">
      <c r="C174">
        <v>11</v>
      </c>
      <c r="D174">
        <f t="shared" si="53"/>
        <v>1.3809184627218782</v>
      </c>
      <c r="E174">
        <f t="shared" si="54"/>
        <v>3.4553628324386794</v>
      </c>
      <c r="F174">
        <f t="shared" si="55"/>
        <v>5.5593626979289219</v>
      </c>
    </row>
    <row r="175" spans="3:6" x14ac:dyDescent="0.25">
      <c r="C175">
        <v>12</v>
      </c>
      <c r="D175">
        <f t="shared" si="53"/>
        <v>1.4</v>
      </c>
      <c r="E175">
        <f t="shared" si="54"/>
        <v>3.5</v>
      </c>
      <c r="F175">
        <f t="shared" si="55"/>
        <v>5.65</v>
      </c>
    </row>
    <row r="176" spans="3:6" x14ac:dyDescent="0.25">
      <c r="C176">
        <v>13</v>
      </c>
      <c r="D176">
        <f t="shared" si="53"/>
        <v>1.3809184627218785</v>
      </c>
      <c r="E176">
        <f t="shared" si="54"/>
        <v>3.4553628324386798</v>
      </c>
      <c r="F176">
        <f t="shared" si="55"/>
        <v>5.5593626979289219</v>
      </c>
    </row>
    <row r="177" spans="3:6" x14ac:dyDescent="0.25">
      <c r="C177">
        <v>14</v>
      </c>
      <c r="D177">
        <f t="shared" si="53"/>
        <v>1.3249742261192858</v>
      </c>
      <c r="E177">
        <f t="shared" si="54"/>
        <v>3.3244932789576147</v>
      </c>
      <c r="F177">
        <f t="shared" si="55"/>
        <v>5.2936275740666074</v>
      </c>
    </row>
    <row r="178" spans="3:6" x14ac:dyDescent="0.25">
      <c r="C178">
        <v>15</v>
      </c>
      <c r="D178">
        <f t="shared" si="53"/>
        <v>1.2359797974644668</v>
      </c>
      <c r="E178">
        <f t="shared" si="54"/>
        <v>3.1163098833543779</v>
      </c>
      <c r="F178">
        <f t="shared" si="55"/>
        <v>4.8709040379562181</v>
      </c>
    </row>
    <row r="179" spans="3:6" x14ac:dyDescent="0.25">
      <c r="C179">
        <v>16</v>
      </c>
      <c r="D179">
        <f t="shared" si="53"/>
        <v>1.1200000000000001</v>
      </c>
      <c r="E179">
        <f t="shared" si="54"/>
        <v>2.8450000000000006</v>
      </c>
      <c r="F179">
        <f t="shared" si="55"/>
        <v>4.3200000000000012</v>
      </c>
    </row>
    <row r="180" spans="3:6" x14ac:dyDescent="0.25">
      <c r="C180">
        <v>17</v>
      </c>
      <c r="D180">
        <f t="shared" si="53"/>
        <v>0.98493866525741203</v>
      </c>
      <c r="E180">
        <f t="shared" si="54"/>
        <v>2.5290529490843032</v>
      </c>
      <c r="F180">
        <f t="shared" si="55"/>
        <v>3.6784586599727076</v>
      </c>
    </row>
    <row r="181" spans="3:6" x14ac:dyDescent="0.25">
      <c r="C181">
        <v>18</v>
      </c>
      <c r="D181">
        <f t="shared" si="53"/>
        <v>0.84000000000000008</v>
      </c>
      <c r="E181">
        <f t="shared" si="54"/>
        <v>2.1900000000000004</v>
      </c>
      <c r="F181">
        <f t="shared" si="55"/>
        <v>2.9900000000000007</v>
      </c>
    </row>
    <row r="182" spans="3:6" x14ac:dyDescent="0.25">
      <c r="C182">
        <v>19</v>
      </c>
      <c r="D182">
        <f t="shared" si="53"/>
        <v>0.69506133474258858</v>
      </c>
      <c r="E182">
        <f t="shared" si="54"/>
        <v>1.8509470509156984</v>
      </c>
      <c r="F182">
        <f t="shared" si="55"/>
        <v>2.3015413400272964</v>
      </c>
    </row>
    <row r="183" spans="3:6" x14ac:dyDescent="0.25">
      <c r="C183">
        <v>20</v>
      </c>
      <c r="D183">
        <f t="shared" si="53"/>
        <v>0.56000000000000028</v>
      </c>
      <c r="E183">
        <f t="shared" si="54"/>
        <v>1.5350000000000008</v>
      </c>
      <c r="F183">
        <f t="shared" si="55"/>
        <v>1.6600000000000019</v>
      </c>
    </row>
    <row r="184" spans="3:6" x14ac:dyDescent="0.25">
      <c r="C184">
        <v>21</v>
      </c>
      <c r="D184">
        <f t="shared" si="53"/>
        <v>0.44402020253553343</v>
      </c>
      <c r="E184">
        <f t="shared" si="54"/>
        <v>1.2636901166456229</v>
      </c>
      <c r="F184">
        <f t="shared" si="55"/>
        <v>1.1090959620437841</v>
      </c>
    </row>
    <row r="185" spans="3:6" x14ac:dyDescent="0.25">
      <c r="C185">
        <v>22</v>
      </c>
      <c r="D185">
        <f t="shared" si="53"/>
        <v>0.35502577388071443</v>
      </c>
      <c r="E185">
        <f t="shared" si="54"/>
        <v>1.0555067210423856</v>
      </c>
      <c r="F185">
        <f t="shared" si="55"/>
        <v>0.68637242593339387</v>
      </c>
    </row>
    <row r="186" spans="3:6" x14ac:dyDescent="0.25">
      <c r="C186">
        <v>23</v>
      </c>
      <c r="D186">
        <f t="shared" si="53"/>
        <v>0.29908153727812181</v>
      </c>
      <c r="E186">
        <f t="shared" si="54"/>
        <v>0.92463716756132075</v>
      </c>
      <c r="F186">
        <f t="shared" si="55"/>
        <v>0.42063730207107897</v>
      </c>
    </row>
    <row r="187" spans="3:6" x14ac:dyDescent="0.25">
      <c r="C187">
        <v>24</v>
      </c>
      <c r="D187">
        <f t="shared" si="53"/>
        <v>0.27999999999999992</v>
      </c>
      <c r="E187">
        <f t="shared" si="54"/>
        <v>0.87999999999999989</v>
      </c>
      <c r="F187">
        <f t="shared" si="55"/>
        <v>0.33000000000000007</v>
      </c>
    </row>
    <row r="193" spans="1:16" x14ac:dyDescent="0.25">
      <c r="D193" t="s">
        <v>4</v>
      </c>
      <c r="E193" t="s">
        <v>5</v>
      </c>
      <c r="F193" t="s">
        <v>46</v>
      </c>
      <c r="G193" t="s">
        <v>47</v>
      </c>
      <c r="H193" t="s">
        <v>48</v>
      </c>
      <c r="I193" t="s">
        <v>6</v>
      </c>
      <c r="J193" t="s">
        <v>7</v>
      </c>
      <c r="K193" t="s">
        <v>8</v>
      </c>
      <c r="L193" t="s">
        <v>49</v>
      </c>
      <c r="M193" t="s">
        <v>9</v>
      </c>
      <c r="N193" t="s">
        <v>10</v>
      </c>
      <c r="O193" t="s">
        <v>11</v>
      </c>
      <c r="P193" t="s">
        <v>12</v>
      </c>
    </row>
    <row r="194" spans="1:16" x14ac:dyDescent="0.25">
      <c r="A194" t="s">
        <v>116</v>
      </c>
      <c r="B194" t="s">
        <v>21</v>
      </c>
      <c r="C194" t="s">
        <v>123</v>
      </c>
      <c r="D194">
        <v>6351</v>
      </c>
      <c r="E194">
        <v>7527</v>
      </c>
      <c r="F194">
        <v>3949</v>
      </c>
      <c r="G194">
        <v>4624</v>
      </c>
      <c r="H194">
        <v>2222</v>
      </c>
      <c r="I194">
        <v>23654</v>
      </c>
      <c r="J194">
        <v>7287</v>
      </c>
      <c r="K194">
        <v>127</v>
      </c>
      <c r="L194">
        <v>85</v>
      </c>
      <c r="M194">
        <v>1364</v>
      </c>
      <c r="N194">
        <v>3</v>
      </c>
      <c r="O194">
        <v>3</v>
      </c>
      <c r="P194">
        <v>5</v>
      </c>
    </row>
    <row r="195" spans="1:16" x14ac:dyDescent="0.25">
      <c r="B195" t="s">
        <v>22</v>
      </c>
      <c r="C195" t="s">
        <v>124</v>
      </c>
      <c r="D195">
        <v>2117</v>
      </c>
      <c r="E195">
        <v>2509</v>
      </c>
      <c r="F195">
        <v>1317</v>
      </c>
      <c r="G195">
        <v>1542</v>
      </c>
      <c r="H195">
        <v>741</v>
      </c>
      <c r="I195">
        <v>7885</v>
      </c>
      <c r="J195">
        <v>2429</v>
      </c>
      <c r="K195">
        <v>43</v>
      </c>
      <c r="L195">
        <v>29</v>
      </c>
      <c r="M195">
        <v>455</v>
      </c>
      <c r="N195">
        <v>1</v>
      </c>
      <c r="O195">
        <v>1</v>
      </c>
      <c r="P195">
        <v>2</v>
      </c>
    </row>
    <row r="196" spans="1:16" x14ac:dyDescent="0.25">
      <c r="B196" t="s">
        <v>114</v>
      </c>
      <c r="C196" t="s">
        <v>125</v>
      </c>
      <c r="D196">
        <v>407</v>
      </c>
      <c r="E196">
        <v>482</v>
      </c>
      <c r="F196">
        <v>253</v>
      </c>
      <c r="G196">
        <v>296</v>
      </c>
      <c r="H196">
        <v>143</v>
      </c>
      <c r="I196">
        <v>1514</v>
      </c>
      <c r="J196">
        <v>467</v>
      </c>
      <c r="K196">
        <v>9</v>
      </c>
      <c r="L196">
        <v>6</v>
      </c>
      <c r="M196">
        <v>88</v>
      </c>
      <c r="N196">
        <v>1</v>
      </c>
      <c r="O196">
        <v>1</v>
      </c>
      <c r="P196">
        <v>1</v>
      </c>
    </row>
    <row r="197" spans="1:16" x14ac:dyDescent="0.25">
      <c r="A197" t="s">
        <v>117</v>
      </c>
      <c r="B197" t="s">
        <v>21</v>
      </c>
      <c r="C197" t="s">
        <v>120</v>
      </c>
      <c r="D197">
        <v>30809</v>
      </c>
      <c r="E197">
        <v>39408</v>
      </c>
      <c r="F197">
        <v>69149</v>
      </c>
      <c r="G197">
        <v>56053</v>
      </c>
      <c r="H197">
        <v>19763</v>
      </c>
      <c r="I197">
        <v>308</v>
      </c>
      <c r="J197">
        <v>60</v>
      </c>
      <c r="K197">
        <v>11</v>
      </c>
      <c r="L197">
        <v>88</v>
      </c>
      <c r="M197">
        <v>18</v>
      </c>
      <c r="N197" t="e">
        <v>#VALUE!</v>
      </c>
      <c r="O197" t="e">
        <v>#VALUE!</v>
      </c>
      <c r="P197" t="e">
        <v>#VALUE!</v>
      </c>
    </row>
    <row r="198" spans="1:16" x14ac:dyDescent="0.25">
      <c r="B198" t="s">
        <v>22</v>
      </c>
      <c r="C198" t="s">
        <v>121</v>
      </c>
      <c r="D198">
        <v>78</v>
      </c>
      <c r="E198">
        <v>99</v>
      </c>
      <c r="F198">
        <v>173</v>
      </c>
      <c r="G198">
        <v>141</v>
      </c>
      <c r="H198">
        <v>50</v>
      </c>
      <c r="I198">
        <v>1</v>
      </c>
      <c r="J198">
        <v>1</v>
      </c>
      <c r="K198">
        <v>1</v>
      </c>
      <c r="L198">
        <v>1</v>
      </c>
      <c r="M198">
        <v>1</v>
      </c>
      <c r="N198" t="e">
        <v>#VALUE!</v>
      </c>
      <c r="O198" t="e">
        <v>#VALUE!</v>
      </c>
      <c r="P198" t="e">
        <v>#VALUE!</v>
      </c>
    </row>
    <row r="199" spans="1:16" x14ac:dyDescent="0.25">
      <c r="B199" t="s">
        <v>114</v>
      </c>
      <c r="C199" t="s">
        <v>122</v>
      </c>
      <c r="D199">
        <v>30809</v>
      </c>
      <c r="E199">
        <v>39408</v>
      </c>
      <c r="F199">
        <v>69149</v>
      </c>
      <c r="G199">
        <v>56053</v>
      </c>
      <c r="H199">
        <v>19763</v>
      </c>
      <c r="I199">
        <v>308</v>
      </c>
      <c r="J199">
        <v>60</v>
      </c>
      <c r="K199">
        <v>11</v>
      </c>
      <c r="L199">
        <v>88</v>
      </c>
      <c r="M199">
        <v>18</v>
      </c>
      <c r="N199" t="e">
        <v>#VALUE!</v>
      </c>
      <c r="O199" t="e">
        <v>#VALUE!</v>
      </c>
      <c r="P199" t="e">
        <v>#VALUE!</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Max</vt:lpstr>
    </vt:vector>
  </TitlesOfParts>
  <Company>TEMAOS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Kloniphani Maluleke</dc:creator>
  <cp:lastModifiedBy>Kloniphile Maxakadzi</cp:lastModifiedBy>
  <dcterms:created xsi:type="dcterms:W3CDTF">2018-02-22T09:19:24Z</dcterms:created>
  <dcterms:modified xsi:type="dcterms:W3CDTF">2019-11-15T04:57:26Z</dcterms:modified>
</cp:coreProperties>
</file>