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_EngEcon\CodeHub\excel\Excel 2022\08\"/>
    </mc:Choice>
  </mc:AlternateContent>
  <xr:revisionPtr revIDLastSave="0" documentId="13_ncr:1_{7C1E6234-A418-4AAA-9D23-CD70F7548572}" xr6:coauthVersionLast="36" xr6:coauthVersionMax="36" xr10:uidLastSave="{00000000-0000-0000-0000-000000000000}"/>
  <bookViews>
    <workbookView xWindow="120" yWindow="110" windowWidth="14220" windowHeight="8780" xr2:uid="{00000000-000D-0000-FFFF-FFFF00000000}"/>
  </bookViews>
  <sheets>
    <sheet name="Replacement Plans" sheetId="5" r:id="rId1"/>
    <sheet name="Defender Data" sheetId="4" r:id="rId2"/>
    <sheet name="Challenger Data" sheetId="6" r:id="rId3"/>
  </sheets>
  <calcPr calcId="191029"/>
</workbook>
</file>

<file path=xl/calcChain.xml><?xml version="1.0" encoding="utf-8"?>
<calcChain xmlns="http://schemas.openxmlformats.org/spreadsheetml/2006/main">
  <c r="B8" i="6" l="1"/>
  <c r="B9" i="4" l="1"/>
  <c r="D13" i="6" l="1"/>
  <c r="C13" i="6"/>
  <c r="F13" i="6" s="1"/>
  <c r="F13" i="5" s="1"/>
  <c r="D12" i="6"/>
  <c r="C12" i="6"/>
  <c r="F12" i="6" s="1"/>
  <c r="E13" i="5" s="1"/>
  <c r="D11" i="6"/>
  <c r="C11" i="6"/>
  <c r="F11" i="6" s="1"/>
  <c r="D13" i="5" s="1"/>
  <c r="D10" i="6"/>
  <c r="F10" i="6" s="1"/>
  <c r="C10" i="6"/>
  <c r="D9" i="6"/>
  <c r="C9" i="6"/>
  <c r="F9" i="6" s="1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C10" i="4"/>
  <c r="D10" i="4"/>
  <c r="C11" i="4"/>
  <c r="F11" i="4" s="1"/>
  <c r="C12" i="5" s="1"/>
  <c r="D11" i="4"/>
  <c r="C12" i="4"/>
  <c r="D12" i="4"/>
  <c r="F12" i="4" s="1"/>
  <c r="D12" i="5" s="1"/>
  <c r="G32" i="5" s="1"/>
  <c r="C13" i="4"/>
  <c r="D13" i="4"/>
  <c r="G10" i="6" l="1"/>
  <c r="G9" i="6"/>
  <c r="F13" i="4"/>
  <c r="E12" i="5" s="1"/>
  <c r="F10" i="4"/>
  <c r="B12" i="5" s="1"/>
  <c r="E33" i="5" s="1"/>
  <c r="G35" i="5"/>
  <c r="G31" i="5"/>
  <c r="G34" i="5"/>
  <c r="G33" i="5"/>
  <c r="H20" i="5"/>
  <c r="H21" i="5"/>
  <c r="I25" i="5"/>
  <c r="I17" i="5"/>
  <c r="J30" i="5"/>
  <c r="I26" i="5"/>
  <c r="J18" i="5"/>
  <c r="J22" i="5"/>
  <c r="G12" i="6"/>
  <c r="G11" i="6"/>
  <c r="G13" i="6"/>
  <c r="H13" i="6" s="1"/>
  <c r="C13" i="5"/>
  <c r="H24" i="5"/>
  <c r="I22" i="5"/>
  <c r="G20" i="5"/>
  <c r="J23" i="5"/>
  <c r="H25" i="5"/>
  <c r="I30" i="5"/>
  <c r="J33" i="5"/>
  <c r="H26" i="5"/>
  <c r="G19" i="5"/>
  <c r="H17" i="5"/>
  <c r="I18" i="5"/>
  <c r="G21" i="5"/>
  <c r="I29" i="5"/>
  <c r="J19" i="5"/>
  <c r="J27" i="5"/>
  <c r="F32" i="5"/>
  <c r="F31" i="5"/>
  <c r="F30" i="5"/>
  <c r="F33" i="5"/>
  <c r="F35" i="5"/>
  <c r="F29" i="5"/>
  <c r="F34" i="5"/>
  <c r="F28" i="5"/>
  <c r="F27" i="5"/>
  <c r="H34" i="5"/>
  <c r="H35" i="5"/>
  <c r="J26" i="5"/>
  <c r="J17" i="5"/>
  <c r="I21" i="5"/>
  <c r="E24" i="5"/>
  <c r="B13" i="5"/>
  <c r="H11" i="6" l="1"/>
  <c r="H12" i="6"/>
  <c r="H9" i="6"/>
  <c r="H10" i="6"/>
  <c r="E27" i="5"/>
  <c r="G15" i="6"/>
  <c r="G16" i="6" s="1"/>
  <c r="H16" i="6" s="1"/>
  <c r="E22" i="5"/>
  <c r="E31" i="5"/>
  <c r="E29" i="5"/>
  <c r="E28" i="5"/>
  <c r="E32" i="5"/>
  <c r="E35" i="5"/>
  <c r="E23" i="5"/>
  <c r="E30" i="5"/>
  <c r="E26" i="5"/>
  <c r="E25" i="5"/>
  <c r="E34" i="5"/>
  <c r="G24" i="5"/>
  <c r="G26" i="5"/>
  <c r="J28" i="5"/>
  <c r="F20" i="5"/>
  <c r="F19" i="5"/>
  <c r="H28" i="5"/>
  <c r="I23" i="5"/>
  <c r="J35" i="5"/>
  <c r="I33" i="5"/>
  <c r="J31" i="5"/>
  <c r="H30" i="5"/>
  <c r="I27" i="5"/>
  <c r="G17" i="5"/>
  <c r="I19" i="5"/>
  <c r="I32" i="5"/>
  <c r="J20" i="5"/>
  <c r="F18" i="5"/>
  <c r="G23" i="5"/>
  <c r="G25" i="5"/>
  <c r="H18" i="5"/>
  <c r="J24" i="5"/>
  <c r="H22" i="5"/>
  <c r="F21" i="5"/>
  <c r="H29" i="5"/>
  <c r="E20" i="5"/>
  <c r="G28" i="5"/>
  <c r="I34" i="5"/>
  <c r="H27" i="5"/>
  <c r="F24" i="5"/>
  <c r="E21" i="5"/>
  <c r="F17" i="5"/>
  <c r="I31" i="5"/>
  <c r="J32" i="5"/>
  <c r="G29" i="5"/>
  <c r="G18" i="5"/>
  <c r="F22" i="5"/>
  <c r="I20" i="5"/>
  <c r="G30" i="5"/>
  <c r="F25" i="5"/>
  <c r="G27" i="5"/>
  <c r="H32" i="5"/>
  <c r="E18" i="5"/>
  <c r="E19" i="5"/>
  <c r="J25" i="5"/>
  <c r="H23" i="5"/>
  <c r="G22" i="5"/>
  <c r="H33" i="5"/>
  <c r="E17" i="5"/>
  <c r="J21" i="5"/>
  <c r="F26" i="5"/>
  <c r="F23" i="5"/>
  <c r="I35" i="5"/>
  <c r="I28" i="5"/>
  <c r="J34" i="5"/>
  <c r="J29" i="5"/>
  <c r="I24" i="5"/>
  <c r="H31" i="5"/>
  <c r="H19" i="5"/>
  <c r="K28" i="5" l="1"/>
  <c r="L28" i="5" s="1"/>
  <c r="K35" i="5"/>
  <c r="L35" i="5" s="1"/>
  <c r="K34" i="5"/>
  <c r="L34" i="5" s="1"/>
  <c r="K30" i="5"/>
  <c r="L30" i="5" s="1"/>
  <c r="K22" i="5"/>
  <c r="L22" i="5" s="1"/>
  <c r="K32" i="5"/>
  <c r="K27" i="5"/>
  <c r="K24" i="5"/>
  <c r="L24" i="5" s="1"/>
  <c r="K25" i="5"/>
  <c r="L25" i="5" s="1"/>
  <c r="K33" i="5"/>
  <c r="L33" i="5" s="1"/>
  <c r="K29" i="5"/>
  <c r="L29" i="5" s="1"/>
  <c r="K31" i="5"/>
  <c r="L31" i="5" s="1"/>
  <c r="K20" i="5"/>
  <c r="L20" i="5" s="1"/>
  <c r="K23" i="5"/>
  <c r="L23" i="5" s="1"/>
  <c r="K21" i="5"/>
  <c r="L21" i="5" s="1"/>
  <c r="K19" i="5"/>
  <c r="K17" i="5"/>
  <c r="L17" i="5" s="1"/>
  <c r="K26" i="5"/>
  <c r="L26" i="5" s="1"/>
  <c r="K18" i="5"/>
  <c r="L18" i="5" s="1"/>
  <c r="M19" i="5" l="1"/>
  <c r="L19" i="5"/>
  <c r="M27" i="5"/>
  <c r="L27" i="5"/>
  <c r="M32" i="5"/>
  <c r="L32" i="5"/>
  <c r="M21" i="5"/>
  <c r="M22" i="5"/>
  <c r="M24" i="5"/>
  <c r="M31" i="5"/>
  <c r="M30" i="5"/>
  <c r="M18" i="5"/>
  <c r="M34" i="5"/>
  <c r="M20" i="5"/>
  <c r="M33" i="5"/>
  <c r="M35" i="5"/>
  <c r="M23" i="5"/>
  <c r="M29" i="5"/>
  <c r="M26" i="5"/>
  <c r="M17" i="5"/>
  <c r="M25" i="5"/>
  <c r="M28" i="5"/>
  <c r="K37" i="5"/>
  <c r="K39" i="5" s="1"/>
  <c r="K38" i="5" l="1"/>
</calcChain>
</file>

<file path=xl/sharedStrings.xml><?xml version="1.0" encoding="utf-8"?>
<sst xmlns="http://schemas.openxmlformats.org/spreadsheetml/2006/main" count="60" uniqueCount="46">
  <si>
    <t>EUAC</t>
  </si>
  <si>
    <t>(A)</t>
  </si>
  <si>
    <t>(B)</t>
  </si>
  <si>
    <t xml:space="preserve">(C) </t>
  </si>
  <si>
    <t>(D)</t>
  </si>
  <si>
    <t>(F)</t>
  </si>
  <si>
    <t>MARR</t>
  </si>
  <si>
    <t>(E)=(B)+(C)+(D)</t>
  </si>
  <si>
    <t>EoY</t>
  </si>
  <si>
    <t>MV(k)</t>
  </si>
  <si>
    <t>Loss of MV during year k</t>
  </si>
  <si>
    <t>Cost of capital = i*MV(k-1)</t>
  </si>
  <si>
    <t>Annual expenses E(k)</t>
  </si>
  <si>
    <t>Total Marginal Cost TC(k)</t>
  </si>
  <si>
    <t>k1</t>
  </si>
  <si>
    <t>k2</t>
  </si>
  <si>
    <t>k3</t>
  </si>
  <si>
    <t>Defender</t>
  </si>
  <si>
    <t>TC1</t>
  </si>
  <si>
    <t>TC2</t>
  </si>
  <si>
    <t>TC3</t>
  </si>
  <si>
    <t>TC4</t>
  </si>
  <si>
    <t>Challenger</t>
  </si>
  <si>
    <t>TC5</t>
  </si>
  <si>
    <t>infinity</t>
  </si>
  <si>
    <t>C1</t>
  </si>
  <si>
    <t>C2</t>
  </si>
  <si>
    <t>D</t>
  </si>
  <si>
    <t>Marginal Cost for the year</t>
  </si>
  <si>
    <t>Plan</t>
  </si>
  <si>
    <t>Min EUAC</t>
  </si>
  <si>
    <t>Econ Life</t>
  </si>
  <si>
    <t>Current MV of Defender</t>
  </si>
  <si>
    <t>Opportunity Cost Approach</t>
  </si>
  <si>
    <t>EPC</t>
  </si>
  <si>
    <t>Study Period (years)</t>
  </si>
  <si>
    <t xml:space="preserve">Optimal Plan number = </t>
  </si>
  <si>
    <t>Current MV</t>
  </si>
  <si>
    <t>Opportunity Cost Approach: MV0 of defender is included</t>
  </si>
  <si>
    <t>Defender TC(k) Values</t>
  </si>
  <si>
    <t>Initial Cost</t>
  </si>
  <si>
    <t>Challenger's Optimal EUAC</t>
  </si>
  <si>
    <t>Min EPC (Opportunity Cost)=</t>
  </si>
  <si>
    <t>Optimal EUAC (Cash Flows) =</t>
  </si>
  <si>
    <t>8.5  Optimal Replacement Time for Existing Assets (Defender)</t>
  </si>
  <si>
    <t>8.5.1 Optimal Replacement Time under Finite Planning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</si>
</sst>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16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i/>
      <sz val="12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43" fontId="2" fillId="2" borderId="1" xfId="1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43" fontId="2" fillId="4" borderId="1" xfId="1" applyFont="1" applyFill="1" applyBorder="1"/>
    <xf numFmtId="0" fontId="2" fillId="4" borderId="1" xfId="0" applyFont="1" applyFill="1" applyBorder="1"/>
    <xf numFmtId="43" fontId="2" fillId="3" borderId="1" xfId="1" applyFont="1" applyFill="1" applyBorder="1"/>
    <xf numFmtId="43" fontId="2" fillId="3" borderId="1" xfId="0" applyNumberFormat="1" applyFont="1" applyFill="1" applyBorder="1"/>
    <xf numFmtId="0" fontId="2" fillId="0" borderId="0" xfId="5" applyFont="1"/>
    <xf numFmtId="0" fontId="5" fillId="0" borderId="0" xfId="5"/>
    <xf numFmtId="0" fontId="2" fillId="0" borderId="0" xfId="5" applyFont="1" applyAlignment="1">
      <alignment horizontal="center"/>
    </xf>
    <xf numFmtId="0" fontId="2" fillId="3" borderId="1" xfId="5" applyFont="1" applyFill="1" applyBorder="1" applyAlignment="1">
      <alignment horizontal="center"/>
    </xf>
    <xf numFmtId="43" fontId="2" fillId="2" borderId="1" xfId="2" applyFont="1" applyFill="1" applyBorder="1"/>
    <xf numFmtId="43" fontId="2" fillId="4" borderId="1" xfId="2" applyFont="1" applyFill="1" applyBorder="1"/>
    <xf numFmtId="0" fontId="2" fillId="4" borderId="1" xfId="5" applyFont="1" applyFill="1" applyBorder="1"/>
    <xf numFmtId="43" fontId="2" fillId="3" borderId="1" xfId="2" applyFont="1" applyFill="1" applyBorder="1"/>
    <xf numFmtId="43" fontId="2" fillId="3" borderId="1" xfId="5" applyNumberFormat="1" applyFont="1" applyFill="1" applyBorder="1"/>
    <xf numFmtId="0" fontId="2" fillId="0" borderId="0" xfId="5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164" fontId="8" fillId="6" borderId="1" xfId="0" applyNumberFormat="1" applyFont="1" applyFill="1" applyBorder="1" applyAlignment="1">
      <alignment horizontal="center"/>
    </xf>
    <xf numFmtId="164" fontId="8" fillId="7" borderId="1" xfId="0" applyNumberFormat="1" applyFont="1" applyFill="1" applyBorder="1" applyAlignment="1">
      <alignment horizontal="center"/>
    </xf>
    <xf numFmtId="164" fontId="8" fillId="6" borderId="1" xfId="0" applyNumberFormat="1" applyFont="1" applyFill="1" applyBorder="1"/>
    <xf numFmtId="164" fontId="8" fillId="7" borderId="1" xfId="0" applyNumberFormat="1" applyFont="1" applyFill="1" applyBorder="1"/>
    <xf numFmtId="164" fontId="8" fillId="8" borderId="1" xfId="0" applyNumberFormat="1" applyFont="1" applyFill="1" applyBorder="1"/>
    <xf numFmtId="0" fontId="8" fillId="5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164" fontId="8" fillId="9" borderId="1" xfId="0" applyNumberFormat="1" applyFont="1" applyFill="1" applyBorder="1"/>
    <xf numFmtId="0" fontId="8" fillId="8" borderId="1" xfId="0" applyFont="1" applyFill="1" applyBorder="1"/>
    <xf numFmtId="0" fontId="8" fillId="6" borderId="1" xfId="0" applyFont="1" applyFill="1" applyBorder="1"/>
    <xf numFmtId="164" fontId="8" fillId="8" borderId="1" xfId="0" applyNumberFormat="1" applyFont="1" applyFill="1" applyBorder="1" applyAlignment="1">
      <alignment horizontal="center"/>
    </xf>
    <xf numFmtId="0" fontId="6" fillId="11" borderId="0" xfId="0" applyFont="1" applyFill="1"/>
    <xf numFmtId="0" fontId="7" fillId="11" borderId="0" xfId="0" applyFont="1" applyFill="1"/>
    <xf numFmtId="0" fontId="8" fillId="11" borderId="0" xfId="0" applyFont="1" applyFill="1"/>
    <xf numFmtId="0" fontId="1" fillId="11" borderId="0" xfId="0" applyFont="1" applyFill="1"/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165" fontId="8" fillId="9" borderId="3" xfId="6" applyNumberFormat="1" applyFont="1" applyFill="1" applyBorder="1" applyAlignment="1">
      <alignment horizontal="center"/>
    </xf>
    <xf numFmtId="0" fontId="8" fillId="9" borderId="2" xfId="0" applyFont="1" applyFill="1" applyBorder="1"/>
    <xf numFmtId="0" fontId="8" fillId="9" borderId="2" xfId="0" applyFont="1" applyFill="1" applyBorder="1" applyAlignment="1">
      <alignment horizontal="center"/>
    </xf>
    <xf numFmtId="0" fontId="10" fillId="9" borderId="4" xfId="0" applyFont="1" applyFill="1" applyBorder="1"/>
    <xf numFmtId="0" fontId="0" fillId="9" borderId="3" xfId="0" applyFill="1" applyBorder="1"/>
    <xf numFmtId="0" fontId="8" fillId="10" borderId="2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4" fillId="9" borderId="1" xfId="0" applyFont="1" applyFill="1" applyBorder="1"/>
    <xf numFmtId="9" fontId="2" fillId="9" borderId="1" xfId="6" applyFont="1" applyFill="1" applyBorder="1" applyAlignment="1">
      <alignment horizont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4" fillId="7" borderId="1" xfId="5" applyFont="1" applyFill="1" applyBorder="1"/>
    <xf numFmtId="9" fontId="2" fillId="7" borderId="1" xfId="7" applyFont="1" applyFill="1" applyBorder="1"/>
    <xf numFmtId="0" fontId="8" fillId="9" borderId="1" xfId="5" applyFont="1" applyFill="1" applyBorder="1" applyAlignment="1">
      <alignment vertical="center"/>
    </xf>
    <xf numFmtId="0" fontId="8" fillId="9" borderId="1" xfId="5" applyFont="1" applyFill="1" applyBorder="1" applyAlignment="1">
      <alignment horizontal="center" vertical="center"/>
    </xf>
    <xf numFmtId="0" fontId="8" fillId="9" borderId="1" xfId="5" applyFont="1" applyFill="1" applyBorder="1" applyAlignment="1">
      <alignment horizontal="center" vertical="center" wrapText="1"/>
    </xf>
    <xf numFmtId="0" fontId="2" fillId="13" borderId="1" xfId="5" applyFont="1" applyFill="1" applyBorder="1"/>
    <xf numFmtId="0" fontId="2" fillId="13" borderId="1" xfId="5" applyFont="1" applyFill="1" applyBorder="1" applyAlignment="1">
      <alignment horizontal="center"/>
    </xf>
    <xf numFmtId="44" fontId="2" fillId="13" borderId="1" xfId="3" applyFont="1" applyFill="1" applyBorder="1" applyAlignment="1">
      <alignment horizontal="center"/>
    </xf>
    <xf numFmtId="4" fontId="2" fillId="12" borderId="1" xfId="5" applyNumberFormat="1" applyFont="1" applyFill="1" applyBorder="1"/>
    <xf numFmtId="4" fontId="12" fillId="12" borderId="1" xfId="5" applyNumberFormat="1" applyFont="1" applyFill="1" applyBorder="1"/>
    <xf numFmtId="166" fontId="8" fillId="0" borderId="0" xfId="3" applyNumberFormat="1" applyFont="1"/>
    <xf numFmtId="4" fontId="8" fillId="12" borderId="3" xfId="3" applyNumberFormat="1" applyFont="1" applyFill="1" applyBorder="1" applyAlignment="1">
      <alignment horizontal="center"/>
    </xf>
    <xf numFmtId="4" fontId="8" fillId="5" borderId="3" xfId="3" applyNumberFormat="1" applyFont="1" applyFill="1" applyBorder="1" applyAlignment="1">
      <alignment horizontal="center"/>
    </xf>
    <xf numFmtId="0" fontId="8" fillId="12" borderId="4" xfId="0" applyFont="1" applyFill="1" applyBorder="1" applyAlignment="1">
      <alignment horizontal="right"/>
    </xf>
    <xf numFmtId="8" fontId="9" fillId="12" borderId="3" xfId="0" applyNumberFormat="1" applyFont="1" applyFill="1" applyBorder="1"/>
    <xf numFmtId="0" fontId="9" fillId="12" borderId="3" xfId="0" applyFont="1" applyFill="1" applyBorder="1" applyAlignment="1">
      <alignment horizontal="center"/>
    </xf>
    <xf numFmtId="0" fontId="8" fillId="12" borderId="4" xfId="0" applyFont="1" applyFill="1" applyBorder="1"/>
    <xf numFmtId="0" fontId="8" fillId="12" borderId="5" xfId="0" applyFont="1" applyFill="1" applyBorder="1"/>
    <xf numFmtId="0" fontId="0" fillId="12" borderId="5" xfId="0" applyFill="1" applyBorder="1"/>
    <xf numFmtId="0" fontId="8" fillId="12" borderId="3" xfId="0" applyFont="1" applyFill="1" applyBorder="1" applyAlignment="1">
      <alignment horizontal="right"/>
    </xf>
    <xf numFmtId="0" fontId="8" fillId="12" borderId="5" xfId="0" applyFont="1" applyFill="1" applyBorder="1" applyAlignment="1">
      <alignment horizontal="right"/>
    </xf>
    <xf numFmtId="8" fontId="9" fillId="12" borderId="1" xfId="0" applyNumberFormat="1" applyFont="1" applyFill="1" applyBorder="1" applyAlignment="1">
      <alignment horizontal="right"/>
    </xf>
    <xf numFmtId="0" fontId="14" fillId="14" borderId="0" xfId="0" applyFont="1" applyFill="1"/>
    <xf numFmtId="0" fontId="2" fillId="14" borderId="0" xfId="0" applyFont="1" applyFill="1"/>
    <xf numFmtId="0" fontId="8" fillId="9" borderId="4" xfId="0" applyFont="1" applyFill="1" applyBorder="1"/>
    <xf numFmtId="0" fontId="1" fillId="9" borderId="3" xfId="0" applyFont="1" applyFill="1" applyBorder="1"/>
    <xf numFmtId="166" fontId="8" fillId="14" borderId="0" xfId="3" applyNumberFormat="1" applyFont="1" applyFill="1"/>
    <xf numFmtId="0" fontId="2" fillId="12" borderId="1" xfId="0" applyFont="1" applyFill="1" applyBorder="1"/>
    <xf numFmtId="44" fontId="2" fillId="12" borderId="1" xfId="3" applyFont="1" applyFill="1" applyBorder="1"/>
    <xf numFmtId="0" fontId="15" fillId="6" borderId="4" xfId="0" applyFont="1" applyFill="1" applyBorder="1"/>
    <xf numFmtId="0" fontId="15" fillId="6" borderId="5" xfId="0" applyFont="1" applyFill="1" applyBorder="1"/>
    <xf numFmtId="0" fontId="13" fillId="6" borderId="5" xfId="0" applyFont="1" applyFill="1" applyBorder="1"/>
    <xf numFmtId="0" fontId="13" fillId="6" borderId="3" xfId="0" applyFont="1" applyFill="1" applyBorder="1"/>
    <xf numFmtId="43" fontId="2" fillId="14" borderId="1" xfId="1" applyFont="1" applyFill="1" applyBorder="1"/>
    <xf numFmtId="0" fontId="2" fillId="9" borderId="1" xfId="0" applyFont="1" applyFill="1" applyBorder="1"/>
    <xf numFmtId="44" fontId="2" fillId="9" borderId="1" xfId="4" applyFont="1" applyFill="1" applyBorder="1"/>
    <xf numFmtId="4" fontId="8" fillId="12" borderId="1" xfId="3" applyNumberFormat="1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urrency" xfId="3" builtinId="4"/>
    <cellStyle name="Currency 2" xfId="4" xr:uid="{00000000-0005-0000-0000-000003000000}"/>
    <cellStyle name="Normal" xfId="0" builtinId="0"/>
    <cellStyle name="Normal 2" xfId="5" xr:uid="{00000000-0005-0000-0000-000005000000}"/>
    <cellStyle name="Percent" xfId="6" builtinId="5"/>
    <cellStyle name="Percent 2" xfId="7" xr:uid="{00000000-0005-0000-0000-000007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Normal="100" workbookViewId="0">
      <selection activeCell="A2" sqref="A2"/>
    </sheetView>
  </sheetViews>
  <sheetFormatPr defaultRowHeight="12.5" x14ac:dyDescent="0.25"/>
  <cols>
    <col min="1" max="1" width="10" customWidth="1"/>
    <col min="2" max="2" width="9.1796875" customWidth="1"/>
    <col min="3" max="3" width="8" customWidth="1"/>
    <col min="4" max="4" width="8.90625" customWidth="1"/>
    <col min="5" max="5" width="7.54296875" customWidth="1"/>
    <col min="6" max="6" width="8" customWidth="1"/>
    <col min="7" max="7" width="7.54296875" customWidth="1"/>
    <col min="8" max="9" width="7" customWidth="1"/>
    <col min="10" max="10" width="8.08984375" customWidth="1"/>
    <col min="11" max="12" width="11.6328125" customWidth="1"/>
    <col min="13" max="13" width="14.6328125" customWidth="1"/>
    <col min="14" max="14" width="13.453125" customWidth="1"/>
  </cols>
  <sheetData>
    <row r="1" spans="1:16" ht="15.5" x14ac:dyDescent="0.35">
      <c r="A1" s="34" t="s">
        <v>44</v>
      </c>
      <c r="B1" s="35"/>
      <c r="C1" s="35"/>
      <c r="D1" s="35"/>
      <c r="E1" s="35"/>
      <c r="F1" s="35"/>
      <c r="G1" s="35"/>
      <c r="H1" s="36"/>
      <c r="I1" s="36"/>
      <c r="J1" s="36"/>
      <c r="K1" s="36"/>
      <c r="L1" s="36"/>
      <c r="M1" s="36"/>
      <c r="N1" s="19"/>
      <c r="O1" s="19"/>
      <c r="P1" s="19"/>
    </row>
    <row r="2" spans="1:16" ht="15.5" x14ac:dyDescent="0.35">
      <c r="A2" s="34" t="s">
        <v>45</v>
      </c>
      <c r="B2" s="34"/>
      <c r="C2" s="34"/>
      <c r="D2" s="34"/>
      <c r="E2" s="34"/>
      <c r="F2" s="34"/>
      <c r="G2" s="34"/>
      <c r="H2" s="37"/>
      <c r="I2" s="37"/>
      <c r="J2" s="37"/>
      <c r="K2" s="37"/>
      <c r="L2" s="37"/>
      <c r="M2" s="37"/>
      <c r="N2" s="19"/>
      <c r="O2" s="19"/>
      <c r="P2" s="19"/>
    </row>
    <row r="3" spans="1:16" ht="13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3" x14ac:dyDescent="0.3">
      <c r="A4" s="42" t="s">
        <v>35</v>
      </c>
      <c r="B4" s="43"/>
      <c r="C4" s="40">
        <v>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6" ht="13" x14ac:dyDescent="0.3">
      <c r="A5" s="44" t="s">
        <v>6</v>
      </c>
      <c r="B5" s="45"/>
      <c r="C5" s="41">
        <v>0.1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6" ht="13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6" ht="13" x14ac:dyDescent="0.3">
      <c r="A7" s="78" t="s">
        <v>32</v>
      </c>
      <c r="B7" s="79"/>
      <c r="C7" s="80">
        <v>5000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6" ht="13" x14ac:dyDescent="0.3">
      <c r="A8" s="19"/>
      <c r="B8" s="19"/>
      <c r="C8" s="64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6" ht="15.5" x14ac:dyDescent="0.35">
      <c r="A9" s="76" t="s">
        <v>33</v>
      </c>
      <c r="B9" s="76"/>
      <c r="C9" s="76"/>
      <c r="D9" s="76"/>
      <c r="E9" s="76"/>
      <c r="F9" s="76"/>
      <c r="G9" s="77"/>
      <c r="H9" s="77"/>
      <c r="I9" s="77"/>
      <c r="J9" s="77"/>
      <c r="K9" s="77"/>
      <c r="L9" s="77"/>
      <c r="M9" s="19"/>
      <c r="N9" s="19"/>
      <c r="O9" s="19"/>
    </row>
    <row r="10" spans="1:16" ht="13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6" ht="13" x14ac:dyDescent="0.3">
      <c r="A11" s="32"/>
      <c r="B11" s="28" t="s">
        <v>18</v>
      </c>
      <c r="C11" s="28" t="s">
        <v>19</v>
      </c>
      <c r="D11" s="28" t="s">
        <v>20</v>
      </c>
      <c r="E11" s="28" t="s">
        <v>21</v>
      </c>
      <c r="F11" s="28" t="s">
        <v>23</v>
      </c>
      <c r="G11" s="19"/>
      <c r="H11" s="19"/>
      <c r="I11" s="19"/>
      <c r="J11" s="19"/>
      <c r="K11" s="19"/>
      <c r="L11" s="19"/>
      <c r="M11" s="19"/>
      <c r="N11" s="19"/>
      <c r="O11" s="19"/>
    </row>
    <row r="12" spans="1:16" ht="13" x14ac:dyDescent="0.3">
      <c r="A12" s="31" t="s">
        <v>17</v>
      </c>
      <c r="B12" s="25">
        <f>'Defender Data'!F10</f>
        <v>7000</v>
      </c>
      <c r="C12" s="25">
        <f>'Defender Data'!F11</f>
        <v>8000</v>
      </c>
      <c r="D12" s="25">
        <f>'Defender Data'!F12</f>
        <v>9100</v>
      </c>
      <c r="E12" s="33">
        <f>'Defender Data'!F13</f>
        <v>10000</v>
      </c>
      <c r="F12" s="27" t="s">
        <v>24</v>
      </c>
      <c r="G12" s="19"/>
      <c r="H12" s="19"/>
      <c r="I12" s="19"/>
      <c r="J12" s="19"/>
      <c r="K12" s="19"/>
      <c r="L12" s="19"/>
      <c r="M12" s="19"/>
      <c r="N12" s="19"/>
      <c r="O12" s="19"/>
    </row>
    <row r="13" spans="1:16" ht="13" x14ac:dyDescent="0.3">
      <c r="A13" s="31" t="s">
        <v>22</v>
      </c>
      <c r="B13" s="25">
        <f>'Challenger Data'!F9</f>
        <v>9000</v>
      </c>
      <c r="C13" s="25">
        <f>'Challenger Data'!F10</f>
        <v>8250</v>
      </c>
      <c r="D13" s="25">
        <f>'Challenger Data'!F11</f>
        <v>8495</v>
      </c>
      <c r="E13" s="25">
        <f>'Challenger Data'!F12</f>
        <v>10850</v>
      </c>
      <c r="F13" s="25">
        <f>'Challenger Data'!F13</f>
        <v>14400</v>
      </c>
      <c r="G13" s="19"/>
      <c r="H13" s="19"/>
      <c r="I13" s="19"/>
      <c r="J13" s="19"/>
      <c r="K13" s="19"/>
      <c r="L13" s="19"/>
      <c r="M13" s="19"/>
      <c r="N13" s="19"/>
      <c r="O13" s="19"/>
    </row>
    <row r="14" spans="1:16" ht="13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6" ht="13" x14ac:dyDescent="0.3">
      <c r="A15" s="38"/>
      <c r="B15" s="39" t="s">
        <v>27</v>
      </c>
      <c r="C15" s="39" t="s">
        <v>25</v>
      </c>
      <c r="D15" s="39" t="s">
        <v>26</v>
      </c>
      <c r="E15" s="91" t="s">
        <v>28</v>
      </c>
      <c r="F15" s="92"/>
      <c r="G15" s="92"/>
      <c r="H15" s="92"/>
      <c r="I15" s="92"/>
      <c r="J15" s="93"/>
      <c r="K15" s="38"/>
      <c r="L15" s="38"/>
      <c r="M15" s="19"/>
      <c r="N15" s="19"/>
      <c r="O15" s="19"/>
      <c r="P15" s="19"/>
    </row>
    <row r="16" spans="1:16" ht="13.5" x14ac:dyDescent="0.35">
      <c r="A16" s="39" t="s">
        <v>29</v>
      </c>
      <c r="B16" s="39" t="s">
        <v>14</v>
      </c>
      <c r="C16" s="39" t="s">
        <v>15</v>
      </c>
      <c r="D16" s="39" t="s">
        <v>16</v>
      </c>
      <c r="E16" s="46">
        <v>1</v>
      </c>
      <c r="F16" s="46">
        <v>2</v>
      </c>
      <c r="G16" s="46">
        <v>3</v>
      </c>
      <c r="H16" s="46">
        <v>4</v>
      </c>
      <c r="I16" s="46">
        <v>5</v>
      </c>
      <c r="J16" s="46">
        <v>6</v>
      </c>
      <c r="K16" s="47" t="s">
        <v>34</v>
      </c>
      <c r="L16" s="47" t="s">
        <v>0</v>
      </c>
      <c r="M16" s="19"/>
      <c r="N16" s="19"/>
      <c r="O16" s="19"/>
      <c r="P16" s="19"/>
    </row>
    <row r="17" spans="1:16" ht="13" x14ac:dyDescent="0.3">
      <c r="A17" s="48">
        <v>1</v>
      </c>
      <c r="B17" s="27">
        <v>0</v>
      </c>
      <c r="C17" s="28">
        <v>1</v>
      </c>
      <c r="D17" s="29">
        <f>6 -C17- B17</f>
        <v>5</v>
      </c>
      <c r="E17" s="21">
        <f>B13</f>
        <v>9000</v>
      </c>
      <c r="F17" s="22">
        <f>B13</f>
        <v>9000</v>
      </c>
      <c r="G17" s="22">
        <f>C13</f>
        <v>8250</v>
      </c>
      <c r="H17" s="22">
        <f>D13</f>
        <v>8495</v>
      </c>
      <c r="I17" s="22">
        <f>E13</f>
        <v>10850</v>
      </c>
      <c r="J17" s="22">
        <f>F13</f>
        <v>14400</v>
      </c>
      <c r="K17" s="65">
        <f t="shared" ref="K17:K35" si="0">NPV($C$5, E17:J17)</f>
        <v>42485.802069474303</v>
      </c>
      <c r="L17" s="90">
        <f>-PMT($C$5, $C$4, K17, 0, 0)</f>
        <v>9755.0537157787894</v>
      </c>
      <c r="M17" s="19" t="str">
        <f>IF(K17=MIN($K$17:$K$35), "&lt;- Optimal Plan","-")</f>
        <v>-</v>
      </c>
      <c r="N17" s="19"/>
      <c r="O17" s="19"/>
      <c r="P17" s="19"/>
    </row>
    <row r="18" spans="1:16" ht="13" x14ac:dyDescent="0.3">
      <c r="A18" s="48">
        <v>2</v>
      </c>
      <c r="B18" s="27">
        <v>0</v>
      </c>
      <c r="C18" s="28">
        <v>2</v>
      </c>
      <c r="D18" s="29">
        <f t="shared" ref="D18:D35" si="1">6 -C18- B18</f>
        <v>4</v>
      </c>
      <c r="E18" s="23">
        <f>B13</f>
        <v>9000</v>
      </c>
      <c r="F18" s="23">
        <f>C13</f>
        <v>8250</v>
      </c>
      <c r="G18" s="24">
        <f>B13</f>
        <v>9000</v>
      </c>
      <c r="H18" s="24">
        <f>C13</f>
        <v>8250</v>
      </c>
      <c r="I18" s="24">
        <f>D13</f>
        <v>8495</v>
      </c>
      <c r="J18" s="24">
        <f>E13</f>
        <v>10850</v>
      </c>
      <c r="K18" s="65">
        <f t="shared" si="0"/>
        <v>38795.962995347028</v>
      </c>
      <c r="L18" s="90">
        <f t="shared" ref="L18:L35" si="2">-PMT($C$5, $C$4, K18, 0, 0)</f>
        <v>8907.8394320086136</v>
      </c>
      <c r="M18" s="19" t="str">
        <f t="shared" ref="M18:M35" si="3">IF(K18=MIN($K$17:$K$35), "&lt;- Optimal Plan","-")</f>
        <v>-</v>
      </c>
      <c r="N18" s="19"/>
      <c r="O18" s="19"/>
      <c r="P18" s="19"/>
    </row>
    <row r="19" spans="1:16" ht="13" x14ac:dyDescent="0.3">
      <c r="A19" s="48">
        <v>3</v>
      </c>
      <c r="B19" s="27">
        <v>0</v>
      </c>
      <c r="C19" s="28">
        <v>3</v>
      </c>
      <c r="D19" s="29">
        <f t="shared" si="1"/>
        <v>3</v>
      </c>
      <c r="E19" s="23">
        <f>B13</f>
        <v>9000</v>
      </c>
      <c r="F19" s="23">
        <f>C13</f>
        <v>8250</v>
      </c>
      <c r="G19" s="23">
        <f>D13</f>
        <v>8495</v>
      </c>
      <c r="H19" s="24">
        <f>B13</f>
        <v>9000</v>
      </c>
      <c r="I19" s="24">
        <f>C13</f>
        <v>8250</v>
      </c>
      <c r="J19" s="24">
        <f>D13</f>
        <v>8495</v>
      </c>
      <c r="K19" s="65">
        <f t="shared" si="0"/>
        <v>37447.347282989394</v>
      </c>
      <c r="L19" s="90">
        <f t="shared" si="2"/>
        <v>8598.1873111782461</v>
      </c>
      <c r="M19" s="19" t="str">
        <f t="shared" si="3"/>
        <v>-</v>
      </c>
      <c r="N19" s="19"/>
      <c r="O19" s="19"/>
      <c r="P19" s="19"/>
    </row>
    <row r="20" spans="1:16" ht="13" x14ac:dyDescent="0.3">
      <c r="A20" s="48">
        <v>4</v>
      </c>
      <c r="B20" s="27">
        <v>0</v>
      </c>
      <c r="C20" s="28">
        <v>4</v>
      </c>
      <c r="D20" s="29">
        <f t="shared" si="1"/>
        <v>2</v>
      </c>
      <c r="E20" s="23">
        <f>B13</f>
        <v>9000</v>
      </c>
      <c r="F20" s="23">
        <f>C13</f>
        <v>8250</v>
      </c>
      <c r="G20" s="23">
        <f>D13</f>
        <v>8495</v>
      </c>
      <c r="H20" s="23">
        <f>E13</f>
        <v>10850</v>
      </c>
      <c r="I20" s="24">
        <f>B13</f>
        <v>9000</v>
      </c>
      <c r="J20" s="24">
        <f>C13</f>
        <v>8250</v>
      </c>
      <c r="K20" s="65">
        <f t="shared" si="0"/>
        <v>39038.317054845975</v>
      </c>
      <c r="L20" s="90">
        <f t="shared" si="2"/>
        <v>8963.4857127304258</v>
      </c>
      <c r="M20" s="19" t="str">
        <f t="shared" si="3"/>
        <v>-</v>
      </c>
      <c r="N20" s="19"/>
      <c r="O20" s="19"/>
      <c r="P20" s="19"/>
    </row>
    <row r="21" spans="1:16" ht="13" x14ac:dyDescent="0.3">
      <c r="A21" s="48">
        <v>5</v>
      </c>
      <c r="B21" s="27">
        <v>0</v>
      </c>
      <c r="C21" s="28">
        <v>5</v>
      </c>
      <c r="D21" s="29">
        <f t="shared" si="1"/>
        <v>1</v>
      </c>
      <c r="E21" s="23">
        <f>B13</f>
        <v>9000</v>
      </c>
      <c r="F21" s="23">
        <f>C13</f>
        <v>8250</v>
      </c>
      <c r="G21" s="23">
        <f>D13</f>
        <v>8495</v>
      </c>
      <c r="H21" s="23">
        <f>E13</f>
        <v>10850</v>
      </c>
      <c r="I21" s="23">
        <f>F13</f>
        <v>14400</v>
      </c>
      <c r="J21" s="24">
        <f>B13</f>
        <v>9000</v>
      </c>
      <c r="K21" s="65">
        <f t="shared" si="0"/>
        <v>42814.647646905738</v>
      </c>
      <c r="L21" s="90">
        <f t="shared" si="2"/>
        <v>9830.5590873566689</v>
      </c>
      <c r="M21" s="19" t="str">
        <f t="shared" si="3"/>
        <v>-</v>
      </c>
      <c r="N21" s="19"/>
      <c r="O21" s="19"/>
      <c r="P21" s="19"/>
    </row>
    <row r="22" spans="1:16" ht="13" x14ac:dyDescent="0.3">
      <c r="A22" s="48">
        <v>6</v>
      </c>
      <c r="B22" s="27">
        <v>1</v>
      </c>
      <c r="C22" s="28">
        <v>1</v>
      </c>
      <c r="D22" s="29">
        <f t="shared" si="1"/>
        <v>4</v>
      </c>
      <c r="E22" s="25">
        <f>B12</f>
        <v>7000</v>
      </c>
      <c r="F22" s="23">
        <f>B13</f>
        <v>9000</v>
      </c>
      <c r="G22" s="24">
        <f>B13</f>
        <v>9000</v>
      </c>
      <c r="H22" s="24">
        <f>C13</f>
        <v>8250</v>
      </c>
      <c r="I22" s="24">
        <f>D13</f>
        <v>8495</v>
      </c>
      <c r="J22" s="24">
        <f>E13</f>
        <v>10850</v>
      </c>
      <c r="K22" s="65">
        <f t="shared" si="0"/>
        <v>37597.615887909014</v>
      </c>
      <c r="L22" s="90">
        <f t="shared" si="2"/>
        <v>8632.6900919045929</v>
      </c>
      <c r="M22" s="19" t="str">
        <f t="shared" si="3"/>
        <v>-</v>
      </c>
      <c r="N22" s="19"/>
      <c r="O22" s="19"/>
      <c r="P22" s="19"/>
    </row>
    <row r="23" spans="1:16" ht="13" x14ac:dyDescent="0.3">
      <c r="A23" s="48">
        <v>7</v>
      </c>
      <c r="B23" s="27">
        <v>1</v>
      </c>
      <c r="C23" s="28">
        <v>2</v>
      </c>
      <c r="D23" s="29">
        <f t="shared" si="1"/>
        <v>3</v>
      </c>
      <c r="E23" s="25">
        <f>B12</f>
        <v>7000</v>
      </c>
      <c r="F23" s="23">
        <f>B13</f>
        <v>9000</v>
      </c>
      <c r="G23" s="23">
        <f>C13</f>
        <v>8250</v>
      </c>
      <c r="H23" s="24">
        <f>B13</f>
        <v>9000</v>
      </c>
      <c r="I23" s="24">
        <f>C13</f>
        <v>8250</v>
      </c>
      <c r="J23" s="24">
        <f>D13</f>
        <v>8495</v>
      </c>
      <c r="K23" s="65">
        <f t="shared" si="0"/>
        <v>36064.92804933049</v>
      </c>
      <c r="L23" s="90">
        <f t="shared" si="2"/>
        <v>8280.773652374859</v>
      </c>
      <c r="M23" s="19" t="str">
        <f t="shared" si="3"/>
        <v>-</v>
      </c>
      <c r="N23" s="19"/>
      <c r="O23" s="19"/>
      <c r="P23" s="19"/>
    </row>
    <row r="24" spans="1:16" ht="13" x14ac:dyDescent="0.3">
      <c r="A24" s="48">
        <v>8</v>
      </c>
      <c r="B24" s="27">
        <v>1</v>
      </c>
      <c r="C24" s="28">
        <v>3</v>
      </c>
      <c r="D24" s="29">
        <f t="shared" si="1"/>
        <v>2</v>
      </c>
      <c r="E24" s="25">
        <f>B12</f>
        <v>7000</v>
      </c>
      <c r="F24" s="23">
        <f>B13</f>
        <v>9000</v>
      </c>
      <c r="G24" s="23">
        <f>C13</f>
        <v>8250</v>
      </c>
      <c r="H24" s="23">
        <f>D13</f>
        <v>8495</v>
      </c>
      <c r="I24" s="24">
        <f>B13</f>
        <v>9000</v>
      </c>
      <c r="J24" s="24">
        <f>C13</f>
        <v>8250</v>
      </c>
      <c r="K24" s="65">
        <f t="shared" si="0"/>
        <v>36047.401133802327</v>
      </c>
      <c r="L24" s="90">
        <f t="shared" si="2"/>
        <v>8276.7493432145984</v>
      </c>
      <c r="M24" s="19" t="str">
        <f t="shared" si="3"/>
        <v>-</v>
      </c>
      <c r="N24" s="19"/>
      <c r="O24" s="19"/>
      <c r="P24" s="19"/>
    </row>
    <row r="25" spans="1:16" ht="13" x14ac:dyDescent="0.3">
      <c r="A25" s="48">
        <v>9</v>
      </c>
      <c r="B25" s="27">
        <v>1</v>
      </c>
      <c r="C25" s="28">
        <v>4</v>
      </c>
      <c r="D25" s="29">
        <f t="shared" si="1"/>
        <v>1</v>
      </c>
      <c r="E25" s="25">
        <f>B12</f>
        <v>7000</v>
      </c>
      <c r="F25" s="23">
        <f>B13</f>
        <v>9000</v>
      </c>
      <c r="G25" s="23">
        <f>C13</f>
        <v>8250</v>
      </c>
      <c r="H25" s="23">
        <f>D13</f>
        <v>8495</v>
      </c>
      <c r="I25" s="23">
        <f>E13</f>
        <v>10850</v>
      </c>
      <c r="J25" s="24">
        <f>B13</f>
        <v>9000</v>
      </c>
      <c r="K25" s="65">
        <f t="shared" si="0"/>
        <v>37619.461029002094</v>
      </c>
      <c r="L25" s="90">
        <f t="shared" si="2"/>
        <v>8637.7058975246273</v>
      </c>
      <c r="M25" s="19" t="str">
        <f t="shared" si="3"/>
        <v>-</v>
      </c>
      <c r="N25" s="19"/>
      <c r="O25" s="19"/>
      <c r="P25" s="19"/>
    </row>
    <row r="26" spans="1:16" ht="13" x14ac:dyDescent="0.3">
      <c r="A26" s="48">
        <v>10</v>
      </c>
      <c r="B26" s="27">
        <v>1</v>
      </c>
      <c r="C26" s="28">
        <v>5</v>
      </c>
      <c r="D26" s="29">
        <f t="shared" si="1"/>
        <v>0</v>
      </c>
      <c r="E26" s="25">
        <f>B12</f>
        <v>7000</v>
      </c>
      <c r="F26" s="23">
        <f>B13</f>
        <v>9000</v>
      </c>
      <c r="G26" s="23">
        <f>C13</f>
        <v>8250</v>
      </c>
      <c r="H26" s="23">
        <f>D13</f>
        <v>8495</v>
      </c>
      <c r="I26" s="23">
        <f>E13</f>
        <v>10850</v>
      </c>
      <c r="J26" s="23">
        <f>F13</f>
        <v>14400</v>
      </c>
      <c r="K26" s="65">
        <f t="shared" si="0"/>
        <v>40667.620251292487</v>
      </c>
      <c r="L26" s="90">
        <f t="shared" si="2"/>
        <v>9337.5857514830295</v>
      </c>
      <c r="M26" s="19" t="str">
        <f t="shared" si="3"/>
        <v>-</v>
      </c>
      <c r="N26" s="19"/>
      <c r="O26" s="19"/>
      <c r="P26" s="19"/>
    </row>
    <row r="27" spans="1:16" ht="13" x14ac:dyDescent="0.3">
      <c r="A27" s="48">
        <v>11</v>
      </c>
      <c r="B27" s="27">
        <v>2</v>
      </c>
      <c r="C27" s="28">
        <v>1</v>
      </c>
      <c r="D27" s="29">
        <f t="shared" si="1"/>
        <v>3</v>
      </c>
      <c r="E27" s="25">
        <f>B12</f>
        <v>7000</v>
      </c>
      <c r="F27" s="25">
        <f>C12</f>
        <v>8000</v>
      </c>
      <c r="G27" s="23">
        <f>B13</f>
        <v>9000</v>
      </c>
      <c r="H27" s="24">
        <f>B13</f>
        <v>9000</v>
      </c>
      <c r="I27" s="24">
        <f>C13</f>
        <v>8250</v>
      </c>
      <c r="J27" s="24">
        <f>D13</f>
        <v>8495</v>
      </c>
      <c r="K27" s="65">
        <f t="shared" si="0"/>
        <v>35801.967869014938</v>
      </c>
      <c r="L27" s="90">
        <f t="shared" si="2"/>
        <v>8220.3960542329096</v>
      </c>
      <c r="M27" s="19" t="str">
        <f t="shared" si="3"/>
        <v>-</v>
      </c>
      <c r="N27" s="19"/>
      <c r="O27" s="19"/>
      <c r="P27" s="19"/>
    </row>
    <row r="28" spans="1:16" ht="13" x14ac:dyDescent="0.3">
      <c r="A28" s="26">
        <v>12</v>
      </c>
      <c r="B28" s="27">
        <v>2</v>
      </c>
      <c r="C28" s="28">
        <v>2</v>
      </c>
      <c r="D28" s="29">
        <f t="shared" si="1"/>
        <v>2</v>
      </c>
      <c r="E28" s="25">
        <f>B12</f>
        <v>7000</v>
      </c>
      <c r="F28" s="25">
        <f>C12</f>
        <v>8000</v>
      </c>
      <c r="G28" s="23">
        <f>B13</f>
        <v>9000</v>
      </c>
      <c r="H28" s="23">
        <f>C13</f>
        <v>8250</v>
      </c>
      <c r="I28" s="24">
        <f>B13</f>
        <v>9000</v>
      </c>
      <c r="J28" s="24">
        <f>C13</f>
        <v>8250</v>
      </c>
      <c r="K28" s="66">
        <f t="shared" si="0"/>
        <v>35617.102656922332</v>
      </c>
      <c r="L28" s="90">
        <f t="shared" si="2"/>
        <v>8177.949637164138</v>
      </c>
      <c r="M28" s="19" t="str">
        <f t="shared" si="3"/>
        <v>&lt;- Optimal Plan</v>
      </c>
      <c r="N28" s="19"/>
      <c r="O28" s="19"/>
      <c r="P28" s="19"/>
    </row>
    <row r="29" spans="1:16" ht="13" x14ac:dyDescent="0.3">
      <c r="A29" s="48">
        <v>13</v>
      </c>
      <c r="B29" s="27">
        <v>2</v>
      </c>
      <c r="C29" s="28">
        <v>3</v>
      </c>
      <c r="D29" s="29">
        <f t="shared" si="1"/>
        <v>1</v>
      </c>
      <c r="E29" s="25">
        <f>B12</f>
        <v>7000</v>
      </c>
      <c r="F29" s="25">
        <f>C12</f>
        <v>8000</v>
      </c>
      <c r="G29" s="23">
        <f>B13</f>
        <v>9000</v>
      </c>
      <c r="H29" s="23">
        <f>C13</f>
        <v>8250</v>
      </c>
      <c r="I29" s="23">
        <f>D13</f>
        <v>8495</v>
      </c>
      <c r="J29" s="24">
        <f>B13</f>
        <v>9000</v>
      </c>
      <c r="K29" s="65">
        <f t="shared" si="0"/>
        <v>35726.892836317791</v>
      </c>
      <c r="L29" s="90">
        <f t="shared" si="2"/>
        <v>8203.1582726446777</v>
      </c>
      <c r="M29" s="19" t="str">
        <f t="shared" si="3"/>
        <v>-</v>
      </c>
      <c r="N29" s="19"/>
      <c r="O29" s="19"/>
      <c r="P29" s="19"/>
    </row>
    <row r="30" spans="1:16" ht="13" x14ac:dyDescent="0.3">
      <c r="A30" s="48">
        <v>14</v>
      </c>
      <c r="B30" s="27">
        <v>2</v>
      </c>
      <c r="C30" s="28">
        <v>4</v>
      </c>
      <c r="D30" s="29">
        <f t="shared" si="1"/>
        <v>0</v>
      </c>
      <c r="E30" s="25">
        <f>B12</f>
        <v>7000</v>
      </c>
      <c r="F30" s="25">
        <f>C12</f>
        <v>8000</v>
      </c>
      <c r="G30" s="23">
        <f>B13</f>
        <v>9000</v>
      </c>
      <c r="H30" s="23">
        <f>C13</f>
        <v>8250</v>
      </c>
      <c r="I30" s="23">
        <f>D13</f>
        <v>8495</v>
      </c>
      <c r="J30" s="23">
        <f>E13</f>
        <v>10850</v>
      </c>
      <c r="K30" s="65">
        <f t="shared" si="0"/>
        <v>36771.169606917283</v>
      </c>
      <c r="L30" s="90">
        <f t="shared" si="2"/>
        <v>8442.9319263156121</v>
      </c>
      <c r="M30" s="19" t="str">
        <f t="shared" si="3"/>
        <v>-</v>
      </c>
      <c r="N30" s="19"/>
      <c r="O30" s="19"/>
      <c r="P30" s="19"/>
    </row>
    <row r="31" spans="1:16" ht="13" x14ac:dyDescent="0.3">
      <c r="A31" s="48">
        <v>15</v>
      </c>
      <c r="B31" s="27">
        <v>3</v>
      </c>
      <c r="C31" s="28">
        <v>1</v>
      </c>
      <c r="D31" s="29">
        <f t="shared" si="1"/>
        <v>2</v>
      </c>
      <c r="E31" s="25">
        <f>B12</f>
        <v>7000</v>
      </c>
      <c r="F31" s="25">
        <f>C12</f>
        <v>8000</v>
      </c>
      <c r="G31" s="25">
        <f>D12</f>
        <v>9100</v>
      </c>
      <c r="H31" s="23">
        <f>B13</f>
        <v>9000</v>
      </c>
      <c r="I31" s="30">
        <f>B13</f>
        <v>9000</v>
      </c>
      <c r="J31" s="30">
        <f>C13</f>
        <v>8250</v>
      </c>
      <c r="K31" s="65">
        <f t="shared" si="0"/>
        <v>36204.494228536292</v>
      </c>
      <c r="L31" s="90">
        <f t="shared" si="2"/>
        <v>8312.8190771695299</v>
      </c>
      <c r="M31" s="19" t="str">
        <f t="shared" si="3"/>
        <v>-</v>
      </c>
      <c r="N31" s="19"/>
      <c r="O31" s="19"/>
      <c r="P31" s="19"/>
    </row>
    <row r="32" spans="1:16" ht="13" x14ac:dyDescent="0.3">
      <c r="A32" s="48">
        <v>16</v>
      </c>
      <c r="B32" s="27">
        <v>3</v>
      </c>
      <c r="C32" s="28">
        <v>2</v>
      </c>
      <c r="D32" s="29">
        <f t="shared" si="1"/>
        <v>1</v>
      </c>
      <c r="E32" s="25">
        <f>B12</f>
        <v>7000</v>
      </c>
      <c r="F32" s="25">
        <f>C12</f>
        <v>8000</v>
      </c>
      <c r="G32" s="25">
        <f>D12</f>
        <v>9100</v>
      </c>
      <c r="H32" s="23">
        <f>B13</f>
        <v>9000</v>
      </c>
      <c r="I32" s="23">
        <f>C13</f>
        <v>8250</v>
      </c>
      <c r="J32" s="30">
        <f>B13</f>
        <v>9000</v>
      </c>
      <c r="K32" s="65">
        <f t="shared" si="0"/>
        <v>36162.158683782262</v>
      </c>
      <c r="L32" s="90">
        <f t="shared" si="2"/>
        <v>8303.0985236423294</v>
      </c>
      <c r="M32" s="19" t="str">
        <f t="shared" si="3"/>
        <v>-</v>
      </c>
      <c r="N32" s="19"/>
      <c r="O32" s="19"/>
      <c r="P32" s="19"/>
    </row>
    <row r="33" spans="1:16" ht="13" x14ac:dyDescent="0.3">
      <c r="A33" s="48">
        <v>17</v>
      </c>
      <c r="B33" s="27">
        <v>3</v>
      </c>
      <c r="C33" s="28">
        <v>3</v>
      </c>
      <c r="D33" s="29">
        <f t="shared" si="1"/>
        <v>0</v>
      </c>
      <c r="E33" s="25">
        <f>B12</f>
        <v>7000</v>
      </c>
      <c r="F33" s="25">
        <f>C12</f>
        <v>8000</v>
      </c>
      <c r="G33" s="25">
        <f>D12</f>
        <v>9100</v>
      </c>
      <c r="H33" s="23">
        <f>B13</f>
        <v>9000</v>
      </c>
      <c r="I33" s="23">
        <f>C13</f>
        <v>8250</v>
      </c>
      <c r="J33" s="23">
        <f>D13</f>
        <v>8495</v>
      </c>
      <c r="K33" s="65">
        <f t="shared" si="0"/>
        <v>35877.099349105098</v>
      </c>
      <c r="L33" s="90">
        <f t="shared" si="2"/>
        <v>8237.6467965591819</v>
      </c>
      <c r="M33" s="19" t="str">
        <f t="shared" si="3"/>
        <v>-</v>
      </c>
      <c r="N33" s="19"/>
      <c r="O33" s="19"/>
      <c r="P33" s="19"/>
    </row>
    <row r="34" spans="1:16" ht="13" x14ac:dyDescent="0.3">
      <c r="A34" s="48">
        <v>18</v>
      </c>
      <c r="B34" s="27">
        <v>4</v>
      </c>
      <c r="C34" s="28">
        <v>1</v>
      </c>
      <c r="D34" s="29">
        <f t="shared" si="1"/>
        <v>1</v>
      </c>
      <c r="E34" s="25">
        <f>B12</f>
        <v>7000</v>
      </c>
      <c r="F34" s="25">
        <f>C12</f>
        <v>8000</v>
      </c>
      <c r="G34" s="25">
        <f>D12</f>
        <v>9100</v>
      </c>
      <c r="H34" s="25">
        <f>E12</f>
        <v>10000</v>
      </c>
      <c r="I34" s="23">
        <f>B13</f>
        <v>9000</v>
      </c>
      <c r="J34" s="30">
        <f>B13</f>
        <v>9000</v>
      </c>
      <c r="K34" s="65">
        <f t="shared" si="0"/>
        <v>37310.863131441693</v>
      </c>
      <c r="L34" s="90">
        <f t="shared" si="2"/>
        <v>8566.8495426803565</v>
      </c>
      <c r="M34" s="19" t="str">
        <f t="shared" si="3"/>
        <v>-</v>
      </c>
      <c r="N34" s="19"/>
      <c r="O34" s="19"/>
      <c r="P34" s="19"/>
    </row>
    <row r="35" spans="1:16" ht="13" x14ac:dyDescent="0.3">
      <c r="A35" s="48">
        <v>19</v>
      </c>
      <c r="B35" s="27">
        <v>4</v>
      </c>
      <c r="C35" s="28">
        <v>2</v>
      </c>
      <c r="D35" s="29">
        <f t="shared" si="1"/>
        <v>0</v>
      </c>
      <c r="E35" s="25">
        <f>B12</f>
        <v>7000</v>
      </c>
      <c r="F35" s="25">
        <f>C12</f>
        <v>8000</v>
      </c>
      <c r="G35" s="25">
        <f>D12</f>
        <v>9100</v>
      </c>
      <c r="H35" s="25">
        <f>E12</f>
        <v>10000</v>
      </c>
      <c r="I35" s="23">
        <f>B13</f>
        <v>9000</v>
      </c>
      <c r="J35" s="23">
        <f>C13</f>
        <v>8250</v>
      </c>
      <c r="K35" s="65">
        <f t="shared" si="0"/>
        <v>36887.507683901356</v>
      </c>
      <c r="L35" s="90">
        <f t="shared" si="2"/>
        <v>8469.6440074083566</v>
      </c>
      <c r="M35" s="19" t="str">
        <f t="shared" si="3"/>
        <v>-</v>
      </c>
      <c r="N35" s="19"/>
      <c r="O35" s="19"/>
      <c r="P35" s="19"/>
    </row>
    <row r="36" spans="1:16" ht="13" x14ac:dyDescent="0.3">
      <c r="A36" s="19"/>
      <c r="B36" s="20"/>
      <c r="C36" s="19"/>
      <c r="D36" s="19"/>
      <c r="E36" s="19"/>
      <c r="F36" s="19"/>
      <c r="G36" s="19"/>
      <c r="H36" s="19"/>
      <c r="I36" s="19"/>
      <c r="M36" s="19"/>
      <c r="N36" s="19"/>
      <c r="O36" s="19"/>
      <c r="P36" s="19"/>
    </row>
    <row r="37" spans="1:16" ht="13" x14ac:dyDescent="0.3">
      <c r="A37" s="19"/>
      <c r="B37" s="19"/>
      <c r="C37" s="19"/>
      <c r="D37" s="19"/>
      <c r="E37" s="19"/>
      <c r="F37" s="70"/>
      <c r="G37" s="71"/>
      <c r="H37" s="71"/>
      <c r="I37" s="72"/>
      <c r="J37" s="73" t="s">
        <v>42</v>
      </c>
      <c r="K37" s="68">
        <f>MIN(K17:K35)</f>
        <v>35617.102656922332</v>
      </c>
      <c r="L37" s="19"/>
      <c r="M37" s="19"/>
      <c r="N37" s="19"/>
      <c r="O37" s="19"/>
    </row>
    <row r="38" spans="1:16" ht="13" x14ac:dyDescent="0.3">
      <c r="A38" s="19"/>
      <c r="B38" s="19"/>
      <c r="C38" s="19"/>
      <c r="D38" s="19"/>
      <c r="E38" s="19"/>
      <c r="F38" s="70"/>
      <c r="G38" s="71"/>
      <c r="H38" s="71"/>
      <c r="I38" s="72"/>
      <c r="J38" s="73" t="s">
        <v>36</v>
      </c>
      <c r="K38" s="69">
        <f ca="1">OFFSET(A16, MATCH(K37, K17:K35, 0),0)</f>
        <v>12</v>
      </c>
      <c r="L38" s="19"/>
      <c r="M38" s="19"/>
      <c r="N38" s="19"/>
      <c r="O38" s="19"/>
    </row>
    <row r="39" spans="1:16" ht="13" x14ac:dyDescent="0.3">
      <c r="A39" s="19"/>
      <c r="B39" s="19"/>
      <c r="C39" s="19"/>
      <c r="D39" s="19"/>
      <c r="E39" s="19"/>
      <c r="F39" s="67"/>
      <c r="G39" s="74"/>
      <c r="H39" s="74"/>
      <c r="I39" s="74"/>
      <c r="J39" s="73" t="s">
        <v>43</v>
      </c>
      <c r="K39" s="75">
        <f xml:space="preserve"> -PMT(C5, C4, K37-C7,  0, 0)</f>
        <v>7029.9127353508011</v>
      </c>
      <c r="L39" s="19"/>
      <c r="M39" s="19"/>
      <c r="N39" s="19"/>
      <c r="O39" s="19"/>
    </row>
    <row r="40" spans="1:16" ht="13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6" ht="13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</sheetData>
  <mergeCells count="1">
    <mergeCell ref="E15:J15"/>
  </mergeCells>
  <conditionalFormatting sqref="K17:L35">
    <cfRule type="cellIs" dxfId="1" priority="2" operator="equal">
      <formula>$K$37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Normal="100" workbookViewId="0">
      <selection activeCell="F10" sqref="F10"/>
    </sheetView>
  </sheetViews>
  <sheetFormatPr defaultRowHeight="12.5" x14ac:dyDescent="0.25"/>
  <cols>
    <col min="2" max="2" width="12.1796875" customWidth="1"/>
    <col min="3" max="3" width="13.1796875" customWidth="1"/>
    <col min="4" max="4" width="12.453125" customWidth="1"/>
    <col min="5" max="5" width="11.54296875" customWidth="1"/>
    <col min="6" max="6" width="15.08984375" customWidth="1"/>
    <col min="7" max="7" width="13.453125" customWidth="1"/>
    <col min="8" max="8" width="21.1796875" customWidth="1"/>
  </cols>
  <sheetData>
    <row r="1" spans="1:8" ht="15.5" x14ac:dyDescent="0.35">
      <c r="A1" s="34" t="s">
        <v>39</v>
      </c>
      <c r="B1" s="34"/>
      <c r="C1" s="34"/>
      <c r="D1" s="34"/>
      <c r="E1" s="34"/>
      <c r="F1" s="34"/>
      <c r="G1" s="1"/>
      <c r="H1" s="1"/>
    </row>
    <row r="2" spans="1:8" ht="15.5" x14ac:dyDescent="0.35">
      <c r="A2" s="1"/>
      <c r="B2" s="1"/>
      <c r="C2" s="1"/>
      <c r="D2" s="1"/>
      <c r="E2" s="1"/>
      <c r="F2" s="1"/>
      <c r="G2" s="1"/>
      <c r="H2" s="1"/>
    </row>
    <row r="3" spans="1:8" ht="15.5" x14ac:dyDescent="0.35">
      <c r="A3" s="81" t="s">
        <v>37</v>
      </c>
      <c r="B3" s="82">
        <v>5000</v>
      </c>
      <c r="C3" s="1"/>
      <c r="D3" s="1"/>
      <c r="E3" s="1"/>
      <c r="F3" s="1"/>
      <c r="H3" s="1"/>
    </row>
    <row r="4" spans="1:8" ht="15.5" x14ac:dyDescent="0.35">
      <c r="A4" s="49" t="s">
        <v>6</v>
      </c>
      <c r="B4" s="50">
        <v>0.1</v>
      </c>
      <c r="C4" s="1"/>
      <c r="D4" s="1"/>
      <c r="E4" s="1"/>
      <c r="F4" s="1"/>
      <c r="H4" s="1"/>
    </row>
    <row r="5" spans="1:8" ht="15.5" x14ac:dyDescent="0.35">
      <c r="A5" s="1"/>
      <c r="B5" s="1"/>
      <c r="C5" s="1"/>
      <c r="D5" s="1"/>
      <c r="E5" s="1"/>
      <c r="F5" s="1"/>
      <c r="H5" s="1"/>
    </row>
    <row r="6" spans="1:8" ht="15.5" x14ac:dyDescent="0.35">
      <c r="A6" s="83" t="s">
        <v>38</v>
      </c>
      <c r="B6" s="84"/>
      <c r="C6" s="85"/>
      <c r="D6" s="85"/>
      <c r="E6" s="85"/>
      <c r="F6" s="86"/>
      <c r="G6" s="3"/>
      <c r="H6" s="1"/>
    </row>
    <row r="7" spans="1:8" ht="15.5" x14ac:dyDescent="0.35">
      <c r="A7" s="51"/>
      <c r="B7" s="52" t="s">
        <v>1</v>
      </c>
      <c r="C7" s="52" t="s">
        <v>2</v>
      </c>
      <c r="D7" s="52" t="s">
        <v>3</v>
      </c>
      <c r="E7" s="52" t="s">
        <v>4</v>
      </c>
      <c r="F7" s="52" t="s">
        <v>7</v>
      </c>
      <c r="H7" s="3"/>
    </row>
    <row r="8" spans="1:8" ht="26" x14ac:dyDescent="0.35">
      <c r="A8" s="52" t="s">
        <v>8</v>
      </c>
      <c r="B8" s="52" t="s">
        <v>9</v>
      </c>
      <c r="C8" s="53" t="s">
        <v>10</v>
      </c>
      <c r="D8" s="53" t="s">
        <v>11</v>
      </c>
      <c r="E8" s="53" t="s">
        <v>12</v>
      </c>
      <c r="F8" s="53" t="s">
        <v>13</v>
      </c>
      <c r="H8" s="1"/>
    </row>
    <row r="9" spans="1:8" ht="15.5" x14ac:dyDescent="0.35">
      <c r="A9" s="4">
        <v>0</v>
      </c>
      <c r="B9" s="87">
        <f>B3</f>
        <v>5000</v>
      </c>
      <c r="C9" s="5"/>
      <c r="D9" s="6"/>
      <c r="E9" s="6"/>
      <c r="F9" s="6"/>
      <c r="H9" s="1"/>
    </row>
    <row r="10" spans="1:8" ht="15.5" x14ac:dyDescent="0.35">
      <c r="A10" s="4">
        <v>1</v>
      </c>
      <c r="B10" s="2">
        <v>4000</v>
      </c>
      <c r="C10" s="7">
        <f>B9-B10</f>
        <v>1000</v>
      </c>
      <c r="D10" s="8">
        <f>$B$4*B9</f>
        <v>500</v>
      </c>
      <c r="E10" s="2">
        <v>5500</v>
      </c>
      <c r="F10" s="8">
        <f>SUM(C10:E10)</f>
        <v>7000</v>
      </c>
      <c r="H10" s="3"/>
    </row>
    <row r="11" spans="1:8" ht="15.5" x14ac:dyDescent="0.35">
      <c r="A11" s="4">
        <v>2</v>
      </c>
      <c r="B11" s="2">
        <v>3000</v>
      </c>
      <c r="C11" s="7">
        <f>B10-B11</f>
        <v>1000</v>
      </c>
      <c r="D11" s="8">
        <f>$B$4*B10</f>
        <v>400</v>
      </c>
      <c r="E11" s="2">
        <v>6600</v>
      </c>
      <c r="F11" s="8">
        <f>SUM(C11:E11)</f>
        <v>8000</v>
      </c>
      <c r="H11" s="3"/>
    </row>
    <row r="12" spans="1:8" ht="15.5" x14ac:dyDescent="0.35">
      <c r="A12" s="4">
        <v>3</v>
      </c>
      <c r="B12" s="2">
        <v>2000</v>
      </c>
      <c r="C12" s="7">
        <f>B11-B12</f>
        <v>1000</v>
      </c>
      <c r="D12" s="8">
        <f>$B$4*B11</f>
        <v>300</v>
      </c>
      <c r="E12" s="2">
        <v>7800</v>
      </c>
      <c r="F12" s="8">
        <f>SUM(C12:E12)</f>
        <v>9100</v>
      </c>
      <c r="H12" s="3"/>
    </row>
    <row r="13" spans="1:8" ht="15.5" x14ac:dyDescent="0.35">
      <c r="A13" s="4">
        <v>4</v>
      </c>
      <c r="B13" s="2">
        <v>1000</v>
      </c>
      <c r="C13" s="7">
        <f>B12-B13</f>
        <v>1000</v>
      </c>
      <c r="D13" s="8">
        <f>$B$4*B12</f>
        <v>200</v>
      </c>
      <c r="E13" s="2">
        <v>8800</v>
      </c>
      <c r="F13" s="8">
        <f>SUM(C13:E13)</f>
        <v>10000</v>
      </c>
      <c r="H13" s="3"/>
    </row>
    <row r="14" spans="1:8" ht="15.5" x14ac:dyDescent="0.35">
      <c r="A14" s="1"/>
      <c r="B14" s="1"/>
      <c r="C14" s="1"/>
      <c r="D14" s="1"/>
      <c r="E14" s="1"/>
      <c r="F14" s="1"/>
      <c r="H14" s="1"/>
    </row>
    <row r="15" spans="1:8" ht="15.5" x14ac:dyDescent="0.35">
      <c r="A15" s="1"/>
      <c r="B15" s="1"/>
      <c r="C15" s="1"/>
      <c r="D15" s="1"/>
      <c r="E15" s="1"/>
      <c r="F15" s="1"/>
      <c r="H15" s="1"/>
    </row>
    <row r="16" spans="1:8" ht="15.5" x14ac:dyDescent="0.35">
      <c r="A16" s="1"/>
      <c r="B16" s="1"/>
      <c r="C16" s="1"/>
      <c r="D16" s="1"/>
      <c r="E16" s="1"/>
      <c r="F16" s="1"/>
      <c r="H16" s="1"/>
    </row>
    <row r="17" spans="1:8" ht="15.5" x14ac:dyDescent="0.35">
      <c r="A17" s="1"/>
      <c r="B17" s="1"/>
      <c r="C17" s="1"/>
      <c r="D17" s="1"/>
      <c r="E17" s="1"/>
      <c r="F17" s="1"/>
      <c r="H17" s="1"/>
    </row>
    <row r="18" spans="1:8" ht="15.5" x14ac:dyDescent="0.35">
      <c r="A18" s="1"/>
      <c r="B18" s="1"/>
      <c r="C18" s="1"/>
      <c r="D18" s="1"/>
      <c r="E18" s="1"/>
      <c r="F18" s="1"/>
      <c r="G18" s="1"/>
      <c r="H18" s="1"/>
    </row>
    <row r="19" spans="1:8" ht="15.5" x14ac:dyDescent="0.35">
      <c r="A19" s="1"/>
      <c r="B19" s="1"/>
      <c r="C19" s="1"/>
      <c r="D19" s="1"/>
      <c r="E19" s="1"/>
      <c r="F19" s="1"/>
      <c r="G19" s="1"/>
      <c r="H19" s="1"/>
    </row>
    <row r="20" spans="1:8" ht="15.5" x14ac:dyDescent="0.35">
      <c r="A20" s="1"/>
      <c r="B20" s="1"/>
      <c r="C20" s="1"/>
      <c r="D20" s="1"/>
      <c r="E20" s="1"/>
      <c r="F20" s="1"/>
      <c r="G20" s="1"/>
      <c r="H20" s="1"/>
    </row>
    <row r="21" spans="1:8" ht="15.5" x14ac:dyDescent="0.35">
      <c r="A21" s="1"/>
      <c r="B21" s="1"/>
      <c r="C21" s="1"/>
      <c r="D21" s="1"/>
      <c r="E21" s="1"/>
      <c r="F21" s="1"/>
      <c r="G21" s="1"/>
      <c r="H21" s="1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zoomScaleNormal="100" workbookViewId="0">
      <selection activeCell="G9" sqref="G9"/>
    </sheetView>
  </sheetViews>
  <sheetFormatPr defaultColWidth="9.1796875" defaultRowHeight="12.5" x14ac:dyDescent="0.25"/>
  <cols>
    <col min="1" max="1" width="9.1796875" style="10"/>
    <col min="2" max="2" width="15.1796875" style="10" customWidth="1"/>
    <col min="3" max="3" width="13.1796875" style="10" customWidth="1"/>
    <col min="4" max="4" width="12.453125" style="10" customWidth="1"/>
    <col min="5" max="5" width="11.54296875" style="10" customWidth="1"/>
    <col min="6" max="6" width="12.81640625" style="10" customWidth="1"/>
    <col min="7" max="7" width="13.453125" style="10" customWidth="1"/>
    <col min="8" max="8" width="18.81640625" style="10" customWidth="1"/>
    <col min="9" max="16384" width="9.1796875" style="10"/>
  </cols>
  <sheetData>
    <row r="1" spans="1:9" ht="15.5" x14ac:dyDescent="0.35">
      <c r="A1" s="34" t="s">
        <v>41</v>
      </c>
      <c r="B1" s="35"/>
      <c r="C1" s="35"/>
      <c r="D1" s="35"/>
      <c r="E1" s="35"/>
      <c r="F1" s="35"/>
      <c r="G1" s="35"/>
      <c r="H1" s="9"/>
      <c r="I1" s="9"/>
    </row>
    <row r="2" spans="1:9" ht="15.5" x14ac:dyDescent="0.35">
      <c r="A2" s="9"/>
      <c r="B2" s="9"/>
      <c r="C2" s="9"/>
      <c r="D2" s="9"/>
      <c r="E2" s="9"/>
      <c r="F2" s="9"/>
      <c r="G2" s="9"/>
      <c r="H2" s="9"/>
      <c r="I2" s="9"/>
    </row>
    <row r="3" spans="1:9" ht="15.5" x14ac:dyDescent="0.35">
      <c r="A3" s="88" t="s">
        <v>40</v>
      </c>
      <c r="B3" s="89">
        <v>20000</v>
      </c>
      <c r="C3" s="9"/>
      <c r="D3" s="9"/>
      <c r="E3" s="9"/>
      <c r="F3" s="9"/>
      <c r="G3" s="9"/>
      <c r="H3" s="9"/>
      <c r="I3" s="9"/>
    </row>
    <row r="4" spans="1:9" ht="15.5" x14ac:dyDescent="0.35">
      <c r="A4" s="54" t="s">
        <v>6</v>
      </c>
      <c r="B4" s="55">
        <v>0.1</v>
      </c>
      <c r="C4" s="9"/>
      <c r="D4" s="9"/>
      <c r="E4" s="9"/>
      <c r="F4" s="9"/>
      <c r="G4" s="9"/>
      <c r="H4" s="9"/>
      <c r="I4" s="9"/>
    </row>
    <row r="5" spans="1:9" ht="15.5" x14ac:dyDescent="0.35">
      <c r="A5" s="9"/>
      <c r="B5" s="9"/>
      <c r="C5" s="9"/>
      <c r="D5" s="9"/>
      <c r="E5" s="9"/>
      <c r="F5" s="9"/>
      <c r="G5" s="9"/>
      <c r="H5" s="9"/>
      <c r="I5" s="9"/>
    </row>
    <row r="6" spans="1:9" ht="15.5" x14ac:dyDescent="0.35">
      <c r="A6" s="56"/>
      <c r="B6" s="57" t="s">
        <v>1</v>
      </c>
      <c r="C6" s="57" t="s">
        <v>2</v>
      </c>
      <c r="D6" s="57" t="s">
        <v>3</v>
      </c>
      <c r="E6" s="57" t="s">
        <v>4</v>
      </c>
      <c r="F6" s="57" t="s">
        <v>7</v>
      </c>
      <c r="G6" s="57" t="s">
        <v>5</v>
      </c>
      <c r="H6" s="11"/>
      <c r="I6" s="9"/>
    </row>
    <row r="7" spans="1:9" ht="26" x14ac:dyDescent="0.35">
      <c r="A7" s="57" t="s">
        <v>8</v>
      </c>
      <c r="B7" s="57" t="s">
        <v>9</v>
      </c>
      <c r="C7" s="58" t="s">
        <v>10</v>
      </c>
      <c r="D7" s="58" t="s">
        <v>11</v>
      </c>
      <c r="E7" s="58" t="s">
        <v>12</v>
      </c>
      <c r="F7" s="58" t="s">
        <v>13</v>
      </c>
      <c r="G7" s="58" t="s">
        <v>0</v>
      </c>
      <c r="H7" s="9"/>
      <c r="I7" s="9"/>
    </row>
    <row r="8" spans="1:9" ht="15.5" x14ac:dyDescent="0.35">
      <c r="A8" s="12">
        <v>0</v>
      </c>
      <c r="B8" s="13">
        <f>B3</f>
        <v>20000</v>
      </c>
      <c r="C8" s="14"/>
      <c r="D8" s="15"/>
      <c r="E8" s="15"/>
      <c r="F8" s="15"/>
      <c r="G8" s="15"/>
      <c r="H8" s="9"/>
      <c r="I8" s="9"/>
    </row>
    <row r="9" spans="1:9" ht="15.5" x14ac:dyDescent="0.35">
      <c r="A9" s="12">
        <v>1</v>
      </c>
      <c r="B9" s="13">
        <v>15000</v>
      </c>
      <c r="C9" s="16">
        <f>B8-B9</f>
        <v>5000</v>
      </c>
      <c r="D9" s="17">
        <f>$B$4*B8</f>
        <v>2000</v>
      </c>
      <c r="E9" s="13">
        <v>2000</v>
      </c>
      <c r="F9" s="17">
        <f>SUM(C9:E9)</f>
        <v>9000</v>
      </c>
      <c r="G9" s="62">
        <f>PMT($B$4, A9, -NPV($B$4, $F$9:F9), 0, 0)</f>
        <v>9000</v>
      </c>
      <c r="H9" s="18" t="str">
        <f>IF(G9=MIN($G$9:$G$13), "&lt;- Economic Life", "-")</f>
        <v>-</v>
      </c>
      <c r="I9" s="9"/>
    </row>
    <row r="10" spans="1:9" ht="15.5" x14ac:dyDescent="0.35">
      <c r="A10" s="12">
        <v>2</v>
      </c>
      <c r="B10" s="13">
        <v>11250</v>
      </c>
      <c r="C10" s="16">
        <f>B9-B10</f>
        <v>3750</v>
      </c>
      <c r="D10" s="17">
        <f>$B$4*B9</f>
        <v>1500</v>
      </c>
      <c r="E10" s="13">
        <v>3000</v>
      </c>
      <c r="F10" s="17">
        <f>SUM(C10:E10)</f>
        <v>8250</v>
      </c>
      <c r="G10" s="62">
        <f>PMT($B$4, A10, -NPV($B$4, $F$9:F10), 0, 0)</f>
        <v>8642.8571428571431</v>
      </c>
      <c r="H10" s="18" t="str">
        <f t="shared" ref="H10:H13" si="0">IF(G10=MIN($G$9:$G$13), "&lt;- Economic Life", "-")</f>
        <v>-</v>
      </c>
      <c r="I10" s="9"/>
    </row>
    <row r="11" spans="1:9" ht="15.5" x14ac:dyDescent="0.35">
      <c r="A11" s="12">
        <v>3</v>
      </c>
      <c r="B11" s="13">
        <v>8500</v>
      </c>
      <c r="C11" s="16">
        <f>B10-B11</f>
        <v>2750</v>
      </c>
      <c r="D11" s="17">
        <f>$B$4*B10</f>
        <v>1125</v>
      </c>
      <c r="E11" s="13">
        <v>4620</v>
      </c>
      <c r="F11" s="17">
        <f>SUM(C11:E11)</f>
        <v>8495</v>
      </c>
      <c r="G11" s="63">
        <f>PMT($B$4, A11, -NPV($B$4, $F$9:F11), 0, 0)</f>
        <v>8598.1873111782479</v>
      </c>
      <c r="H11" s="18" t="str">
        <f t="shared" si="0"/>
        <v>&lt;- Economic Life</v>
      </c>
      <c r="I11" s="9"/>
    </row>
    <row r="12" spans="1:9" ht="15.5" x14ac:dyDescent="0.35">
      <c r="A12" s="12">
        <v>4</v>
      </c>
      <c r="B12" s="13">
        <v>6500</v>
      </c>
      <c r="C12" s="16">
        <f>B11-B12</f>
        <v>2000</v>
      </c>
      <c r="D12" s="17">
        <f>$B$4*B11</f>
        <v>850</v>
      </c>
      <c r="E12" s="13">
        <v>8000</v>
      </c>
      <c r="F12" s="17">
        <f>SUM(C12:E12)</f>
        <v>10850</v>
      </c>
      <c r="G12" s="62">
        <f>PMT($B$4, A12, -NPV($B$4, $F$9:F12), 0, 0)</f>
        <v>9083.3872010342584</v>
      </c>
      <c r="H12" s="18" t="str">
        <f t="shared" si="0"/>
        <v>-</v>
      </c>
      <c r="I12" s="9"/>
    </row>
    <row r="13" spans="1:9" ht="15.5" x14ac:dyDescent="0.35">
      <c r="A13" s="12">
        <v>5</v>
      </c>
      <c r="B13" s="13">
        <v>4750</v>
      </c>
      <c r="C13" s="16">
        <f>B12-B13</f>
        <v>1750</v>
      </c>
      <c r="D13" s="17">
        <f>$B$4*B12</f>
        <v>650</v>
      </c>
      <c r="E13" s="13">
        <v>12000</v>
      </c>
      <c r="F13" s="17">
        <f>SUM(C13:E13)</f>
        <v>14400</v>
      </c>
      <c r="G13" s="62">
        <f>PMT($B$4, A13, -NPV($B$4, $F$9:F13), 0, 0)</f>
        <v>9954.2349838659484</v>
      </c>
      <c r="H13" s="18" t="str">
        <f t="shared" si="0"/>
        <v>-</v>
      </c>
      <c r="I13" s="9"/>
    </row>
    <row r="14" spans="1:9" ht="15.5" x14ac:dyDescent="0.35">
      <c r="A14" s="9"/>
      <c r="B14" s="9"/>
      <c r="C14" s="9"/>
      <c r="D14" s="9"/>
      <c r="E14" s="9"/>
      <c r="F14" s="9"/>
      <c r="G14" s="9"/>
      <c r="H14" s="9"/>
      <c r="I14" s="9"/>
    </row>
    <row r="15" spans="1:9" ht="15.5" x14ac:dyDescent="0.35">
      <c r="A15" s="9"/>
      <c r="B15" s="9"/>
      <c r="C15" s="9"/>
      <c r="D15" s="9"/>
      <c r="E15" s="9"/>
      <c r="F15" s="59" t="s">
        <v>30</v>
      </c>
      <c r="G15" s="61">
        <f>MIN(G9:G13)</f>
        <v>8598.1873111782479</v>
      </c>
      <c r="H15" s="9"/>
      <c r="I15" s="9"/>
    </row>
    <row r="16" spans="1:9" ht="15.5" x14ac:dyDescent="0.35">
      <c r="A16" s="9"/>
      <c r="B16" s="9"/>
      <c r="C16" s="9"/>
      <c r="D16" s="9"/>
      <c r="E16" s="9"/>
      <c r="F16" s="59" t="s">
        <v>31</v>
      </c>
      <c r="G16" s="60">
        <f ca="1">OFFSET(A8, MATCH(G15, G9:G13, 0), 0)</f>
        <v>3</v>
      </c>
      <c r="H16" s="1" t="str">
        <f ca="1">IF(G16=1, "year", "years")</f>
        <v>years</v>
      </c>
      <c r="I16" s="9"/>
    </row>
    <row r="17" spans="1:9" ht="15.5" x14ac:dyDescent="0.35">
      <c r="A17" s="9"/>
      <c r="B17" s="9"/>
      <c r="C17" s="9"/>
      <c r="D17" s="9"/>
      <c r="E17" s="9"/>
      <c r="F17" s="9"/>
      <c r="G17" s="9"/>
      <c r="H17" s="9"/>
      <c r="I17" s="9"/>
    </row>
    <row r="18" spans="1:9" ht="15.5" x14ac:dyDescent="0.35">
      <c r="A18" s="9"/>
      <c r="B18" s="9"/>
      <c r="C18" s="9"/>
      <c r="D18" s="9"/>
      <c r="E18" s="9"/>
      <c r="F18" s="9"/>
      <c r="G18" s="9"/>
      <c r="H18" s="9"/>
      <c r="I18" s="9"/>
    </row>
    <row r="19" spans="1:9" ht="15.5" x14ac:dyDescent="0.35">
      <c r="A19" s="9"/>
      <c r="B19" s="9"/>
      <c r="C19" s="9"/>
      <c r="D19" s="9"/>
      <c r="E19" s="9"/>
      <c r="F19" s="9"/>
      <c r="G19" s="9"/>
      <c r="H19" s="9"/>
      <c r="I19" s="9"/>
    </row>
    <row r="20" spans="1:9" ht="15.5" x14ac:dyDescent="0.35">
      <c r="A20" s="9"/>
      <c r="B20" s="9"/>
      <c r="C20" s="9"/>
      <c r="D20" s="9"/>
      <c r="E20" s="9"/>
      <c r="F20" s="9"/>
      <c r="G20" s="9"/>
      <c r="H20" s="9"/>
      <c r="I20" s="9"/>
    </row>
    <row r="21" spans="1:9" ht="15.5" x14ac:dyDescent="0.35">
      <c r="A21" s="9"/>
      <c r="B21" s="9"/>
      <c r="C21" s="9"/>
      <c r="D21" s="9"/>
      <c r="E21" s="9"/>
      <c r="F21" s="9"/>
      <c r="G21" s="9"/>
      <c r="H21" s="9"/>
      <c r="I21" s="9"/>
    </row>
    <row r="22" spans="1:9" ht="15.5" x14ac:dyDescent="0.35">
      <c r="A22" s="9"/>
      <c r="B22" s="9"/>
      <c r="C22" s="9"/>
      <c r="D22" s="9"/>
      <c r="E22" s="9"/>
      <c r="F22" s="9"/>
      <c r="G22" s="9"/>
      <c r="H22" s="9"/>
      <c r="I22" s="9"/>
    </row>
    <row r="23" spans="1:9" ht="15.5" x14ac:dyDescent="0.35">
      <c r="A23" s="9"/>
      <c r="B23" s="9"/>
      <c r="C23" s="9"/>
      <c r="D23" s="9"/>
      <c r="E23" s="9"/>
      <c r="F23" s="9"/>
      <c r="G23" s="9"/>
      <c r="H23" s="9"/>
      <c r="I23" s="9"/>
    </row>
    <row r="24" spans="1:9" ht="15.5" x14ac:dyDescent="0.35">
      <c r="A24" s="9"/>
      <c r="B24" s="9"/>
      <c r="C24" s="9"/>
      <c r="D24" s="9"/>
      <c r="E24" s="9"/>
      <c r="F24" s="9"/>
      <c r="G24" s="9"/>
      <c r="H24" s="9"/>
      <c r="I24" s="9"/>
    </row>
  </sheetData>
  <conditionalFormatting sqref="G9:G13">
    <cfRule type="cellIs" dxfId="0" priority="1" operator="equal">
      <formula>$G$15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Replacement Plans</vt:lpstr>
      <vt:lpstr>Defender Data</vt:lpstr>
      <vt:lpstr>Challenger Data</vt:lpstr>
    </vt:vector>
  </TitlesOfParts>
  <Company>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Kim Leng</dc:creator>
  <cp:lastModifiedBy>Poh Kim Leng</cp:lastModifiedBy>
  <dcterms:created xsi:type="dcterms:W3CDTF">2002-02-03T07:30:17Z</dcterms:created>
  <dcterms:modified xsi:type="dcterms:W3CDTF">2021-12-14T08:14:38Z</dcterms:modified>
</cp:coreProperties>
</file>