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840" windowWidth="21600"/>
  </bookViews>
  <sheets>
    <sheet xmlns:r="http://schemas.openxmlformats.org/officeDocument/2006/relationships" name="Sheet1" sheetId="1" state="visible" r:id="rId1"/>
  </sheets>
  <definedNames>
    <definedName hidden="1" localSheetId="0" name="_xlnm._FilterDatabase">'Sheet1'!$B:$Q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3">
    <font>
      <name val="等线"/>
      <charset val="134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Arial"/>
      <b val="1"/>
      <strike val="0"/>
      <color rgb="FF000000"/>
      <sz val="11"/>
    </font>
    <font>
      <name val="Arial"/>
      <strike val="0"/>
      <color rgb="FF000000"/>
      <sz val="11"/>
    </font>
  </fonts>
  <fills count="33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2" numFmtId="0"/>
    <xf applyAlignment="1" borderId="0" fillId="0" fontId="2" numFmtId="164">
      <alignment vertical="center"/>
    </xf>
    <xf applyAlignment="1" borderId="0" fillId="12" fontId="7" numFmtId="0">
      <alignment vertical="center"/>
    </xf>
    <xf applyAlignment="1" borderId="2" fillId="3" fontId="4" numFmtId="0">
      <alignment vertical="center"/>
    </xf>
    <xf applyAlignment="1" borderId="0" fillId="0" fontId="2" numFmtId="165">
      <alignment vertical="center"/>
    </xf>
    <xf applyAlignment="1" borderId="0" fillId="0" fontId="2" numFmtId="166">
      <alignment vertical="center"/>
    </xf>
    <xf applyAlignment="1" borderId="0" fillId="6" fontId="7" numFmtId="0">
      <alignment vertical="center"/>
    </xf>
    <xf applyAlignment="1" borderId="0" fillId="9" fontId="9" numFmtId="0">
      <alignment vertical="center"/>
    </xf>
    <xf applyAlignment="1" borderId="0" fillId="0" fontId="2" numFmtId="167">
      <alignment vertical="center"/>
    </xf>
    <xf applyAlignment="1" borderId="0" fillId="15" fontId="8" numFmtId="0">
      <alignment vertical="center"/>
    </xf>
    <xf applyAlignment="1" borderId="0" fillId="0" fontId="3" numFmtId="0">
      <alignment vertical="center"/>
    </xf>
    <xf applyAlignment="1" borderId="0" fillId="0" fontId="2" numFmtId="0">
      <alignment vertical="center"/>
    </xf>
    <xf applyAlignment="1" borderId="0" fillId="0" fontId="13" numFmtId="0">
      <alignment vertical="center"/>
    </xf>
    <xf applyAlignment="1" borderId="7" fillId="17" fontId="2" numFmtId="0">
      <alignment vertical="center"/>
    </xf>
    <xf applyAlignment="1" borderId="0" fillId="8" fontId="8" numFmtId="0">
      <alignment vertical="center"/>
    </xf>
    <xf applyAlignment="1" borderId="0" fillId="0" fontId="11" numFmtId="0">
      <alignment vertical="center"/>
    </xf>
    <xf applyAlignment="1" borderId="0" fillId="0" fontId="5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3" fillId="0" fontId="6" numFmtId="0">
      <alignment vertical="center"/>
    </xf>
    <xf applyAlignment="1" borderId="3" fillId="0" fontId="19" numFmtId="0">
      <alignment vertical="center"/>
    </xf>
    <xf applyAlignment="1" borderId="0" fillId="25" fontId="8" numFmtId="0">
      <alignment vertical="center"/>
    </xf>
    <xf applyAlignment="1" borderId="5" fillId="0" fontId="11" numFmtId="0">
      <alignment vertical="center"/>
    </xf>
    <xf applyAlignment="1" borderId="0" fillId="23" fontId="8" numFmtId="0">
      <alignment vertical="center"/>
    </xf>
    <xf applyAlignment="1" borderId="1" fillId="2" fontId="1" numFmtId="0">
      <alignment vertical="center"/>
    </xf>
    <xf applyAlignment="1" borderId="2" fillId="2" fontId="12" numFmtId="0">
      <alignment vertical="center"/>
    </xf>
    <xf applyAlignment="1" borderId="6" fillId="16" fontId="14" numFmtId="0">
      <alignment vertical="center"/>
    </xf>
    <xf applyAlignment="1" borderId="0" fillId="26" fontId="7" numFmtId="0">
      <alignment vertical="center"/>
    </xf>
    <xf applyAlignment="1" borderId="0" fillId="29" fontId="8" numFmtId="0">
      <alignment vertical="center"/>
    </xf>
    <xf applyAlignment="1" borderId="4" fillId="0" fontId="10" numFmtId="0">
      <alignment vertical="center"/>
    </xf>
    <xf applyAlignment="1" borderId="8" fillId="0" fontId="20" numFmtId="0">
      <alignment vertical="center"/>
    </xf>
    <xf applyAlignment="1" borderId="0" fillId="22" fontId="18" numFmtId="0">
      <alignment vertical="center"/>
    </xf>
    <xf applyAlignment="1" borderId="0" fillId="20" fontId="15" numFmtId="0">
      <alignment vertical="center"/>
    </xf>
    <xf applyAlignment="1" borderId="0" fillId="21" fontId="7" numFmtId="0">
      <alignment vertical="center"/>
    </xf>
    <xf applyAlignment="1" borderId="0" fillId="24" fontId="8" numFmtId="0">
      <alignment vertical="center"/>
    </xf>
    <xf applyAlignment="1" borderId="0" fillId="5" fontId="7" numFmtId="0">
      <alignment vertical="center"/>
    </xf>
    <xf applyAlignment="1" borderId="0" fillId="4" fontId="7" numFmtId="0">
      <alignment vertical="center"/>
    </xf>
    <xf applyAlignment="1" borderId="0" fillId="11" fontId="7" numFmtId="0">
      <alignment vertical="center"/>
    </xf>
    <xf applyAlignment="1" borderId="0" fillId="7" fontId="7" numFmtId="0">
      <alignment vertical="center"/>
    </xf>
    <xf applyAlignment="1" borderId="0" fillId="10" fontId="8" numFmtId="0">
      <alignment vertical="center"/>
    </xf>
    <xf applyAlignment="1" borderId="0" fillId="28" fontId="8" numFmtId="0">
      <alignment vertical="center"/>
    </xf>
    <xf applyAlignment="1" borderId="0" fillId="19" fontId="7" numFmtId="0">
      <alignment vertical="center"/>
    </xf>
    <xf applyAlignment="1" borderId="0" fillId="18" fontId="7" numFmtId="0">
      <alignment vertical="center"/>
    </xf>
    <xf applyAlignment="1" borderId="0" fillId="27" fontId="8" numFmtId="0">
      <alignment vertical="center"/>
    </xf>
    <xf applyAlignment="1" borderId="0" fillId="14" fontId="7" numFmtId="0">
      <alignment vertical="center"/>
    </xf>
    <xf applyAlignment="1" borderId="0" fillId="13" fontId="8" numFmtId="0">
      <alignment vertical="center"/>
    </xf>
    <xf applyAlignment="1" borderId="0" fillId="31" fontId="8" numFmtId="0">
      <alignment vertical="center"/>
    </xf>
    <xf applyAlignment="1" borderId="0" fillId="32" fontId="7" numFmtId="0">
      <alignment vertical="center"/>
    </xf>
    <xf applyAlignment="1" borderId="0" fillId="30" fontId="8" numFmtId="0">
      <alignment vertical="center"/>
    </xf>
  </cellStyleXfs>
  <cellXfs count="5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21" numFmtId="0" pivotButton="0" quotePrefix="0" xfId="0">
      <alignment vertical="center"/>
    </xf>
    <xf applyAlignment="1" borderId="0" fillId="0" fontId="22" numFmtId="0" pivotButton="0" quotePrefix="0" xfId="0">
      <alignment vertical="center"/>
    </xf>
    <xf borderId="0" fillId="0" fontId="22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2"/>
  <sheetViews>
    <sheetView tabSelected="1" topLeftCell="A38" workbookViewId="0">
      <pane activePane="bottomLeft" state="frozen" topLeftCell="A2" ySplit="1"/>
      <selection activeCell="E66" pane="bottomLeft" sqref="E66"/>
    </sheetView>
  </sheetViews>
  <sheetFormatPr baseColWidth="8" defaultColWidth="9" defaultRowHeight="14.25"/>
  <cols>
    <col customWidth="1" max="1" min="1" width="12"/>
    <col customWidth="1" max="2" min="2" width="11"/>
    <col customWidth="1" max="3" min="3" width="17"/>
    <col customWidth="1" max="4" min="4" width="10"/>
    <col customWidth="1" max="5" min="5" width="10"/>
    <col customWidth="1" max="6" min="6" width="7"/>
    <col customWidth="1" max="7" min="7" width="11"/>
    <col customWidth="1" max="8" min="8" width="9"/>
    <col customWidth="1" max="9" min="9" width="9"/>
    <col customWidth="1" max="10" min="10" width="9"/>
    <col customWidth="1" max="11" min="11" width="9"/>
    <col customWidth="1" max="12" min="12" width="9"/>
    <col customWidth="1" max="13" min="13" width="40"/>
    <col customWidth="1" max="14" min="14" width="6"/>
    <col customWidth="1" max="17" min="15" width="7"/>
    <col customWidth="1" max="16" min="16" width="7"/>
    <col customWidth="1" max="17" min="17" width="7"/>
  </cols>
  <sheetData>
    <row r="1">
      <c r="A1" s="2" t="inlineStr">
        <is>
          <t>流水号</t>
        </is>
      </c>
      <c r="B1" s="2" t="inlineStr">
        <is>
          <t>发生日期</t>
        </is>
      </c>
      <c r="C1" s="2" t="inlineStr">
        <is>
          <t>业务名称</t>
        </is>
      </c>
      <c r="D1" s="2" t="inlineStr">
        <is>
          <t>发生金额</t>
        </is>
      </c>
      <c r="E1" s="2" t="inlineStr">
        <is>
          <t>剩余金额</t>
        </is>
      </c>
      <c r="F1" s="2" t="inlineStr">
        <is>
          <t>币种</t>
        </is>
      </c>
      <c r="G1" s="2" t="inlineStr">
        <is>
          <t>股东代码</t>
        </is>
      </c>
      <c r="H1" s="2" t="inlineStr">
        <is>
          <t>证券代码</t>
        </is>
      </c>
      <c r="I1" s="2" t="inlineStr">
        <is>
          <t>证券名称</t>
        </is>
      </c>
      <c r="J1" s="2" t="inlineStr">
        <is>
          <t>买卖标志</t>
        </is>
      </c>
      <c r="K1" s="2" t="inlineStr">
        <is>
          <t>成交价格</t>
        </is>
      </c>
      <c r="L1" s="2" t="inlineStr">
        <is>
          <t>成交数量</t>
        </is>
      </c>
      <c r="M1" s="2" t="inlineStr">
        <is>
          <t>备注</t>
        </is>
      </c>
      <c r="N1" s="2" t="inlineStr">
        <is>
          <t>佣金</t>
        </is>
      </c>
      <c r="O1" s="2" t="inlineStr">
        <is>
          <t>印花税</t>
        </is>
      </c>
      <c r="P1" s="2" t="inlineStr">
        <is>
          <t>过户费</t>
        </is>
      </c>
      <c r="Q1" s="2" t="inlineStr">
        <is>
          <t>其他费</t>
        </is>
      </c>
    </row>
    <row r="2">
      <c r="A2" s="3">
        <f>"5481"</f>
        <v/>
      </c>
      <c r="B2" s="3">
        <f>"20200226"</f>
        <v/>
      </c>
      <c r="C2" s="3">
        <f>"证券卖出"</f>
        <v/>
      </c>
      <c r="D2" s="3">
        <f>"7460.11"</f>
        <v/>
      </c>
      <c r="E2" s="3" t="n">
        <v>7460.11</v>
      </c>
      <c r="F2" s="3">
        <f>"人民币"</f>
        <v/>
      </c>
      <c r="G2" s="3">
        <f>"A280737240"</f>
        <v/>
      </c>
      <c r="H2" s="3">
        <f>"510500"</f>
        <v/>
      </c>
      <c r="I2" s="3">
        <f>"500ETF"</f>
        <v/>
      </c>
      <c r="J2" s="3">
        <f>"卖出"</f>
        <v/>
      </c>
      <c r="K2" s="3" t="n">
        <v>6.218</v>
      </c>
      <c r="L2" s="3" t="n">
        <v>-1200</v>
      </c>
      <c r="M2" s="3">
        <f>"证券卖出"</f>
        <v/>
      </c>
      <c r="N2" s="3" t="n">
        <v>1.49</v>
      </c>
      <c r="O2" s="3" t="n">
        <v>0</v>
      </c>
      <c r="P2" s="3" t="n">
        <v>0</v>
      </c>
      <c r="Q2" s="3" t="n">
        <v>0</v>
      </c>
    </row>
    <row r="3">
      <c r="A3" s="3">
        <f>"11146"</f>
        <v/>
      </c>
      <c r="B3" s="3">
        <f>"20200226"</f>
        <v/>
      </c>
      <c r="C3" s="3">
        <f>"证券卖出"</f>
        <v/>
      </c>
      <c r="D3" s="3">
        <f>"9202.96"</f>
        <v/>
      </c>
      <c r="E3" s="3" t="n">
        <v>16663.07</v>
      </c>
      <c r="F3" s="3">
        <f>"人民币"</f>
        <v/>
      </c>
      <c r="G3" s="3">
        <f>"0184500716"</f>
        <v/>
      </c>
      <c r="H3" s="3">
        <f>"159915"</f>
        <v/>
      </c>
      <c r="I3" s="3">
        <f>"创业板"</f>
        <v/>
      </c>
      <c r="J3" s="3">
        <f>"卖出"</f>
        <v/>
      </c>
      <c r="K3" s="3" t="n">
        <v>2.092</v>
      </c>
      <c r="L3" s="3" t="n">
        <v>-4400</v>
      </c>
      <c r="M3" s="3">
        <f>"证券卖出"</f>
        <v/>
      </c>
      <c r="N3" s="3" t="n">
        <v>1.84</v>
      </c>
      <c r="O3" s="3" t="n">
        <v>0</v>
      </c>
      <c r="P3" s="3" t="n">
        <v>0</v>
      </c>
      <c r="Q3" s="3" t="n">
        <v>0</v>
      </c>
    </row>
    <row r="4">
      <c r="A4" s="3">
        <f>"15776"</f>
        <v/>
      </c>
      <c r="B4" s="3">
        <f>"20200226"</f>
        <v/>
      </c>
      <c r="C4" s="3">
        <f>"基金资金拨出"</f>
        <v/>
      </c>
      <c r="D4" s="3">
        <f>"-16662.07"</f>
        <v/>
      </c>
      <c r="E4" s="3" t="n">
        <v>1</v>
      </c>
      <c r="F4" s="3">
        <f>"人民币"</f>
        <v/>
      </c>
      <c r="G4" s="3">
        <f>" "</f>
        <v/>
      </c>
      <c r="H4" s="3">
        <f>" "</f>
        <v/>
      </c>
      <c r="I4" s="3">
        <f>" "</f>
        <v/>
      </c>
      <c r="J4" s="3">
        <f>"卖出"</f>
        <v/>
      </c>
      <c r="K4" s="3" t="n">
        <v>0</v>
      </c>
      <c r="L4" s="3" t="n">
        <v>0</v>
      </c>
      <c r="M4" s="3">
        <f>"122扣除金额 基金代码：940018,发生份额：16662.07"</f>
        <v/>
      </c>
      <c r="N4" s="3" t="n">
        <v>0</v>
      </c>
      <c r="O4" s="3" t="n">
        <v>0</v>
      </c>
      <c r="P4" s="3" t="n">
        <v>0</v>
      </c>
      <c r="Q4" s="3" t="n">
        <v>0</v>
      </c>
    </row>
    <row r="5">
      <c r="A5" s="3">
        <f>"573"</f>
        <v/>
      </c>
      <c r="B5" s="3">
        <f>"20200227"</f>
        <v/>
      </c>
      <c r="C5" s="3">
        <f>"资管转让资金上账"</f>
        <v/>
      </c>
      <c r="D5" s="3">
        <f>"16662.00"</f>
        <v/>
      </c>
      <c r="E5" s="3" t="n">
        <v>16663</v>
      </c>
      <c r="F5" s="3">
        <f>"人民币"</f>
        <v/>
      </c>
      <c r="G5" s="3">
        <f>" "</f>
        <v/>
      </c>
      <c r="H5" s="3">
        <f>" "</f>
        <v/>
      </c>
      <c r="I5" s="3">
        <f>" "</f>
        <v/>
      </c>
      <c r="J5" s="3">
        <f>"卖出"</f>
        <v/>
      </c>
      <c r="K5" s="3" t="n">
        <v>0</v>
      </c>
      <c r="L5" s="3" t="n">
        <v>0</v>
      </c>
      <c r="M5" s="3">
        <f>"快速取现退出资金拨入,产品代码940018,对方资产账户40000545correct_balance=0"</f>
        <v/>
      </c>
      <c r="N5" s="3" t="n">
        <v>0</v>
      </c>
      <c r="O5" s="3" t="n">
        <v>0</v>
      </c>
      <c r="P5" s="3" t="n">
        <v>0</v>
      </c>
      <c r="Q5" s="3" t="n">
        <v>0</v>
      </c>
    </row>
    <row r="6">
      <c r="A6" s="3">
        <f>"578"</f>
        <v/>
      </c>
      <c r="B6" s="3">
        <f>"20200227"</f>
        <v/>
      </c>
      <c r="C6" s="3">
        <f>"银行转取"</f>
        <v/>
      </c>
      <c r="D6" s="3">
        <f>"-16663.00"</f>
        <v/>
      </c>
      <c r="E6" s="3" t="n">
        <v>0</v>
      </c>
      <c r="F6" s="3">
        <f>"人民币"</f>
        <v/>
      </c>
      <c r="G6" s="3">
        <f>" "</f>
        <v/>
      </c>
      <c r="H6" s="3">
        <f>" "</f>
        <v/>
      </c>
      <c r="I6" s="3">
        <f>" "</f>
        <v/>
      </c>
      <c r="J6" s="3">
        <f>"卖出"</f>
        <v/>
      </c>
      <c r="K6" s="3" t="n">
        <v>0</v>
      </c>
      <c r="L6" s="3" t="n">
        <v>0</v>
      </c>
      <c r="M6" s="3">
        <f>"银行返回码[ ]返回信息[0000 交易成功]|转账成功 转账账号:6225881012906292 correct_balance=16663"</f>
        <v/>
      </c>
      <c r="N6" s="3" t="n">
        <v>0</v>
      </c>
      <c r="O6" s="3" t="n">
        <v>0</v>
      </c>
      <c r="P6" s="3" t="n">
        <v>0</v>
      </c>
      <c r="Q6" s="3" t="n">
        <v>0</v>
      </c>
    </row>
    <row r="7">
      <c r="A7" s="3">
        <f>"3243"</f>
        <v/>
      </c>
      <c r="B7" s="3">
        <f>"20200310"</f>
        <v/>
      </c>
      <c r="C7" s="3">
        <f>"基金资金拨出"</f>
        <v/>
      </c>
      <c r="D7" s="3">
        <f>"-9885.02"</f>
        <v/>
      </c>
      <c r="E7" s="3" t="n">
        <v>-9885.02</v>
      </c>
      <c r="F7" s="3">
        <f>"人民币"</f>
        <v/>
      </c>
      <c r="G7" s="3">
        <f>" "</f>
        <v/>
      </c>
      <c r="H7" s="3">
        <f>" "</f>
        <v/>
      </c>
      <c r="I7" s="3">
        <f>" "</f>
        <v/>
      </c>
      <c r="J7" s="3">
        <f>"卖出"</f>
        <v/>
      </c>
      <c r="K7" s="3" t="n">
        <v>0</v>
      </c>
      <c r="L7" s="3" t="n">
        <v>0</v>
      </c>
      <c r="M7" s="3">
        <f>"122扣除金额 基金代码：940018,发生份额：9885.02"</f>
        <v/>
      </c>
      <c r="N7" s="3" t="n">
        <v>0</v>
      </c>
      <c r="O7" s="3" t="n">
        <v>0</v>
      </c>
      <c r="P7" s="3" t="n">
        <v>0</v>
      </c>
      <c r="Q7" s="3" t="n">
        <v>0</v>
      </c>
    </row>
    <row r="8">
      <c r="A8" s="3">
        <f>"14950"</f>
        <v/>
      </c>
      <c r="B8" s="3">
        <f>"20200310"</f>
        <v/>
      </c>
      <c r="C8" s="3">
        <f>"证券卖出"</f>
        <v/>
      </c>
      <c r="D8" s="3">
        <f>"9886.02"</f>
        <v/>
      </c>
      <c r="E8" s="3" t="n">
        <v>1</v>
      </c>
      <c r="F8" s="3">
        <f>"人民币"</f>
        <v/>
      </c>
      <c r="G8" s="3">
        <f>"0184500716"</f>
        <v/>
      </c>
      <c r="H8" s="3">
        <f>"159915"</f>
        <v/>
      </c>
      <c r="I8" s="3">
        <f>"创业板"</f>
        <v/>
      </c>
      <c r="J8" s="3">
        <f>"卖出"</f>
        <v/>
      </c>
      <c r="K8" s="3" t="n">
        <v>2.06</v>
      </c>
      <c r="L8" s="3" t="n">
        <v>-4800</v>
      </c>
      <c r="M8" s="3">
        <f>"证券卖出"</f>
        <v/>
      </c>
      <c r="N8" s="3" t="n">
        <v>1.98</v>
      </c>
      <c r="O8" s="3" t="n">
        <v>0</v>
      </c>
      <c r="P8" s="3" t="n">
        <v>0</v>
      </c>
      <c r="Q8" s="3" t="n">
        <v>0</v>
      </c>
    </row>
    <row r="9">
      <c r="A9" s="3">
        <f>"1132"</f>
        <v/>
      </c>
      <c r="B9" s="3">
        <f>"20200311"</f>
        <v/>
      </c>
      <c r="C9" s="3">
        <f>"资管转让资金上账"</f>
        <v/>
      </c>
      <c r="D9" s="3">
        <f>"9885.00"</f>
        <v/>
      </c>
      <c r="E9" s="3" t="n">
        <v>9886</v>
      </c>
      <c r="F9" s="3">
        <f>"人民币"</f>
        <v/>
      </c>
      <c r="G9" s="3">
        <f>" "</f>
        <v/>
      </c>
      <c r="H9" s="3">
        <f>" "</f>
        <v/>
      </c>
      <c r="I9" s="3">
        <f>" "</f>
        <v/>
      </c>
      <c r="J9" s="3">
        <f>"卖出"</f>
        <v/>
      </c>
      <c r="K9" s="3" t="n">
        <v>0</v>
      </c>
      <c r="L9" s="3" t="n">
        <v>0</v>
      </c>
      <c r="M9" s="3">
        <f>"快速取现退出资金拨入,产品代码940018,对方资产账户40000545correct_balance=0"</f>
        <v/>
      </c>
      <c r="N9" s="3" t="n">
        <v>0</v>
      </c>
      <c r="O9" s="3" t="n">
        <v>0</v>
      </c>
      <c r="P9" s="3" t="n">
        <v>0</v>
      </c>
      <c r="Q9" s="3" t="n">
        <v>0</v>
      </c>
    </row>
    <row r="10">
      <c r="A10" s="3">
        <f>"1135"</f>
        <v/>
      </c>
      <c r="B10" s="3">
        <f>"20200311"</f>
        <v/>
      </c>
      <c r="C10" s="3">
        <f>"银行转取"</f>
        <v/>
      </c>
      <c r="D10" s="3">
        <f>"-9886.00"</f>
        <v/>
      </c>
      <c r="E10" s="3" t="n">
        <v>0</v>
      </c>
      <c r="F10" s="3">
        <f>"人民币"</f>
        <v/>
      </c>
      <c r="G10" s="3">
        <f>" "</f>
        <v/>
      </c>
      <c r="H10" s="3">
        <f>" "</f>
        <v/>
      </c>
      <c r="I10" s="3">
        <f>" "</f>
        <v/>
      </c>
      <c r="J10" s="3">
        <f>"卖出"</f>
        <v/>
      </c>
      <c r="K10" s="3" t="n">
        <v>0</v>
      </c>
      <c r="L10" s="3" t="n">
        <v>0</v>
      </c>
      <c r="M10" s="3">
        <f>"银行返回码[ ]返回信息[0000 交易成功]|转账成功 转账账号:6225881012906292 correct_balance=9886"</f>
        <v/>
      </c>
      <c r="N10" s="3" t="n">
        <v>0</v>
      </c>
      <c r="O10" s="3" t="n">
        <v>0</v>
      </c>
      <c r="P10" s="3" t="n">
        <v>0</v>
      </c>
      <c r="Q10" s="3" t="n">
        <v>0</v>
      </c>
    </row>
    <row r="11">
      <c r="A11" s="3">
        <f>"3199"</f>
        <v/>
      </c>
      <c r="B11" s="3">
        <f>"20200311"</f>
        <v/>
      </c>
      <c r="C11" s="3">
        <f>"基金资金拨入"</f>
        <v/>
      </c>
      <c r="D11" s="3">
        <f>"0.46"</f>
        <v/>
      </c>
      <c r="E11" s="3" t="n">
        <v>0.46</v>
      </c>
      <c r="F11" s="3">
        <f>"人民币"</f>
        <v/>
      </c>
      <c r="G11" s="3">
        <f>" "</f>
        <v/>
      </c>
      <c r="H11" s="3">
        <f>" "</f>
        <v/>
      </c>
      <c r="I11" s="3">
        <f>" "</f>
        <v/>
      </c>
      <c r="J11" s="3">
        <f>"卖出"</f>
        <v/>
      </c>
      <c r="K11" s="3" t="n">
        <v>0</v>
      </c>
      <c r="L11" s="3" t="n">
        <v>0</v>
      </c>
      <c r="M11" s="3">
        <f>"124增加金额 基金代码：940018,发生份额：.46"</f>
        <v/>
      </c>
      <c r="N11" s="3" t="n">
        <v>0</v>
      </c>
      <c r="O11" s="3" t="n">
        <v>0</v>
      </c>
      <c r="P11" s="3" t="n">
        <v>0</v>
      </c>
      <c r="Q11" s="3" t="n">
        <v>0</v>
      </c>
    </row>
    <row r="12">
      <c r="A12" s="3">
        <f>"4431"</f>
        <v/>
      </c>
      <c r="B12" s="3">
        <f>"20200313"</f>
        <v/>
      </c>
      <c r="C12" s="3">
        <f>"基金资金拨出"</f>
        <v/>
      </c>
      <c r="D12" s="3">
        <f>"-7634.13"</f>
        <v/>
      </c>
      <c r="E12" s="3" t="n">
        <v>-7633.67</v>
      </c>
      <c r="F12" s="3">
        <f>"人民币"</f>
        <v/>
      </c>
      <c r="G12" s="3">
        <f>" "</f>
        <v/>
      </c>
      <c r="H12" s="3">
        <f>" "</f>
        <v/>
      </c>
      <c r="I12" s="3">
        <f>" "</f>
        <v/>
      </c>
      <c r="J12" s="3">
        <f>"卖出"</f>
        <v/>
      </c>
      <c r="K12" s="3" t="n">
        <v>0</v>
      </c>
      <c r="L12" s="3" t="n">
        <v>0</v>
      </c>
      <c r="M12" s="3">
        <f>"122扣除金额 基金代码：940018,发生份额：7634.13"</f>
        <v/>
      </c>
      <c r="N12" s="3" t="n">
        <v>0</v>
      </c>
      <c r="O12" s="3" t="n">
        <v>0</v>
      </c>
      <c r="P12" s="3" t="n">
        <v>0</v>
      </c>
      <c r="Q12" s="3" t="n">
        <v>0</v>
      </c>
    </row>
    <row r="13">
      <c r="A13" s="3">
        <f>"8958"</f>
        <v/>
      </c>
      <c r="B13" s="3">
        <f>"20200313"</f>
        <v/>
      </c>
      <c r="C13" s="3">
        <f>"证券卖出"</f>
        <v/>
      </c>
      <c r="D13" s="3">
        <f>"7634.67"</f>
        <v/>
      </c>
      <c r="E13" s="3" t="n">
        <v>1</v>
      </c>
      <c r="F13" s="3">
        <f>"人民币"</f>
        <v/>
      </c>
      <c r="G13" s="3">
        <f>"A280737240"</f>
        <v/>
      </c>
      <c r="H13" s="3">
        <f>"518880"</f>
        <v/>
      </c>
      <c r="I13" s="3">
        <f>"黄金ETF"</f>
        <v/>
      </c>
      <c r="J13" s="3">
        <f>"卖出"</f>
        <v/>
      </c>
      <c r="K13" s="3" t="n">
        <v>3.471</v>
      </c>
      <c r="L13" s="3" t="n">
        <v>-2200</v>
      </c>
      <c r="M13" s="3">
        <f>"证券卖出"</f>
        <v/>
      </c>
      <c r="N13" s="3" t="n">
        <v>1.53</v>
      </c>
      <c r="O13" s="3" t="n">
        <v>0</v>
      </c>
      <c r="P13" s="3" t="n">
        <v>0</v>
      </c>
      <c r="Q13" s="3" t="n">
        <v>0</v>
      </c>
    </row>
    <row r="14">
      <c r="A14" s="3">
        <f>"1715"</f>
        <v/>
      </c>
      <c r="B14" s="3">
        <f>"20200316"</f>
        <v/>
      </c>
      <c r="C14" s="3">
        <f>"资管转让资金上账"</f>
        <v/>
      </c>
      <c r="D14" s="3">
        <f>"7634.00"</f>
        <v/>
      </c>
      <c r="E14" s="3" t="n">
        <v>7635</v>
      </c>
      <c r="F14" s="3">
        <f>"人民币"</f>
        <v/>
      </c>
      <c r="G14" s="3">
        <f>" "</f>
        <v/>
      </c>
      <c r="H14" s="3">
        <f>" "</f>
        <v/>
      </c>
      <c r="I14" s="3">
        <f>" "</f>
        <v/>
      </c>
      <c r="J14" s="3">
        <f>"卖出"</f>
        <v/>
      </c>
      <c r="K14" s="3" t="n">
        <v>0</v>
      </c>
      <c r="L14" s="3" t="n">
        <v>0</v>
      </c>
      <c r="M14" s="3">
        <f>"快速取现退出资金拨入,产品代码940018,对方资产账户40000545correct_balance=0"</f>
        <v/>
      </c>
      <c r="N14" s="3" t="n">
        <v>0</v>
      </c>
      <c r="O14" s="3" t="n">
        <v>0</v>
      </c>
      <c r="P14" s="3" t="n">
        <v>0</v>
      </c>
      <c r="Q14" s="3" t="n">
        <v>0</v>
      </c>
    </row>
    <row r="15">
      <c r="A15" s="3">
        <f>"1718"</f>
        <v/>
      </c>
      <c r="B15" s="3">
        <f>"20200316"</f>
        <v/>
      </c>
      <c r="C15" s="3">
        <f>"银行转取"</f>
        <v/>
      </c>
      <c r="D15" s="3">
        <f>"-7635.00"</f>
        <v/>
      </c>
      <c r="E15" s="3" t="n">
        <v>0</v>
      </c>
      <c r="F15" s="3">
        <f>"人民币"</f>
        <v/>
      </c>
      <c r="G15" s="3">
        <f>" "</f>
        <v/>
      </c>
      <c r="H15" s="3">
        <f>" "</f>
        <v/>
      </c>
      <c r="I15" s="3">
        <f>" "</f>
        <v/>
      </c>
      <c r="J15" s="3">
        <f>"卖出"</f>
        <v/>
      </c>
      <c r="K15" s="3" t="n">
        <v>0</v>
      </c>
      <c r="L15" s="3" t="n">
        <v>0</v>
      </c>
      <c r="M15" s="3">
        <f>"银行返回码[ ]返回信息[0000 交易成功]|转账成功 转账账号:6225881012906292 correct_balance=7635"</f>
        <v/>
      </c>
      <c r="N15" s="3" t="n">
        <v>0</v>
      </c>
      <c r="O15" s="3" t="n">
        <v>0</v>
      </c>
      <c r="P15" s="3" t="n">
        <v>0</v>
      </c>
      <c r="Q15" s="3" t="n">
        <v>0</v>
      </c>
    </row>
    <row r="16">
      <c r="A16" s="3">
        <f>"11582"</f>
        <v/>
      </c>
      <c r="B16" s="3">
        <f>"20200325"</f>
        <v/>
      </c>
      <c r="C16" s="3">
        <f>"证券卖出"</f>
        <v/>
      </c>
      <c r="D16" s="3">
        <f>"7092.98"</f>
        <v/>
      </c>
      <c r="E16" s="3" t="n">
        <v>7092.98</v>
      </c>
      <c r="F16" s="3">
        <f>"人民币"</f>
        <v/>
      </c>
      <c r="G16" s="3">
        <f>"0184500716"</f>
        <v/>
      </c>
      <c r="H16" s="3">
        <f>"159938"</f>
        <v/>
      </c>
      <c r="I16" s="3">
        <f>"医药"</f>
        <v/>
      </c>
      <c r="J16" s="3">
        <f>"卖出"</f>
        <v/>
      </c>
      <c r="K16" s="3" t="n">
        <v>1.478</v>
      </c>
      <c r="L16" s="3" t="n">
        <v>-4800</v>
      </c>
      <c r="M16" s="3">
        <f>"证券卖出"</f>
        <v/>
      </c>
      <c r="N16" s="3" t="n">
        <v>1.42</v>
      </c>
      <c r="O16" s="3" t="n">
        <v>0</v>
      </c>
      <c r="P16" s="3" t="n">
        <v>0</v>
      </c>
      <c r="Q16" s="3" t="n">
        <v>0</v>
      </c>
    </row>
    <row r="17">
      <c r="A17" s="3">
        <f>"13211"</f>
        <v/>
      </c>
      <c r="B17" s="3">
        <f>"20200325"</f>
        <v/>
      </c>
      <c r="C17" s="3">
        <f>"基金资金拨出"</f>
        <v/>
      </c>
      <c r="D17" s="3">
        <f>"-7091.98"</f>
        <v/>
      </c>
      <c r="E17" s="3" t="n">
        <v>1</v>
      </c>
      <c r="F17" s="3">
        <f>"人民币"</f>
        <v/>
      </c>
      <c r="G17" s="3">
        <f>" "</f>
        <v/>
      </c>
      <c r="H17" s="3">
        <f>" "</f>
        <v/>
      </c>
      <c r="I17" s="3">
        <f>" "</f>
        <v/>
      </c>
      <c r="J17" s="3">
        <f>"卖出"</f>
        <v/>
      </c>
      <c r="K17" s="3" t="n">
        <v>0</v>
      </c>
      <c r="L17" s="3" t="n">
        <v>0</v>
      </c>
      <c r="M17" s="3">
        <f>"122扣除金额 基金代码：940018,发生份额：7091.98"</f>
        <v/>
      </c>
      <c r="N17" s="3" t="n">
        <v>0</v>
      </c>
      <c r="O17" s="3" t="n">
        <v>0</v>
      </c>
      <c r="P17" s="3" t="n">
        <v>0</v>
      </c>
      <c r="Q17" s="3" t="n">
        <v>0</v>
      </c>
    </row>
    <row r="18">
      <c r="A18" s="3">
        <f>"20570"</f>
        <v/>
      </c>
      <c r="B18" s="3">
        <f>"20200326"</f>
        <v/>
      </c>
      <c r="C18" s="3">
        <f>"基金资金拨出"</f>
        <v/>
      </c>
      <c r="D18" s="3">
        <f>"-1.00"</f>
        <v/>
      </c>
      <c r="E18" s="3" t="n">
        <v>0</v>
      </c>
      <c r="F18" s="3">
        <f>"人民币"</f>
        <v/>
      </c>
      <c r="G18" s="3">
        <f>" "</f>
        <v/>
      </c>
      <c r="H18" s="3">
        <f>" "</f>
        <v/>
      </c>
      <c r="I18" s="3">
        <f>" "</f>
        <v/>
      </c>
      <c r="J18" s="3">
        <f>"卖出"</f>
        <v/>
      </c>
      <c r="K18" s="3" t="n">
        <v>0</v>
      </c>
      <c r="L18" s="3" t="n">
        <v>0</v>
      </c>
      <c r="M18" s="3">
        <f>"122扣除金额 基金代码：940018,发生份额：1"</f>
        <v/>
      </c>
      <c r="N18" s="3" t="n">
        <v>0</v>
      </c>
      <c r="O18" s="3" t="n">
        <v>0</v>
      </c>
      <c r="P18" s="3" t="n">
        <v>0</v>
      </c>
      <c r="Q18" s="3" t="n">
        <v>0</v>
      </c>
    </row>
    <row r="19">
      <c r="A19" s="3">
        <f>"761"</f>
        <v/>
      </c>
      <c r="B19" s="3">
        <f>"20200428"</f>
        <v/>
      </c>
      <c r="C19" s="3">
        <f>"资管转让资金上账"</f>
        <v/>
      </c>
      <c r="D19" s="3">
        <f>"7093.00"</f>
        <v/>
      </c>
      <c r="E19" s="3" t="n">
        <v>7093</v>
      </c>
      <c r="F19" s="3">
        <f>"人民币"</f>
        <v/>
      </c>
      <c r="G19" s="3">
        <f>" "</f>
        <v/>
      </c>
      <c r="H19" s="3">
        <f>" "</f>
        <v/>
      </c>
      <c r="I19" s="3">
        <f>" "</f>
        <v/>
      </c>
      <c r="J19" s="3">
        <f>"卖出"</f>
        <v/>
      </c>
      <c r="K19" s="3" t="n">
        <v>0</v>
      </c>
      <c r="L19" s="3" t="n">
        <v>0</v>
      </c>
      <c r="M19" s="3">
        <f>"快速取现退出资金拨入,产品代码940018,对方资产账户40000545correct_balance=0"</f>
        <v/>
      </c>
      <c r="N19" s="3" t="n">
        <v>0</v>
      </c>
      <c r="O19" s="3" t="n">
        <v>0</v>
      </c>
      <c r="P19" s="3" t="n">
        <v>0</v>
      </c>
      <c r="Q19" s="3" t="n">
        <v>0</v>
      </c>
    </row>
    <row r="20">
      <c r="A20" s="3">
        <f>"764"</f>
        <v/>
      </c>
      <c r="B20" s="3">
        <f>"20200428"</f>
        <v/>
      </c>
      <c r="C20" s="3">
        <f>"银行转取"</f>
        <v/>
      </c>
      <c r="D20" s="3">
        <f>"-7093.00"</f>
        <v/>
      </c>
      <c r="E20" s="3" t="n">
        <v>0</v>
      </c>
      <c r="F20" s="3">
        <f>"人民币"</f>
        <v/>
      </c>
      <c r="G20" s="3">
        <f>" "</f>
        <v/>
      </c>
      <c r="H20" s="3">
        <f>" "</f>
        <v/>
      </c>
      <c r="I20" s="3">
        <f>" "</f>
        <v/>
      </c>
      <c r="J20" s="3">
        <f>"卖出"</f>
        <v/>
      </c>
      <c r="K20" s="3" t="n">
        <v>0</v>
      </c>
      <c r="L20" s="3" t="n">
        <v>0</v>
      </c>
      <c r="M20" s="3">
        <f>"银行返回码[ ]返回信息[0000 交易成功]|转账成功 转账账号:6225881012906292 correct_balance=7093"</f>
        <v/>
      </c>
      <c r="N20" s="3" t="n">
        <v>0</v>
      </c>
      <c r="O20" s="3" t="n">
        <v>0</v>
      </c>
      <c r="P20" s="3" t="n">
        <v>0</v>
      </c>
      <c r="Q20" s="3" t="n">
        <v>0</v>
      </c>
    </row>
    <row r="21">
      <c r="A21" s="3">
        <f>"5677"</f>
        <v/>
      </c>
      <c r="B21" s="3">
        <f>"20200428"</f>
        <v/>
      </c>
      <c r="C21" s="3">
        <f>"证券卖出"</f>
        <v/>
      </c>
      <c r="D21" s="3">
        <f>"22865.23"</f>
        <v/>
      </c>
      <c r="E21" s="3" t="n">
        <v>22865.23</v>
      </c>
      <c r="F21" s="3">
        <f>"人民币"</f>
        <v/>
      </c>
      <c r="G21" s="3">
        <f>"A280737240"</f>
        <v/>
      </c>
      <c r="H21" s="3">
        <f>"510500"</f>
        <v/>
      </c>
      <c r="I21" s="3">
        <f>"500ETF"</f>
        <v/>
      </c>
      <c r="J21" s="3">
        <f>"卖出"</f>
        <v/>
      </c>
      <c r="K21" s="3" t="n">
        <v>5.578</v>
      </c>
      <c r="L21" s="3" t="n">
        <v>-4100</v>
      </c>
      <c r="M21" s="3">
        <f>"证券卖出"</f>
        <v/>
      </c>
      <c r="N21" s="3" t="n">
        <v>4.57</v>
      </c>
      <c r="O21" s="3" t="n">
        <v>0</v>
      </c>
      <c r="P21" s="3" t="n">
        <v>0</v>
      </c>
      <c r="Q21" s="3" t="n">
        <v>0</v>
      </c>
    </row>
    <row r="22">
      <c r="A22" s="3">
        <f>"5678"</f>
        <v/>
      </c>
      <c r="B22" s="3">
        <f>"20200428"</f>
        <v/>
      </c>
      <c r="C22" s="3">
        <f>"证券卖出"</f>
        <v/>
      </c>
      <c r="D22" s="3">
        <f>"2522.90"</f>
        <v/>
      </c>
      <c r="E22" s="3" t="n">
        <v>25388.13</v>
      </c>
      <c r="F22" s="3">
        <f>"人民币"</f>
        <v/>
      </c>
      <c r="G22" s="3">
        <f>"A280737240"</f>
        <v/>
      </c>
      <c r="H22" s="3">
        <f>"512980"</f>
        <v/>
      </c>
      <c r="I22" s="3">
        <f>"传媒ETF"</f>
        <v/>
      </c>
      <c r="J22" s="3">
        <f>"卖出"</f>
        <v/>
      </c>
      <c r="K22" s="3" t="n">
        <v>0.8139999999999999</v>
      </c>
      <c r="L22" s="3" t="n">
        <v>-3100</v>
      </c>
      <c r="M22" s="3">
        <f>"证券卖出"</f>
        <v/>
      </c>
      <c r="N22" s="3" t="n">
        <v>0.5</v>
      </c>
      <c r="O22" s="3" t="n">
        <v>0</v>
      </c>
      <c r="P22" s="3" t="n">
        <v>0</v>
      </c>
      <c r="Q22" s="3" t="n">
        <v>0</v>
      </c>
    </row>
    <row r="23">
      <c r="A23" s="3">
        <f>"17368"</f>
        <v/>
      </c>
      <c r="B23" s="3">
        <f>"20200428"</f>
        <v/>
      </c>
      <c r="C23" s="3">
        <f>"基金资金拨出"</f>
        <v/>
      </c>
      <c r="D23" s="3">
        <f>"-25387.13"</f>
        <v/>
      </c>
      <c r="E23" s="3" t="n">
        <v>1</v>
      </c>
      <c r="F23" s="3">
        <f>"人民币"</f>
        <v/>
      </c>
      <c r="G23" s="3">
        <f>" "</f>
        <v/>
      </c>
      <c r="H23" s="3">
        <f>" "</f>
        <v/>
      </c>
      <c r="I23" s="3">
        <f>" "</f>
        <v/>
      </c>
      <c r="J23" s="3">
        <f>"卖出"</f>
        <v/>
      </c>
      <c r="K23" s="3" t="n">
        <v>0</v>
      </c>
      <c r="L23" s="3" t="n">
        <v>0</v>
      </c>
      <c r="M23" s="3">
        <f>"122扣除金额 基金代码：940018,发生份额：25387.13"</f>
        <v/>
      </c>
      <c r="N23" s="3" t="n">
        <v>0</v>
      </c>
      <c r="O23" s="3" t="n">
        <v>0</v>
      </c>
      <c r="P23" s="3" t="n">
        <v>0</v>
      </c>
      <c r="Q23" s="3" t="n">
        <v>0</v>
      </c>
    </row>
    <row r="24">
      <c r="A24" s="3">
        <f>"495"</f>
        <v/>
      </c>
      <c r="B24" s="3">
        <f>"20200429"</f>
        <v/>
      </c>
      <c r="C24" s="3">
        <f>"资管转让资金上账"</f>
        <v/>
      </c>
      <c r="D24" s="3">
        <f>"25397.00"</f>
        <v/>
      </c>
      <c r="E24" s="3" t="n">
        <v>25398</v>
      </c>
      <c r="F24" s="3">
        <f>"人民币"</f>
        <v/>
      </c>
      <c r="G24" s="3">
        <f>" "</f>
        <v/>
      </c>
      <c r="H24" s="3">
        <f>" "</f>
        <v/>
      </c>
      <c r="I24" s="3">
        <f>" "</f>
        <v/>
      </c>
      <c r="J24" s="3">
        <f>"卖出"</f>
        <v/>
      </c>
      <c r="K24" s="3" t="n">
        <v>0</v>
      </c>
      <c r="L24" s="3" t="n">
        <v>0</v>
      </c>
      <c r="M24" s="3">
        <f>"快速取现退出资金拨入,产品代码940018,对方资产账户40000545correct_balance=0"</f>
        <v/>
      </c>
      <c r="N24" s="3" t="n">
        <v>0</v>
      </c>
      <c r="O24" s="3" t="n">
        <v>0</v>
      </c>
      <c r="P24" s="3" t="n">
        <v>0</v>
      </c>
      <c r="Q24" s="3" t="n">
        <v>0</v>
      </c>
    </row>
    <row r="25">
      <c r="A25" s="3">
        <f>"499"</f>
        <v/>
      </c>
      <c r="B25" s="3">
        <f>"20200429"</f>
        <v/>
      </c>
      <c r="C25" s="3">
        <f>"银行转取"</f>
        <v/>
      </c>
      <c r="D25" s="3">
        <f>"-25398.00"</f>
        <v/>
      </c>
      <c r="E25" s="3" t="n">
        <v>0</v>
      </c>
      <c r="F25" s="3">
        <f>"人民币"</f>
        <v/>
      </c>
      <c r="G25" s="3">
        <f>" "</f>
        <v/>
      </c>
      <c r="H25" s="3">
        <f>" "</f>
        <v/>
      </c>
      <c r="I25" s="3">
        <f>" "</f>
        <v/>
      </c>
      <c r="J25" s="3">
        <f>"卖出"</f>
        <v/>
      </c>
      <c r="K25" s="3" t="n">
        <v>0</v>
      </c>
      <c r="L25" s="3" t="n">
        <v>0</v>
      </c>
      <c r="M25" s="3">
        <f>"银行返回码[ ]返回信息[0000 交易成功]|转账成功 转账账号:6225881012906292 correct_balance=25398"</f>
        <v/>
      </c>
      <c r="N25" s="3" t="n">
        <v>0</v>
      </c>
      <c r="O25" s="3" t="n">
        <v>0</v>
      </c>
      <c r="P25" s="3" t="n">
        <v>0</v>
      </c>
      <c r="Q25" s="3" t="n">
        <v>0</v>
      </c>
    </row>
    <row r="26">
      <c r="A26" s="3">
        <f>"14651"</f>
        <v/>
      </c>
      <c r="B26" s="3">
        <f>"20200429"</f>
        <v/>
      </c>
      <c r="C26" s="3">
        <f>"基金资金拨入"</f>
        <v/>
      </c>
      <c r="D26" s="3">
        <f>"0.35"</f>
        <v/>
      </c>
      <c r="E26" s="3" t="n">
        <v>0.35</v>
      </c>
      <c r="F26" s="3">
        <f>"人民币"</f>
        <v/>
      </c>
      <c r="G26" s="3">
        <f>" "</f>
        <v/>
      </c>
      <c r="H26" s="3">
        <f>" "</f>
        <v/>
      </c>
      <c r="I26" s="3">
        <f>" "</f>
        <v/>
      </c>
      <c r="J26" s="3">
        <f>"卖出"</f>
        <v/>
      </c>
      <c r="K26" s="3" t="n">
        <v>0</v>
      </c>
      <c r="L26" s="3" t="n">
        <v>0</v>
      </c>
      <c r="M26" s="3">
        <f>"124增加金额 基金代码：940018,发生份额：.35"</f>
        <v/>
      </c>
      <c r="N26" s="3" t="n">
        <v>0</v>
      </c>
      <c r="O26" s="3" t="n">
        <v>0</v>
      </c>
      <c r="P26" s="3" t="n">
        <v>0</v>
      </c>
      <c r="Q26" s="3" t="n">
        <v>0</v>
      </c>
    </row>
    <row r="27">
      <c r="A27" s="3">
        <f>"7761"</f>
        <v/>
      </c>
      <c r="B27" s="3">
        <f>"20200430"</f>
        <v/>
      </c>
      <c r="C27" s="3">
        <f>"证券卖出"</f>
        <v/>
      </c>
      <c r="D27" s="3">
        <f>"50334.73"</f>
        <v/>
      </c>
      <c r="E27" s="3" t="n">
        <v>50335.08</v>
      </c>
      <c r="F27" s="3">
        <f>"人民币"</f>
        <v/>
      </c>
      <c r="G27" s="3">
        <f>"A280737240"</f>
        <v/>
      </c>
      <c r="H27" s="3">
        <f>"510500"</f>
        <v/>
      </c>
      <c r="I27" s="3">
        <f>"500ETF"</f>
        <v/>
      </c>
      <c r="J27" s="3">
        <f>"卖出"</f>
        <v/>
      </c>
      <c r="K27" s="3" t="n">
        <v>5.721</v>
      </c>
      <c r="L27" s="3" t="n">
        <v>-8800</v>
      </c>
      <c r="M27" s="3">
        <f>"证券卖出"</f>
        <v/>
      </c>
      <c r="N27" s="3" t="n">
        <v>10.07</v>
      </c>
      <c r="O27" s="3" t="n">
        <v>0</v>
      </c>
      <c r="P27" s="3" t="n">
        <v>0</v>
      </c>
      <c r="Q27" s="3" t="n">
        <v>0</v>
      </c>
    </row>
    <row r="28">
      <c r="A28" s="3">
        <f>"7762"</f>
        <v/>
      </c>
      <c r="B28" s="3">
        <f>"20200430"</f>
        <v/>
      </c>
      <c r="C28" s="3">
        <f>"证券卖出"</f>
        <v/>
      </c>
      <c r="D28" s="3">
        <f>"2527.29"</f>
        <v/>
      </c>
      <c r="E28" s="3" t="n">
        <v>52862.37</v>
      </c>
      <c r="F28" s="3">
        <f>"人民币"</f>
        <v/>
      </c>
      <c r="G28" s="3">
        <f>"A280737240"</f>
        <v/>
      </c>
      <c r="H28" s="3">
        <f>"512580"</f>
        <v/>
      </c>
      <c r="I28" s="3">
        <f>"环保ETF"</f>
        <v/>
      </c>
      <c r="J28" s="3">
        <f>"卖出"</f>
        <v/>
      </c>
      <c r="K28" s="3" t="n">
        <v>0.766</v>
      </c>
      <c r="L28" s="3" t="n">
        <v>-3300</v>
      </c>
      <c r="M28" s="3">
        <f>"证券卖出"</f>
        <v/>
      </c>
      <c r="N28" s="3" t="n">
        <v>0.51</v>
      </c>
      <c r="O28" s="3" t="n">
        <v>0</v>
      </c>
      <c r="P28" s="3" t="n">
        <v>0</v>
      </c>
      <c r="Q28" s="3" t="n">
        <v>0</v>
      </c>
    </row>
    <row r="29">
      <c r="A29" s="3">
        <f>"7763"</f>
        <v/>
      </c>
      <c r="B29" s="3">
        <f>"20200430"</f>
        <v/>
      </c>
      <c r="C29" s="3">
        <f>"证券卖出"</f>
        <v/>
      </c>
      <c r="D29" s="3">
        <f>"10349.73"</f>
        <v/>
      </c>
      <c r="E29" s="3" t="n">
        <v>63212.1</v>
      </c>
      <c r="F29" s="3">
        <f>"人民币"</f>
        <v/>
      </c>
      <c r="G29" s="3">
        <f>"A280737240"</f>
        <v/>
      </c>
      <c r="H29" s="3">
        <f>"510500"</f>
        <v/>
      </c>
      <c r="I29" s="3">
        <f>"500ETF"</f>
        <v/>
      </c>
      <c r="J29" s="3">
        <f>"卖出"</f>
        <v/>
      </c>
      <c r="K29" s="3" t="n">
        <v>5.751</v>
      </c>
      <c r="L29" s="3" t="n">
        <v>-1800</v>
      </c>
      <c r="M29" s="3">
        <f>"证券卖出"</f>
        <v/>
      </c>
      <c r="N29" s="3" t="n">
        <v>2.07</v>
      </c>
      <c r="O29" s="3" t="n">
        <v>0</v>
      </c>
      <c r="P29" s="3" t="n">
        <v>0</v>
      </c>
      <c r="Q29" s="3" t="n">
        <v>0</v>
      </c>
    </row>
    <row r="30">
      <c r="A30" s="3">
        <f>"22535"</f>
        <v/>
      </c>
      <c r="B30" s="3">
        <f>"20200430"</f>
        <v/>
      </c>
      <c r="C30" s="3">
        <f>"基金资金拨出"</f>
        <v/>
      </c>
      <c r="D30" s="3">
        <f>"-63210.75"</f>
        <v/>
      </c>
      <c r="E30" s="3" t="n">
        <v>1.35</v>
      </c>
      <c r="F30" s="3">
        <f>"人民币"</f>
        <v/>
      </c>
      <c r="G30" s="3">
        <f>" "</f>
        <v/>
      </c>
      <c r="H30" s="3">
        <f>" "</f>
        <v/>
      </c>
      <c r="I30" s="3">
        <f>" "</f>
        <v/>
      </c>
      <c r="J30" s="3">
        <f>"卖出"</f>
        <v/>
      </c>
      <c r="K30" s="3" t="n">
        <v>0</v>
      </c>
      <c r="L30" s="3" t="n">
        <v>0</v>
      </c>
      <c r="M30" s="3">
        <f>"122扣除金额 基金代码：940018,发生份额：63210.75"</f>
        <v/>
      </c>
      <c r="N30" s="3" t="n">
        <v>0</v>
      </c>
      <c r="O30" s="3" t="n">
        <v>0</v>
      </c>
      <c r="P30" s="3" t="n">
        <v>0</v>
      </c>
      <c r="Q30" s="3" t="n">
        <v>0</v>
      </c>
    </row>
    <row r="31">
      <c r="A31" s="3">
        <f>"1079"</f>
        <v/>
      </c>
      <c r="B31" s="3">
        <f>"20200506"</f>
        <v/>
      </c>
      <c r="C31" s="3">
        <f>"资管转让资金上账"</f>
        <v/>
      </c>
      <c r="D31" s="3">
        <f>"63210.00"</f>
        <v/>
      </c>
      <c r="E31" s="3" t="n">
        <v>63211.35</v>
      </c>
      <c r="F31" s="3">
        <f>"人民币"</f>
        <v/>
      </c>
      <c r="G31" s="3">
        <f>" "</f>
        <v/>
      </c>
      <c r="H31" s="3">
        <f>" "</f>
        <v/>
      </c>
      <c r="I31" s="3">
        <f>" "</f>
        <v/>
      </c>
      <c r="J31" s="3">
        <f>"卖出"</f>
        <v/>
      </c>
      <c r="K31" s="3" t="n">
        <v>0</v>
      </c>
      <c r="L31" s="3" t="n">
        <v>0</v>
      </c>
      <c r="M31" s="3">
        <f>"快速取现退出资金拨入,产品代码940018,对方资产账户40000545correct_balance=0"</f>
        <v/>
      </c>
      <c r="N31" s="3" t="n">
        <v>0</v>
      </c>
      <c r="O31" s="3" t="n">
        <v>0</v>
      </c>
      <c r="P31" s="3" t="n">
        <v>0</v>
      </c>
      <c r="Q31" s="3" t="n">
        <v>0</v>
      </c>
    </row>
    <row r="32">
      <c r="A32" s="3">
        <f>"1082"</f>
        <v/>
      </c>
      <c r="B32" s="3">
        <f>"20200506"</f>
        <v/>
      </c>
      <c r="C32" s="3">
        <f>"银行转取"</f>
        <v/>
      </c>
      <c r="D32" s="3">
        <f>"-63211.35"</f>
        <v/>
      </c>
      <c r="E32" s="3" t="n">
        <v>0</v>
      </c>
      <c r="F32" s="3">
        <f>"人民币"</f>
        <v/>
      </c>
      <c r="G32" s="3">
        <f>" "</f>
        <v/>
      </c>
      <c r="H32" s="3">
        <f>" "</f>
        <v/>
      </c>
      <c r="I32" s="3">
        <f>" "</f>
        <v/>
      </c>
      <c r="J32" s="3">
        <f>"卖出"</f>
        <v/>
      </c>
      <c r="K32" s="3" t="n">
        <v>0</v>
      </c>
      <c r="L32" s="3" t="n">
        <v>0</v>
      </c>
      <c r="M32" s="3">
        <f>"银行返回码[ ]返回信息[0000 交易成功]|转账成功 转账账号:6225881012906292 correct_balance=63211.35"</f>
        <v/>
      </c>
      <c r="N32" s="3" t="n">
        <v>0</v>
      </c>
      <c r="O32" s="3" t="n">
        <v>0</v>
      </c>
      <c r="P32" s="3" t="n">
        <v>0</v>
      </c>
      <c r="Q32" s="3" t="n">
        <v>0</v>
      </c>
    </row>
    <row r="33">
      <c r="A33" s="3">
        <f>"9617"</f>
        <v/>
      </c>
      <c r="B33" s="3">
        <f>"20200506"</f>
        <v/>
      </c>
      <c r="C33" s="3">
        <f>"基金资金拨入"</f>
        <v/>
      </c>
      <c r="D33" s="3">
        <f>"0.75"</f>
        <v/>
      </c>
      <c r="E33" s="3" t="n">
        <v>0.75</v>
      </c>
      <c r="F33" s="3">
        <f>"人民币"</f>
        <v/>
      </c>
      <c r="G33" s="3">
        <f>" "</f>
        <v/>
      </c>
      <c r="H33" s="3">
        <f>" "</f>
        <v/>
      </c>
      <c r="I33" s="3">
        <f>" "</f>
        <v/>
      </c>
      <c r="J33" s="3">
        <f>"卖出"</f>
        <v/>
      </c>
      <c r="K33" s="3" t="n">
        <v>0</v>
      </c>
      <c r="L33" s="3" t="n">
        <v>0</v>
      </c>
      <c r="M33" s="3">
        <f>"124增加金额 基金代码：940018,发生份额：.75"</f>
        <v/>
      </c>
      <c r="N33" s="3" t="n">
        <v>0</v>
      </c>
      <c r="O33" s="3" t="n">
        <v>0</v>
      </c>
      <c r="P33" s="3" t="n">
        <v>0</v>
      </c>
      <c r="Q33" s="3" t="n">
        <v>0</v>
      </c>
    </row>
    <row r="34">
      <c r="A34" s="3">
        <f>"12077"</f>
        <v/>
      </c>
      <c r="B34" s="3">
        <f>"20200508"</f>
        <v/>
      </c>
      <c r="C34" s="3">
        <f>"基金资金拨出"</f>
        <v/>
      </c>
      <c r="D34" s="3">
        <f>"-0.75"</f>
        <v/>
      </c>
      <c r="E34" s="3" t="n">
        <v>0</v>
      </c>
      <c r="F34" s="3">
        <f>"人民币"</f>
        <v/>
      </c>
      <c r="G34" s="3">
        <f>" "</f>
        <v/>
      </c>
      <c r="H34" s="3">
        <f>" "</f>
        <v/>
      </c>
      <c r="I34" s="3">
        <f>" "</f>
        <v/>
      </c>
      <c r="J34" s="3">
        <f>"卖出"</f>
        <v/>
      </c>
      <c r="K34" s="3" t="n">
        <v>0</v>
      </c>
      <c r="L34" s="3" t="n">
        <v>0</v>
      </c>
      <c r="M34" s="3">
        <f>"122扣除金额 基金代码：940018,发生份额：.75"</f>
        <v/>
      </c>
      <c r="N34" s="3" t="n">
        <v>0</v>
      </c>
      <c r="O34" s="3" t="n">
        <v>0</v>
      </c>
      <c r="P34" s="3" t="n">
        <v>0</v>
      </c>
      <c r="Q34" s="3" t="n">
        <v>0</v>
      </c>
    </row>
    <row r="35">
      <c r="A35" s="3">
        <f>"14794"</f>
        <v/>
      </c>
      <c r="B35" s="3">
        <f>"20200511"</f>
        <v/>
      </c>
      <c r="C35" s="3">
        <f>"基金资金拨入"</f>
        <v/>
      </c>
      <c r="D35" s="3">
        <f>"0.39"</f>
        <v/>
      </c>
      <c r="E35" s="3" t="n">
        <v>0.39</v>
      </c>
      <c r="F35" s="3">
        <f>"人民币"</f>
        <v/>
      </c>
      <c r="G35" s="3">
        <f>" "</f>
        <v/>
      </c>
      <c r="H35" s="3">
        <f>" "</f>
        <v/>
      </c>
      <c r="I35" s="3">
        <f>" "</f>
        <v/>
      </c>
      <c r="J35" s="3">
        <f>"卖出"</f>
        <v/>
      </c>
      <c r="K35" s="3" t="n">
        <v>0</v>
      </c>
      <c r="L35" s="3" t="n">
        <v>0</v>
      </c>
      <c r="M35" s="3">
        <f>"124增加金额 基金代码：004749,发生份额：.39"</f>
        <v/>
      </c>
      <c r="N35" s="3" t="n">
        <v>0</v>
      </c>
      <c r="O35" s="3" t="n">
        <v>0</v>
      </c>
      <c r="P35" s="3" t="n">
        <v>0</v>
      </c>
      <c r="Q35" s="3" t="n">
        <v>0</v>
      </c>
    </row>
    <row r="36">
      <c r="A36" s="3">
        <f>"1378"</f>
        <v/>
      </c>
      <c r="B36" s="3">
        <f>"20200512"</f>
        <v/>
      </c>
      <c r="C36" s="3">
        <f>"基金资金拨入"</f>
        <v/>
      </c>
      <c r="D36" s="3">
        <f>"1.80"</f>
        <v/>
      </c>
      <c r="E36" s="3" t="n">
        <v>2.19</v>
      </c>
      <c r="F36" s="3">
        <f>"人民币"</f>
        <v/>
      </c>
      <c r="G36" s="3">
        <f>" "</f>
        <v/>
      </c>
      <c r="H36" s="3">
        <f>" "</f>
        <v/>
      </c>
      <c r="I36" s="3">
        <f>" "</f>
        <v/>
      </c>
      <c r="J36" s="3">
        <f>"卖出"</f>
        <v/>
      </c>
      <c r="K36" s="3" t="n">
        <v>0</v>
      </c>
      <c r="L36" s="3" t="n">
        <v>0</v>
      </c>
      <c r="M36" s="3">
        <f>"124增加金额 基金代码：003474,发生份额：1.8,基金实时交收入账"</f>
        <v/>
      </c>
      <c r="N36" s="3" t="n">
        <v>0</v>
      </c>
      <c r="O36" s="3" t="n">
        <v>0</v>
      </c>
      <c r="P36" s="3" t="n">
        <v>0</v>
      </c>
      <c r="Q36" s="3" t="n">
        <v>0</v>
      </c>
    </row>
    <row r="37">
      <c r="A37" s="3">
        <f>"11557"</f>
        <v/>
      </c>
      <c r="B37" s="3">
        <f>"20200512"</f>
        <v/>
      </c>
      <c r="C37" s="3">
        <f>"基金资金拨出"</f>
        <v/>
      </c>
      <c r="D37" s="3">
        <f>"-2.19"</f>
        <v/>
      </c>
      <c r="E37" s="3" t="n">
        <v>0</v>
      </c>
      <c r="F37" s="3">
        <f>"人民币"</f>
        <v/>
      </c>
      <c r="G37" s="3">
        <f>" "</f>
        <v/>
      </c>
      <c r="H37" s="3">
        <f>" "</f>
        <v/>
      </c>
      <c r="I37" s="3">
        <f>" "</f>
        <v/>
      </c>
      <c r="J37" s="3">
        <f>"卖出"</f>
        <v/>
      </c>
      <c r="K37" s="3" t="n">
        <v>0</v>
      </c>
      <c r="L37" s="3" t="n">
        <v>0</v>
      </c>
      <c r="M37" s="3">
        <f>"122扣除金额 基金代码：940018,发生份额：2.19"</f>
        <v/>
      </c>
      <c r="N37" s="3" t="n">
        <v>0</v>
      </c>
      <c r="O37" s="3" t="n">
        <v>0</v>
      </c>
      <c r="P37" s="3" t="n">
        <v>0</v>
      </c>
      <c r="Q37" s="3" t="n">
        <v>0</v>
      </c>
    </row>
    <row r="38">
      <c r="A38" s="3">
        <f>"3923"</f>
        <v/>
      </c>
      <c r="B38" s="3">
        <f>"20200519"</f>
        <v/>
      </c>
      <c r="C38" s="3">
        <f>"证券卖出"</f>
        <v/>
      </c>
      <c r="D38" s="3">
        <f>"10787.04"</f>
        <v/>
      </c>
      <c r="E38" s="3" t="n">
        <v>10787.04</v>
      </c>
      <c r="F38" s="3">
        <f>"人民币"</f>
        <v/>
      </c>
      <c r="G38" s="3">
        <f>"A280737240"</f>
        <v/>
      </c>
      <c r="H38" s="3">
        <f>"510500"</f>
        <v/>
      </c>
      <c r="I38" s="3">
        <f>"500ETF"</f>
        <v/>
      </c>
      <c r="J38" s="3">
        <f>"卖出"</f>
        <v/>
      </c>
      <c r="K38" s="3" t="n">
        <v>5.994</v>
      </c>
      <c r="L38" s="3" t="n">
        <v>-1800</v>
      </c>
      <c r="M38" s="3">
        <f>"证券卖出"</f>
        <v/>
      </c>
      <c r="N38" s="3" t="n">
        <v>2.16</v>
      </c>
      <c r="O38" s="3" t="n">
        <v>0</v>
      </c>
      <c r="P38" s="3" t="n">
        <v>0</v>
      </c>
      <c r="Q38" s="3" t="n">
        <v>0</v>
      </c>
    </row>
    <row r="39">
      <c r="A39" s="3">
        <f>"8298"</f>
        <v/>
      </c>
      <c r="B39" s="3">
        <f>"20200519"</f>
        <v/>
      </c>
      <c r="C39" s="3">
        <f>"基金资金拨出"</f>
        <v/>
      </c>
      <c r="D39" s="3">
        <f>"-10786.04"</f>
        <v/>
      </c>
      <c r="E39" s="3" t="n">
        <v>1</v>
      </c>
      <c r="F39" s="3">
        <f>"人民币"</f>
        <v/>
      </c>
      <c r="G39" s="3">
        <f>" "</f>
        <v/>
      </c>
      <c r="H39" s="3">
        <f>" "</f>
        <v/>
      </c>
      <c r="I39" s="3">
        <f>" "</f>
        <v/>
      </c>
      <c r="J39" s="3">
        <f>"卖出"</f>
        <v/>
      </c>
      <c r="K39" s="3" t="n">
        <v>0</v>
      </c>
      <c r="L39" s="3" t="n">
        <v>0</v>
      </c>
      <c r="M39" s="3">
        <f>"122扣除金额 基金代码：940018,发生份额：10786.04"</f>
        <v/>
      </c>
      <c r="N39" s="3" t="n">
        <v>0</v>
      </c>
      <c r="O39" s="3" t="n">
        <v>0</v>
      </c>
      <c r="P39" s="3" t="n">
        <v>0</v>
      </c>
      <c r="Q39" s="3" t="n">
        <v>0</v>
      </c>
    </row>
    <row r="40">
      <c r="A40" s="3">
        <f>"2579"</f>
        <v/>
      </c>
      <c r="B40" s="3">
        <f>"20200520"</f>
        <v/>
      </c>
      <c r="C40" s="3">
        <f>"基金资金拨出"</f>
        <v/>
      </c>
      <c r="D40" s="3">
        <f>"-1.00"</f>
        <v/>
      </c>
      <c r="E40" s="3" t="n">
        <v>0</v>
      </c>
      <c r="F40" s="3">
        <f>"人民币"</f>
        <v/>
      </c>
      <c r="G40" s="3">
        <f>" "</f>
        <v/>
      </c>
      <c r="H40" s="3">
        <f>" "</f>
        <v/>
      </c>
      <c r="I40" s="3">
        <f>" "</f>
        <v/>
      </c>
      <c r="J40" s="3">
        <f>"卖出"</f>
        <v/>
      </c>
      <c r="K40" s="3" t="n">
        <v>0</v>
      </c>
      <c r="L40" s="3" t="n">
        <v>0</v>
      </c>
      <c r="M40" s="3">
        <f>"122扣除金额 基金代码：940018,发生份额：1"</f>
        <v/>
      </c>
      <c r="N40" s="3" t="n">
        <v>0</v>
      </c>
      <c r="O40" s="3" t="n">
        <v>0</v>
      </c>
      <c r="P40" s="3" t="n">
        <v>0</v>
      </c>
      <c r="Q40" s="3" t="n">
        <v>0</v>
      </c>
    </row>
    <row r="41">
      <c r="A41" s="3">
        <f>"867"</f>
        <v/>
      </c>
      <c r="B41" s="3">
        <f>"20200522"</f>
        <v/>
      </c>
      <c r="C41" s="3">
        <f>"资管转让资金上账"</f>
        <v/>
      </c>
      <c r="D41" s="3">
        <f>"10789.00"</f>
        <v/>
      </c>
      <c r="E41" s="3" t="n">
        <v>10789</v>
      </c>
      <c r="F41" s="3">
        <f>"人民币"</f>
        <v/>
      </c>
      <c r="G41" s="3">
        <f>" "</f>
        <v/>
      </c>
      <c r="H41" s="3">
        <f>" "</f>
        <v/>
      </c>
      <c r="I41" s="3">
        <f>" "</f>
        <v/>
      </c>
      <c r="J41" s="3">
        <f>"卖出"</f>
        <v/>
      </c>
      <c r="K41" s="3" t="n">
        <v>0</v>
      </c>
      <c r="L41" s="3" t="n">
        <v>0</v>
      </c>
      <c r="M41" s="3">
        <f>"快速取现退出资金拨入,产品代码940018,对方资产账户40000545correct_balance=0"</f>
        <v/>
      </c>
      <c r="N41" s="3" t="n">
        <v>0</v>
      </c>
      <c r="O41" s="3" t="n">
        <v>0</v>
      </c>
      <c r="P41" s="3" t="n">
        <v>0</v>
      </c>
      <c r="Q41" s="3" t="n">
        <v>0</v>
      </c>
    </row>
    <row r="42">
      <c r="A42" s="3">
        <f>"870"</f>
        <v/>
      </c>
      <c r="B42" s="3">
        <f>"20200522"</f>
        <v/>
      </c>
      <c r="C42" s="3">
        <f>"银行转取"</f>
        <v/>
      </c>
      <c r="D42" s="3">
        <f>"-10789.00"</f>
        <v/>
      </c>
      <c r="E42" s="3" t="n">
        <v>0</v>
      </c>
      <c r="F42" s="3">
        <f>"人民币"</f>
        <v/>
      </c>
      <c r="G42" s="3">
        <f>" "</f>
        <v/>
      </c>
      <c r="H42" s="3">
        <f>" "</f>
        <v/>
      </c>
      <c r="I42" s="3">
        <f>" "</f>
        <v/>
      </c>
      <c r="J42" s="3">
        <f>"卖出"</f>
        <v/>
      </c>
      <c r="K42" s="3" t="n">
        <v>0</v>
      </c>
      <c r="L42" s="3" t="n">
        <v>0</v>
      </c>
      <c r="M42" s="3">
        <f>"银行返回码[ ]返回信息[0000 交易成功]|转账成功 转账账号:6225881012906292 correct_balance=10789"</f>
        <v/>
      </c>
      <c r="N42" s="3" t="n">
        <v>0</v>
      </c>
      <c r="O42" s="3" t="n">
        <v>0</v>
      </c>
      <c r="P42" s="3" t="n">
        <v>0</v>
      </c>
      <c r="Q42" s="3" t="n">
        <v>0</v>
      </c>
    </row>
    <row r="43">
      <c r="A43" s="3">
        <f>"2828"</f>
        <v/>
      </c>
      <c r="B43" s="3">
        <f>"20200526"</f>
        <v/>
      </c>
      <c r="C43" s="3">
        <f>"证券卖出"</f>
        <v/>
      </c>
      <c r="D43" s="3">
        <f>"10571.09"</f>
        <v/>
      </c>
      <c r="E43" s="3" t="n">
        <v>10571.09</v>
      </c>
      <c r="F43" s="3">
        <f>"人民币"</f>
        <v/>
      </c>
      <c r="G43" s="3">
        <f>"A280737240"</f>
        <v/>
      </c>
      <c r="H43" s="3">
        <f>"510500"</f>
        <v/>
      </c>
      <c r="I43" s="3">
        <f>"500ETF"</f>
        <v/>
      </c>
      <c r="J43" s="3">
        <f>"卖出"</f>
        <v/>
      </c>
      <c r="K43" s="3" t="n">
        <v>5.874</v>
      </c>
      <c r="L43" s="3" t="n">
        <v>-1800</v>
      </c>
      <c r="M43" s="3">
        <f>"证券卖出"</f>
        <v/>
      </c>
      <c r="N43" s="3" t="n">
        <v>2.11</v>
      </c>
      <c r="O43" s="3" t="n">
        <v>0</v>
      </c>
      <c r="P43" s="3" t="n">
        <v>0</v>
      </c>
      <c r="Q43" s="3" t="n">
        <v>0</v>
      </c>
    </row>
    <row r="44">
      <c r="A44" s="3">
        <f>"8367"</f>
        <v/>
      </c>
      <c r="B44" s="3">
        <f>"20200526"</f>
        <v/>
      </c>
      <c r="C44" s="3">
        <f>"基金资金拨出"</f>
        <v/>
      </c>
      <c r="D44" s="3">
        <f>"-10570.09"</f>
        <v/>
      </c>
      <c r="E44" s="3" t="n">
        <v>1</v>
      </c>
      <c r="F44" s="3">
        <f>"人民币"</f>
        <v/>
      </c>
      <c r="G44" s="3">
        <f>" "</f>
        <v/>
      </c>
      <c r="H44" s="3">
        <f>" "</f>
        <v/>
      </c>
      <c r="I44" s="3">
        <f>" "</f>
        <v/>
      </c>
      <c r="J44" s="3">
        <f>"卖出"</f>
        <v/>
      </c>
      <c r="K44" s="3" t="n">
        <v>0</v>
      </c>
      <c r="L44" s="3" t="n">
        <v>0</v>
      </c>
      <c r="M44" s="3">
        <f>"122扣除金额 基金代码：940018,发生份额：10570.09"</f>
        <v/>
      </c>
      <c r="N44" s="3" t="n">
        <v>0</v>
      </c>
      <c r="O44" s="3" t="n">
        <v>0</v>
      </c>
      <c r="P44" s="3" t="n">
        <v>0</v>
      </c>
      <c r="Q44" s="3" t="n">
        <v>0</v>
      </c>
    </row>
    <row r="45">
      <c r="A45" s="3">
        <f>"617"</f>
        <v/>
      </c>
      <c r="B45" s="3">
        <f>"20200527"</f>
        <v/>
      </c>
      <c r="C45" s="3">
        <f>"资管转让资金上账"</f>
        <v/>
      </c>
      <c r="D45" s="3">
        <f>"10571.00"</f>
        <v/>
      </c>
      <c r="E45" s="3" t="n">
        <v>10572</v>
      </c>
      <c r="F45" s="3">
        <f>"人民币"</f>
        <v/>
      </c>
      <c r="G45" s="3">
        <f>" "</f>
        <v/>
      </c>
      <c r="H45" s="3">
        <f>" "</f>
        <v/>
      </c>
      <c r="I45" s="3">
        <f>" "</f>
        <v/>
      </c>
      <c r="J45" s="3">
        <f>"卖出"</f>
        <v/>
      </c>
      <c r="K45" s="3" t="n">
        <v>0</v>
      </c>
      <c r="L45" s="3" t="n">
        <v>0</v>
      </c>
      <c r="M45" s="3">
        <f>"快速取现退出资金拨入,产品代码940018,对方资产账户40000545correct_balance=0"</f>
        <v/>
      </c>
      <c r="N45" s="3" t="n">
        <v>0</v>
      </c>
      <c r="O45" s="3" t="n">
        <v>0</v>
      </c>
      <c r="P45" s="3" t="n">
        <v>0</v>
      </c>
      <c r="Q45" s="3" t="n">
        <v>0</v>
      </c>
    </row>
    <row r="46">
      <c r="A46" s="3">
        <f>"620"</f>
        <v/>
      </c>
      <c r="B46" s="3">
        <f>"20200527"</f>
        <v/>
      </c>
      <c r="C46" s="3">
        <f>"银行转取"</f>
        <v/>
      </c>
      <c r="D46" s="3">
        <f>"-10572.00"</f>
        <v/>
      </c>
      <c r="E46" s="3" t="n">
        <v>0</v>
      </c>
      <c r="F46" s="3">
        <f>"人民币"</f>
        <v/>
      </c>
      <c r="G46" s="3">
        <f>" "</f>
        <v/>
      </c>
      <c r="H46" s="3">
        <f>" "</f>
        <v/>
      </c>
      <c r="I46" s="3">
        <f>" "</f>
        <v/>
      </c>
      <c r="J46" s="3">
        <f>"卖出"</f>
        <v/>
      </c>
      <c r="K46" s="3" t="n">
        <v>0</v>
      </c>
      <c r="L46" s="3" t="n">
        <v>0</v>
      </c>
      <c r="M46" s="3">
        <f>"银行返回码[ ]返回信息[0000 交易成功]|转账成功 转账账号:6225881012906292 correct_balance=10572"</f>
        <v/>
      </c>
      <c r="N46" s="3" t="n">
        <v>0</v>
      </c>
      <c r="O46" s="3" t="n">
        <v>0</v>
      </c>
      <c r="P46" s="3" t="n">
        <v>0</v>
      </c>
      <c r="Q46" s="3" t="n">
        <v>0</v>
      </c>
    </row>
    <row r="47">
      <c r="A47" s="3">
        <f>"9673"</f>
        <v/>
      </c>
      <c r="B47" s="3">
        <f>"20200527"</f>
        <v/>
      </c>
      <c r="C47" s="3">
        <f>"基金资金拨入"</f>
        <v/>
      </c>
      <c r="D47" s="3">
        <f>"0.93"</f>
        <v/>
      </c>
      <c r="E47" s="3" t="n">
        <v>0.93</v>
      </c>
      <c r="F47" s="3">
        <f>"人民币"</f>
        <v/>
      </c>
      <c r="G47" s="3">
        <f>" "</f>
        <v/>
      </c>
      <c r="H47" s="3">
        <f>" "</f>
        <v/>
      </c>
      <c r="I47" s="3">
        <f>" "</f>
        <v/>
      </c>
      <c r="J47" s="3">
        <f>"卖出"</f>
        <v/>
      </c>
      <c r="K47" s="3" t="n">
        <v>0</v>
      </c>
      <c r="L47" s="3" t="n">
        <v>0</v>
      </c>
      <c r="M47" s="3">
        <f>"124增加金额 基金代码：940018,发生份额：.93"</f>
        <v/>
      </c>
      <c r="N47" s="3" t="n">
        <v>0</v>
      </c>
      <c r="O47" s="3" t="n">
        <v>0</v>
      </c>
      <c r="P47" s="3" t="n">
        <v>0</v>
      </c>
      <c r="Q47" s="3" t="n">
        <v>0</v>
      </c>
    </row>
    <row r="48">
      <c r="A48" s="3">
        <f>"2993"</f>
        <v/>
      </c>
      <c r="B48" s="3">
        <f>"20200529"</f>
        <v/>
      </c>
      <c r="C48" s="3">
        <f>"基金资金拨出"</f>
        <v/>
      </c>
      <c r="D48" s="3">
        <f>"-10549.42"</f>
        <v/>
      </c>
      <c r="E48" s="3" t="n">
        <v>-10548.49</v>
      </c>
      <c r="F48" s="3">
        <f>"人民币"</f>
        <v/>
      </c>
      <c r="G48" s="3">
        <f>" "</f>
        <v/>
      </c>
      <c r="H48" s="3">
        <f>" "</f>
        <v/>
      </c>
      <c r="I48" s="3">
        <f>" "</f>
        <v/>
      </c>
      <c r="J48" s="3">
        <f>"卖出"</f>
        <v/>
      </c>
      <c r="K48" s="3" t="n">
        <v>0</v>
      </c>
      <c r="L48" s="3" t="n">
        <v>0</v>
      </c>
      <c r="M48" s="3">
        <f>"122扣除金额 基金代码：940018,发生份额：10549.42"</f>
        <v/>
      </c>
      <c r="N48" s="3" t="n">
        <v>0</v>
      </c>
      <c r="O48" s="3" t="n">
        <v>0</v>
      </c>
      <c r="P48" s="3" t="n">
        <v>0</v>
      </c>
      <c r="Q48" s="3" t="n">
        <v>0</v>
      </c>
    </row>
    <row r="49">
      <c r="A49" s="3">
        <f>"5457"</f>
        <v/>
      </c>
      <c r="B49" s="3">
        <f>"20200529"</f>
        <v/>
      </c>
      <c r="C49" s="3">
        <f>"证券卖出"</f>
        <v/>
      </c>
      <c r="D49" s="3">
        <f>"10549.49"</f>
        <v/>
      </c>
      <c r="E49" s="3" t="n">
        <v>1</v>
      </c>
      <c r="F49" s="3">
        <f>"人民币"</f>
        <v/>
      </c>
      <c r="G49" s="3">
        <f>"A280737240"</f>
        <v/>
      </c>
      <c r="H49" s="3">
        <f>"510500"</f>
        <v/>
      </c>
      <c r="I49" s="3">
        <f>"500ETF"</f>
        <v/>
      </c>
      <c r="J49" s="3">
        <f>"卖出"</f>
        <v/>
      </c>
      <c r="K49" s="3" t="n">
        <v>5.862</v>
      </c>
      <c r="L49" s="3" t="n">
        <v>-1800</v>
      </c>
      <c r="M49" s="3">
        <f>"证券卖出"</f>
        <v/>
      </c>
      <c r="N49" s="3" t="n">
        <v>2.11</v>
      </c>
      <c r="O49" s="3" t="n">
        <v>0</v>
      </c>
      <c r="P49" s="3" t="n">
        <v>0</v>
      </c>
      <c r="Q49" s="3" t="n">
        <v>0</v>
      </c>
    </row>
    <row r="50">
      <c r="A50" s="3">
        <f>"3172"</f>
        <v/>
      </c>
      <c r="B50" s="3">
        <f>"20200601"</f>
        <v/>
      </c>
      <c r="C50" s="3">
        <f>"基金资金拨出"</f>
        <v/>
      </c>
      <c r="D50" s="3">
        <f>"-10797.84"</f>
        <v/>
      </c>
      <c r="E50" s="3" t="n">
        <v>-10796.84</v>
      </c>
      <c r="F50" s="3">
        <f>"人民币"</f>
        <v/>
      </c>
      <c r="G50" s="3">
        <f>" "</f>
        <v/>
      </c>
      <c r="H50" s="3">
        <f>" "</f>
        <v/>
      </c>
      <c r="I50" s="3">
        <f>" "</f>
        <v/>
      </c>
      <c r="J50" s="3">
        <f>"卖出"</f>
        <v/>
      </c>
      <c r="K50" s="3" t="n">
        <v>0</v>
      </c>
      <c r="L50" s="3" t="n">
        <v>0</v>
      </c>
      <c r="M50" s="3">
        <f>"122扣除金额 基金代码：940018,发生份额：10797.84"</f>
        <v/>
      </c>
      <c r="N50" s="3" t="n">
        <v>0</v>
      </c>
      <c r="O50" s="3" t="n">
        <v>0</v>
      </c>
      <c r="P50" s="3" t="n">
        <v>0</v>
      </c>
      <c r="Q50" s="3" t="n">
        <v>0</v>
      </c>
    </row>
    <row r="51">
      <c r="A51" s="3">
        <f>"6450"</f>
        <v/>
      </c>
      <c r="B51" s="3">
        <f>"20200601"</f>
        <v/>
      </c>
      <c r="C51" s="3">
        <f>"证券卖出"</f>
        <v/>
      </c>
      <c r="D51" s="3">
        <f>"10797.84"</f>
        <v/>
      </c>
      <c r="E51" s="3" t="n">
        <v>1</v>
      </c>
      <c r="F51" s="3">
        <f>"人民币"</f>
        <v/>
      </c>
      <c r="G51" s="3">
        <f>"A280737240"</f>
        <v/>
      </c>
      <c r="H51" s="3">
        <f>"510500"</f>
        <v/>
      </c>
      <c r="I51" s="3">
        <f>"500ETF"</f>
        <v/>
      </c>
      <c r="J51" s="3">
        <f>"卖出"</f>
        <v/>
      </c>
      <c r="K51" s="3" t="n">
        <v>6</v>
      </c>
      <c r="L51" s="3" t="n">
        <v>-1800</v>
      </c>
      <c r="M51" s="3">
        <f>"证券卖出"</f>
        <v/>
      </c>
      <c r="N51" s="3" t="n">
        <v>2.16</v>
      </c>
      <c r="O51" s="3" t="n">
        <v>0</v>
      </c>
      <c r="P51" s="3" t="n">
        <v>0</v>
      </c>
      <c r="Q51" s="3" t="n">
        <v>0</v>
      </c>
    </row>
    <row r="52">
      <c r="A52" s="3">
        <f>"799"</f>
        <v/>
      </c>
      <c r="B52" s="3">
        <f>"20200602"</f>
        <v/>
      </c>
      <c r="C52" s="3">
        <f>"资管转让资金上账"</f>
        <v/>
      </c>
      <c r="D52" s="3">
        <f>"19891.00"</f>
        <v/>
      </c>
      <c r="E52" s="3" t="n">
        <v>19892</v>
      </c>
      <c r="F52" s="3">
        <f>"人民币"</f>
        <v/>
      </c>
      <c r="G52" s="3">
        <f>" "</f>
        <v/>
      </c>
      <c r="H52" s="3">
        <f>" "</f>
        <v/>
      </c>
      <c r="I52" s="3">
        <f>" "</f>
        <v/>
      </c>
      <c r="J52" s="3">
        <f>"卖出"</f>
        <v/>
      </c>
      <c r="K52" s="3" t="n">
        <v>0</v>
      </c>
      <c r="L52" s="3" t="n">
        <v>0</v>
      </c>
      <c r="M52" s="3">
        <f>"快速取现退出资金拨入,产品代码940018,对方资产账户40000545correct_balance=0"</f>
        <v/>
      </c>
      <c r="N52" s="3" t="n">
        <v>0</v>
      </c>
      <c r="O52" s="3" t="n">
        <v>0</v>
      </c>
      <c r="P52" s="3" t="n">
        <v>0</v>
      </c>
      <c r="Q52" s="3" t="n">
        <v>0</v>
      </c>
    </row>
    <row r="53">
      <c r="A53" s="3">
        <f>"803"</f>
        <v/>
      </c>
      <c r="B53" s="3">
        <f>"20200602"</f>
        <v/>
      </c>
      <c r="C53" s="3">
        <f>"银行转取"</f>
        <v/>
      </c>
      <c r="D53" s="3">
        <f>"-19892.00"</f>
        <v/>
      </c>
      <c r="E53" s="3" t="n">
        <v>0</v>
      </c>
      <c r="F53" s="3">
        <f>"人民币"</f>
        <v/>
      </c>
      <c r="G53" s="3">
        <f>" "</f>
        <v/>
      </c>
      <c r="H53" s="3">
        <f>" "</f>
        <v/>
      </c>
      <c r="I53" s="3">
        <f>" "</f>
        <v/>
      </c>
      <c r="J53" s="3">
        <f>"卖出"</f>
        <v/>
      </c>
      <c r="K53" s="3" t="n">
        <v>0</v>
      </c>
      <c r="L53" s="3" t="n">
        <v>0</v>
      </c>
      <c r="M53" s="3">
        <f>"银行返回码[ ]返回信息[0000 交易成功]|转账成功 转账账号:6225881012906292 correct_balance=19892"</f>
        <v/>
      </c>
      <c r="N53" s="3" t="n">
        <v>0</v>
      </c>
      <c r="O53" s="3" t="n">
        <v>0</v>
      </c>
      <c r="P53" s="3" t="n">
        <v>0</v>
      </c>
      <c r="Q53" s="3" t="n">
        <v>0</v>
      </c>
    </row>
    <row r="54">
      <c r="A54" s="3">
        <f>"807"</f>
        <v/>
      </c>
      <c r="B54" s="3">
        <f>"20200602"</f>
        <v/>
      </c>
      <c r="C54" s="3">
        <f>"资管转让资金上账"</f>
        <v/>
      </c>
      <c r="D54" s="3">
        <f>"1456.00"</f>
        <v/>
      </c>
      <c r="E54" s="3" t="n">
        <v>1456</v>
      </c>
      <c r="F54" s="3">
        <f>"人民币"</f>
        <v/>
      </c>
      <c r="G54" s="3">
        <f>" "</f>
        <v/>
      </c>
      <c r="H54" s="3">
        <f>" "</f>
        <v/>
      </c>
      <c r="I54" s="3">
        <f>" "</f>
        <v/>
      </c>
      <c r="J54" s="3">
        <f>"卖出"</f>
        <v/>
      </c>
      <c r="K54" s="3" t="n">
        <v>0</v>
      </c>
      <c r="L54" s="3" t="n">
        <v>0</v>
      </c>
      <c r="M54" s="3">
        <f>"快速取现退出资金拨入,产品代码940018,对方资产账户40000545correct_balance=0"</f>
        <v/>
      </c>
      <c r="N54" s="3" t="n">
        <v>0</v>
      </c>
      <c r="O54" s="3" t="n">
        <v>0</v>
      </c>
      <c r="P54" s="3" t="n">
        <v>0</v>
      </c>
      <c r="Q54" s="3" t="n">
        <v>0</v>
      </c>
    </row>
    <row r="55">
      <c r="A55" s="3">
        <f>"811"</f>
        <v/>
      </c>
      <c r="B55" s="3">
        <f>"20200602"</f>
        <v/>
      </c>
      <c r="C55" s="3">
        <f>"银行转取"</f>
        <v/>
      </c>
      <c r="D55" s="3">
        <f>"-1456.00"</f>
        <v/>
      </c>
      <c r="E55" s="3" t="n">
        <v>0</v>
      </c>
      <c r="F55" s="3">
        <f>"人民币"</f>
        <v/>
      </c>
      <c r="G55" s="3">
        <f>" "</f>
        <v/>
      </c>
      <c r="H55" s="3">
        <f>" "</f>
        <v/>
      </c>
      <c r="I55" s="3">
        <f>" "</f>
        <v/>
      </c>
      <c r="J55" s="3">
        <f>"卖出"</f>
        <v/>
      </c>
      <c r="K55" s="3" t="n">
        <v>0</v>
      </c>
      <c r="L55" s="3" t="n">
        <v>0</v>
      </c>
      <c r="M55" s="3">
        <f>"银行返回码[ ]返回信息[0000 交易成功]|转账成功 转账账号:6225881012906292 correct_balance=1456"</f>
        <v/>
      </c>
      <c r="N55" s="3" t="n">
        <v>0</v>
      </c>
      <c r="O55" s="3" t="n">
        <v>0</v>
      </c>
      <c r="P55" s="3" t="n">
        <v>0</v>
      </c>
      <c r="Q55" s="3" t="n">
        <v>0</v>
      </c>
    </row>
    <row r="56">
      <c r="A56" s="4" t="inlineStr">
        <is>
          <t>802988113</t>
        </is>
      </c>
      <c r="B56" s="4" t="inlineStr">
        <is>
          <t>20200710</t>
        </is>
      </c>
      <c r="C56" s="4" t="inlineStr">
        <is>
          <t>证券卖出</t>
        </is>
      </c>
      <c r="D56" s="4" t="inlineStr">
        <is>
          <t>10092.38</t>
        </is>
      </c>
      <c r="E56" s="4" t="n">
        <v>1</v>
      </c>
      <c r="F56" s="4" t="inlineStr">
        <is>
          <t>人民币</t>
        </is>
      </c>
      <c r="G56" s="4" t="inlineStr">
        <is>
          <t>0184500716</t>
        </is>
      </c>
      <c r="H56" s="4" t="inlineStr">
        <is>
          <t>159938</t>
        </is>
      </c>
      <c r="I56" s="4" t="inlineStr">
        <is>
          <t>医药</t>
        </is>
      </c>
      <c r="J56" s="4" t="inlineStr">
        <is>
          <t>卖出</t>
        </is>
      </c>
      <c r="K56" s="4" t="n">
        <v>2.103</v>
      </c>
      <c r="L56" s="4" t="n">
        <v>-4800</v>
      </c>
      <c r="M56" s="4" t="inlineStr">
        <is>
          <t>证券卖出</t>
        </is>
      </c>
      <c r="N56" s="4" t="n">
        <v>2.02</v>
      </c>
      <c r="O56" s="4" t="n">
        <v>0</v>
      </c>
      <c r="P56" s="4" t="n">
        <v>0</v>
      </c>
      <c r="Q56" s="4" t="n">
        <v>0</v>
      </c>
    </row>
    <row r="57">
      <c r="A57" s="4" t="inlineStr">
        <is>
          <t>911090840</t>
        </is>
      </c>
      <c r="B57" s="4" t="inlineStr">
        <is>
          <t>20200710</t>
        </is>
      </c>
      <c r="C57" s="4" t="inlineStr">
        <is>
          <t>基金资金拨出</t>
        </is>
      </c>
      <c r="D57" s="4" t="inlineStr">
        <is>
          <t>-10091.38</t>
        </is>
      </c>
      <c r="E57" s="4" t="n">
        <v>-10091.38</v>
      </c>
      <c r="F57" s="4" t="inlineStr">
        <is>
          <t>人民币</t>
        </is>
      </c>
      <c r="G57" s="4" t="inlineStr">
        <is>
          <t xml:space="preserve"> </t>
        </is>
      </c>
      <c r="H57" s="4" t="inlineStr">
        <is>
          <t xml:space="preserve"> </t>
        </is>
      </c>
      <c r="I57" s="4" t="inlineStr">
        <is>
          <t xml:space="preserve"> </t>
        </is>
      </c>
      <c r="J57" s="4" t="inlineStr">
        <is>
          <t>卖出</t>
        </is>
      </c>
      <c r="K57" s="4" t="n">
        <v>0</v>
      </c>
      <c r="L57" s="4" t="n">
        <v>0</v>
      </c>
      <c r="M57" s="4" t="inlineStr">
        <is>
          <t>天天发确认数据生成</t>
        </is>
      </c>
      <c r="N57" s="4" t="n">
        <v>0</v>
      </c>
      <c r="O57" s="4" t="n">
        <v>0</v>
      </c>
      <c r="P57" s="4" t="n">
        <v>0</v>
      </c>
      <c r="Q57" s="4" t="n">
        <v>0</v>
      </c>
    </row>
    <row r="58">
      <c r="A58" s="4" t="inlineStr">
        <is>
          <t>1218</t>
        </is>
      </c>
      <c r="B58" s="4" t="inlineStr">
        <is>
          <t>20200713</t>
        </is>
      </c>
      <c r="C58" s="4" t="inlineStr">
        <is>
          <t>资管转让资金上账</t>
        </is>
      </c>
      <c r="D58" s="4" t="inlineStr">
        <is>
          <t>10092.00</t>
        </is>
      </c>
      <c r="E58" s="4" t="n">
        <v>10093</v>
      </c>
      <c r="F58" s="4" t="inlineStr">
        <is>
          <t>人民币</t>
        </is>
      </c>
      <c r="G58" s="4" t="inlineStr">
        <is>
          <t xml:space="preserve"> </t>
        </is>
      </c>
      <c r="H58" s="4" t="inlineStr">
        <is>
          <t xml:space="preserve"> </t>
        </is>
      </c>
      <c r="I58" s="4" t="inlineStr">
        <is>
          <t xml:space="preserve"> </t>
        </is>
      </c>
      <c r="J58" s="4" t="inlineStr">
        <is>
          <t>卖出</t>
        </is>
      </c>
      <c r="K58" s="4" t="n">
        <v>0</v>
      </c>
      <c r="L58" s="4" t="n">
        <v>0</v>
      </c>
      <c r="M58" s="4" t="inlineStr">
        <is>
          <t>快速取现退出资金拨入,产品代码940018,对方资产账户40000545correct_balance=0</t>
        </is>
      </c>
      <c r="N58" s="4" t="n">
        <v>0</v>
      </c>
      <c r="O58" s="4" t="n">
        <v>0</v>
      </c>
      <c r="P58" s="4" t="n">
        <v>0</v>
      </c>
      <c r="Q58" s="4" t="n">
        <v>0</v>
      </c>
    </row>
    <row r="59">
      <c r="A59" s="4" t="inlineStr">
        <is>
          <t>1222</t>
        </is>
      </c>
      <c r="B59" s="4" t="inlineStr">
        <is>
          <t>20200713</t>
        </is>
      </c>
      <c r="C59" s="4" t="inlineStr">
        <is>
          <t>银行转取</t>
        </is>
      </c>
      <c r="D59" s="4" t="inlineStr">
        <is>
          <t>-10093.00</t>
        </is>
      </c>
      <c r="E59" s="4" t="n">
        <v>0</v>
      </c>
      <c r="F59" s="4" t="inlineStr">
        <is>
          <t>人民币</t>
        </is>
      </c>
      <c r="G59" s="4" t="inlineStr">
        <is>
          <t xml:space="preserve"> </t>
        </is>
      </c>
      <c r="H59" s="4" t="inlineStr">
        <is>
          <t xml:space="preserve"> </t>
        </is>
      </c>
      <c r="I59" s="4" t="inlineStr">
        <is>
          <t xml:space="preserve"> </t>
        </is>
      </c>
      <c r="J59" s="4" t="inlineStr">
        <is>
          <t>卖出</t>
        </is>
      </c>
      <c r="K59" s="4" t="n">
        <v>0</v>
      </c>
      <c r="L59" s="4" t="n">
        <v>0</v>
      </c>
      <c r="M59" s="4" t="inlineStr">
        <is>
          <t>银行返回码[ ]返回信息[0000 交易成功]|转账成功 转账账号:6225881012906292 correct_balance=10093</t>
        </is>
      </c>
      <c r="N59" s="4" t="n">
        <v>0</v>
      </c>
      <c r="O59" s="4" t="n">
        <v>0</v>
      </c>
      <c r="P59" s="4" t="n">
        <v>0</v>
      </c>
      <c r="Q59" s="4" t="n">
        <v>0</v>
      </c>
    </row>
    <row r="60">
      <c r="A60" s="4" t="inlineStr">
        <is>
          <t>801120758</t>
        </is>
      </c>
      <c r="B60" s="4" t="inlineStr">
        <is>
          <t>20200911</t>
        </is>
      </c>
      <c r="C60" s="4" t="inlineStr">
        <is>
          <t>证券卖出</t>
        </is>
      </c>
      <c r="D60" s="4" t="n">
        <v>9660.469999999999</v>
      </c>
      <c r="E60" s="4" t="n">
        <v>1</v>
      </c>
      <c r="F60" s="4" t="inlineStr">
        <is>
          <t>人民币</t>
        </is>
      </c>
      <c r="G60" s="4" t="inlineStr">
        <is>
          <t>0184500716</t>
        </is>
      </c>
      <c r="H60" s="4" t="inlineStr">
        <is>
          <t>159938</t>
        </is>
      </c>
      <c r="I60" s="4" t="inlineStr">
        <is>
          <t>医药</t>
        </is>
      </c>
      <c r="J60" s="4" t="inlineStr">
        <is>
          <t>卖出</t>
        </is>
      </c>
      <c r="K60" s="4" t="n">
        <v>2.013</v>
      </c>
      <c r="L60" s="4" t="n">
        <v>-4800</v>
      </c>
      <c r="M60" s="4" t="inlineStr">
        <is>
          <t>证券卖出</t>
        </is>
      </c>
      <c r="N60" s="4" t="n">
        <v>1.93</v>
      </c>
      <c r="O60" s="4" t="n">
        <v>0</v>
      </c>
      <c r="P60" s="4" t="n">
        <v>0</v>
      </c>
      <c r="Q60" s="4" t="n">
        <v>0</v>
      </c>
    </row>
    <row r="61">
      <c r="A61" s="4" t="inlineStr">
        <is>
          <t>911244538</t>
        </is>
      </c>
      <c r="B61" s="4" t="inlineStr">
        <is>
          <t>20200911</t>
        </is>
      </c>
      <c r="C61" s="4" t="inlineStr">
        <is>
          <t>基金资金拨出</t>
        </is>
      </c>
      <c r="D61" s="4" t="n">
        <v>-9659.469999999999</v>
      </c>
      <c r="E61" s="4" t="n">
        <v>-9659.469999999999</v>
      </c>
      <c r="F61" s="4" t="inlineStr">
        <is>
          <t>人民币</t>
        </is>
      </c>
      <c r="G61" s="4" t="n"/>
      <c r="H61" s="4" t="n"/>
      <c r="I61" s="4" t="n"/>
      <c r="J61" s="4" t="inlineStr">
        <is>
          <t>卖出</t>
        </is>
      </c>
      <c r="K61" s="4" t="n">
        <v>0</v>
      </c>
      <c r="L61" s="4" t="n">
        <v>0</v>
      </c>
      <c r="M61" s="4" t="inlineStr">
        <is>
          <t>天天发确认数据生成</t>
        </is>
      </c>
      <c r="N61" s="4" t="n">
        <v>0</v>
      </c>
      <c r="O61" s="4" t="n">
        <v>0</v>
      </c>
      <c r="P61" s="4" t="n">
        <v>0</v>
      </c>
      <c r="Q61" s="4" t="n">
        <v>0</v>
      </c>
    </row>
    <row r="62">
      <c r="A62" s="4" t="inlineStr">
        <is>
          <t>910384017</t>
        </is>
      </c>
      <c r="B62" s="4" t="inlineStr">
        <is>
          <t>20200914</t>
        </is>
      </c>
      <c r="C62" s="4" t="inlineStr">
        <is>
          <t>基金资金拨出</t>
        </is>
      </c>
      <c r="D62" s="4" t="n">
        <v>-1</v>
      </c>
      <c r="E62" s="4" t="n">
        <v>0</v>
      </c>
      <c r="F62" s="4" t="inlineStr">
        <is>
          <t>人民币</t>
        </is>
      </c>
      <c r="G62" s="4" t="n"/>
      <c r="H62" s="4" t="n"/>
      <c r="I62" s="4" t="n"/>
      <c r="J62" s="4" t="inlineStr">
        <is>
          <t>卖出</t>
        </is>
      </c>
      <c r="K62" s="4" t="n">
        <v>0</v>
      </c>
      <c r="L62" s="4" t="n">
        <v>0</v>
      </c>
      <c r="M62" s="4" t="inlineStr">
        <is>
          <t>天天发确认数据生成</t>
        </is>
      </c>
      <c r="N62" s="4" t="n">
        <v>0</v>
      </c>
      <c r="O62" s="4" t="n">
        <v>0</v>
      </c>
      <c r="P62" s="4" t="n">
        <v>0</v>
      </c>
      <c r="Q62" s="4" t="n">
        <v>0</v>
      </c>
    </row>
  </sheetData>
  <autoFilter ref="B:Q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2020-09-18T05:47:31Z</dcterms:modified>
  <cp:lastModifiedBy>康力泉</cp:lastModifiedBy>
</cp:coreProperties>
</file>