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840" windowWidth="21600"/>
  </bookViews>
  <sheets>
    <sheet xmlns:r="http://schemas.openxmlformats.org/officeDocument/2006/relationships" name="Sheet1" sheetId="1" state="visible" r:id="rId1"/>
  </sheets>
  <definedNames>
    <definedName hidden="1" localSheetId="0" name="_xlnm._FilterDatabase">'Sheet1'!$B:$P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0.0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2">
    <font>
      <name val="等线"/>
      <charset val="134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Arial"/>
      <b val="1"/>
      <strike val="0"/>
      <color rgb="FF000000"/>
      <sz val="11"/>
    </font>
    <font>
      <name val="Arial"/>
      <strike val="0"/>
      <color rgb="FF000000"/>
      <sz val="11"/>
    </font>
  </fonts>
  <fills count="3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0" fontId="0" numFmtId="165">
      <alignment vertical="center"/>
    </xf>
    <xf applyAlignment="1" borderId="0" fillId="10" fontId="7" numFmtId="0">
      <alignment vertical="center"/>
    </xf>
    <xf applyAlignment="1" borderId="2" fillId="4" fontId="5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8" fontId="7" numFmtId="0">
      <alignment vertical="center"/>
    </xf>
    <xf applyAlignment="1" borderId="0" fillId="11" fontId="9" numFmtId="0">
      <alignment vertical="center"/>
    </xf>
    <xf applyAlignment="1" borderId="0" fillId="0" fontId="0" numFmtId="168">
      <alignment vertical="center"/>
    </xf>
    <xf applyAlignment="1" borderId="0" fillId="14" fontId="8" numFmtId="0">
      <alignment vertical="center"/>
    </xf>
    <xf applyAlignment="1" borderId="0" fillId="0" fontId="11" numFmtId="0">
      <alignment vertical="center"/>
    </xf>
    <xf applyAlignment="1" borderId="0" fillId="0" fontId="0" numFmtId="0">
      <alignment vertical="center"/>
    </xf>
    <xf applyAlignment="1" borderId="0" fillId="0" fontId="10" numFmtId="0">
      <alignment vertical="center"/>
    </xf>
    <xf applyAlignment="1" borderId="3" fillId="5" fontId="0" numFmtId="0">
      <alignment vertical="center"/>
    </xf>
    <xf applyAlignment="1" borderId="0" fillId="16" fontId="8" numFmtId="0">
      <alignment vertical="center"/>
    </xf>
    <xf applyAlignment="1" borderId="0" fillId="0" fontId="4" numFmtId="0">
      <alignment vertical="center"/>
    </xf>
    <xf applyAlignment="1" borderId="0" fillId="0" fontId="14" numFmtId="0">
      <alignment vertical="center"/>
    </xf>
    <xf applyAlignment="1" borderId="0" fillId="0" fontId="1" numFmtId="0">
      <alignment vertical="center"/>
    </xf>
    <xf applyAlignment="1" borderId="0" fillId="0" fontId="3" numFmtId="0">
      <alignment vertical="center"/>
    </xf>
    <xf applyAlignment="1" borderId="6" fillId="0" fontId="16" numFmtId="0">
      <alignment vertical="center"/>
    </xf>
    <xf applyAlignment="1" borderId="6" fillId="0" fontId="13" numFmtId="0">
      <alignment vertical="center"/>
    </xf>
    <xf applyAlignment="1" borderId="0" fillId="19" fontId="8" numFmtId="0">
      <alignment vertical="center"/>
    </xf>
    <xf applyAlignment="1" borderId="4" fillId="0" fontId="4" numFmtId="0">
      <alignment vertical="center"/>
    </xf>
    <xf applyAlignment="1" borderId="0" fillId="20" fontId="8" numFmtId="0">
      <alignment vertical="center"/>
    </xf>
    <xf applyAlignment="1" borderId="1" fillId="3" fontId="2" numFmtId="0">
      <alignment vertical="center"/>
    </xf>
    <xf applyAlignment="1" borderId="2" fillId="3" fontId="6" numFmtId="0">
      <alignment vertical="center"/>
    </xf>
    <xf applyAlignment="1" borderId="7" fillId="17" fontId="15" numFmtId="0">
      <alignment vertical="center"/>
    </xf>
    <xf applyAlignment="1" borderId="0" fillId="21" fontId="7" numFmtId="0">
      <alignment vertical="center"/>
    </xf>
    <xf applyAlignment="1" borderId="0" fillId="23" fontId="8" numFmtId="0">
      <alignment vertical="center"/>
    </xf>
    <xf applyAlignment="1" borderId="5" fillId="0" fontId="12" numFmtId="0">
      <alignment vertical="center"/>
    </xf>
    <xf applyAlignment="1" borderId="8" fillId="0" fontId="18" numFmtId="0">
      <alignment vertical="center"/>
    </xf>
    <xf applyAlignment="1" borderId="0" fillId="27" fontId="19" numFmtId="0">
      <alignment vertical="center"/>
    </xf>
    <xf applyAlignment="1" borderId="0" fillId="22" fontId="17" numFmtId="0">
      <alignment vertical="center"/>
    </xf>
    <xf applyAlignment="1" borderId="0" fillId="7" fontId="7" numFmtId="0">
      <alignment vertical="center"/>
    </xf>
    <xf applyAlignment="1" borderId="0" fillId="28" fontId="8" numFmtId="0">
      <alignment vertical="center"/>
    </xf>
    <xf applyAlignment="1" borderId="0" fillId="29" fontId="7" numFmtId="0">
      <alignment vertical="center"/>
    </xf>
    <xf applyAlignment="1" borderId="0" fillId="30" fontId="7" numFmtId="0">
      <alignment vertical="center"/>
    </xf>
    <xf applyAlignment="1" borderId="0" fillId="15" fontId="7" numFmtId="0">
      <alignment vertical="center"/>
    </xf>
    <xf applyAlignment="1" borderId="0" fillId="26" fontId="7" numFmtId="0">
      <alignment vertical="center"/>
    </xf>
    <xf applyAlignment="1" borderId="0" fillId="18" fontId="8" numFmtId="0">
      <alignment vertical="center"/>
    </xf>
    <xf applyAlignment="1" borderId="0" fillId="25" fontId="8" numFmtId="0">
      <alignment vertical="center"/>
    </xf>
    <xf applyAlignment="1" borderId="0" fillId="13" fontId="7" numFmtId="0">
      <alignment vertical="center"/>
    </xf>
    <xf applyAlignment="1" borderId="0" fillId="6" fontId="7" numFmtId="0">
      <alignment vertical="center"/>
    </xf>
    <xf applyAlignment="1" borderId="0" fillId="24" fontId="8" numFmtId="0">
      <alignment vertical="center"/>
    </xf>
    <xf applyAlignment="1" borderId="0" fillId="12" fontId="7" numFmtId="0">
      <alignment vertical="center"/>
    </xf>
    <xf applyAlignment="1" borderId="0" fillId="32" fontId="8" numFmtId="0">
      <alignment vertical="center"/>
    </xf>
    <xf applyAlignment="1" borderId="0" fillId="31" fontId="8" numFmtId="0">
      <alignment vertical="center"/>
    </xf>
    <xf applyAlignment="1" borderId="0" fillId="33" fontId="7" numFmtId="0">
      <alignment vertical="center"/>
    </xf>
    <xf applyAlignment="1" borderId="0" fillId="9" fontId="8" numFmtId="0">
      <alignment vertical="center"/>
    </xf>
  </cellStyleXfs>
  <cellXfs count="11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0" numFmtId="164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1" numFmtId="0" pivotButton="0" quotePrefix="0" xfId="0">
      <alignment vertical="center"/>
    </xf>
    <xf borderId="0" fillId="0" fontId="21" numFmtId="0" pivotButton="0" quotePrefix="0" xfId="0"/>
    <xf applyAlignment="1" borderId="0" fillId="2" fontId="21" numFmtId="0" pivotButton="0" quotePrefix="0" xfId="0">
      <alignment vertical="center"/>
    </xf>
    <xf applyAlignment="1" borderId="0" fillId="2" fontId="21" numFmtId="2" pivotButton="0" quotePrefix="0" xfId="0">
      <alignment vertical="center"/>
    </xf>
    <xf applyAlignment="1" borderId="0" fillId="2" fontId="21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tabSelected="1" topLeftCell="A4" workbookViewId="0">
      <pane activePane="bottomLeft" state="frozen" topLeftCell="A2" ySplit="1"/>
      <selection activeCell="P24" pane="bottomLeft" sqref="P24"/>
    </sheetView>
  </sheetViews>
  <sheetFormatPr baseColWidth="8" defaultColWidth="9" defaultRowHeight="14.25"/>
  <cols>
    <col customWidth="1" max="1" min="1" width="11"/>
    <col customWidth="1" max="2" min="2" width="11"/>
    <col customWidth="1" max="3" min="3" width="11"/>
    <col customWidth="1" max="4" min="4" width="11"/>
    <col customWidth="1" max="5" min="5" width="11"/>
    <col customWidth="1" max="6" min="6" width="11"/>
    <col customWidth="1" max="7" min="7" width="11"/>
    <col customWidth="1" max="8" min="8" width="11"/>
    <col customWidth="1" max="9" min="9" width="11"/>
    <col customWidth="1" max="10" min="10" width="11"/>
    <col customWidth="1" max="11" min="11" width="12"/>
    <col customWidth="1" max="14" min="12" width="12"/>
    <col customWidth="1" max="13" min="13" width="12"/>
    <col customWidth="1" max="14" min="14" width="12"/>
    <col customWidth="1" max="15" min="15" width="12"/>
    <col customWidth="1" max="16" min="16" width="12"/>
  </cols>
  <sheetData>
    <row r="1">
      <c r="A1" s="5">
        <f>"成交日期"</f>
        <v/>
      </c>
      <c r="B1" s="5">
        <f>"成交时间"</f>
        <v/>
      </c>
      <c r="C1" s="5">
        <f>"股东代码"</f>
        <v/>
      </c>
      <c r="D1" s="5">
        <f>"证券代码"</f>
        <v/>
      </c>
      <c r="E1" s="5">
        <f>"证券名称"</f>
        <v/>
      </c>
      <c r="F1" s="5">
        <f>"委托类别"</f>
        <v/>
      </c>
      <c r="G1" s="5">
        <f>"成交价格"</f>
        <v/>
      </c>
      <c r="H1" s="5">
        <f>"成交数量"</f>
        <v/>
      </c>
      <c r="I1" s="5">
        <f>"发生金额"</f>
        <v/>
      </c>
      <c r="J1" s="5">
        <f>"剩余金额"</f>
        <v/>
      </c>
      <c r="K1" s="5">
        <f>"佣金"</f>
        <v/>
      </c>
      <c r="L1" s="5">
        <f>"印花税"</f>
        <v/>
      </c>
      <c r="M1" s="5">
        <f>"过户费"</f>
        <v/>
      </c>
      <c r="N1" s="5">
        <f>"成交费"</f>
        <v/>
      </c>
      <c r="O1" s="5">
        <f>"成交编号"</f>
        <v/>
      </c>
      <c r="P1" s="5">
        <f>"委托编号"</f>
        <v/>
      </c>
    </row>
    <row r="2">
      <c r="A2" s="6">
        <f>"20200121"</f>
        <v/>
      </c>
      <c r="B2" s="6">
        <f>"09:16:15"</f>
        <v/>
      </c>
      <c r="C2" s="6">
        <f>"A634757556"</f>
        <v/>
      </c>
      <c r="D2" s="6">
        <f>"799999"</f>
        <v/>
      </c>
      <c r="E2" s="6">
        <f>"登记指定"</f>
        <v/>
      </c>
      <c r="F2" s="6">
        <f>"指定"</f>
        <v/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>
        <f>"17207186"</f>
        <v/>
      </c>
      <c r="P2" s="6">
        <f>"4478"</f>
        <v/>
      </c>
    </row>
    <row r="3">
      <c r="A3" s="6">
        <f>"20200203"</f>
        <v/>
      </c>
      <c r="B3" s="6">
        <f>"09:53:57"</f>
        <v/>
      </c>
      <c r="C3" s="6">
        <f>"0184500716"</f>
        <v/>
      </c>
      <c r="D3" s="6">
        <f>"162411"</f>
        <v/>
      </c>
      <c r="E3" s="6">
        <f>"华宝油气"</f>
        <v/>
      </c>
      <c r="F3" s="6">
        <f>"买入"</f>
        <v/>
      </c>
      <c r="G3" s="6" t="n">
        <v>0.36</v>
      </c>
      <c r="H3" s="6" t="n">
        <v>35500</v>
      </c>
      <c r="I3" s="6" t="n">
        <v>12780</v>
      </c>
      <c r="J3" s="6" t="n">
        <v>37218.72</v>
      </c>
      <c r="K3" s="6" t="n">
        <v>1.28</v>
      </c>
      <c r="L3" s="6" t="n">
        <v>0</v>
      </c>
      <c r="M3" s="6" t="n">
        <v>0</v>
      </c>
      <c r="N3" s="6" t="n">
        <v>0</v>
      </c>
      <c r="O3" s="6">
        <f>"0101000004266802"</f>
        <v/>
      </c>
      <c r="P3" s="6">
        <f>"56251"</f>
        <v/>
      </c>
    </row>
    <row r="4">
      <c r="A4" s="6">
        <f>"20200203"</f>
        <v/>
      </c>
      <c r="B4" s="6">
        <f>"11:26:14"</f>
        <v/>
      </c>
      <c r="C4" s="6">
        <f>"A634757556"</f>
        <v/>
      </c>
      <c r="D4" s="6">
        <f>"515180"</f>
        <v/>
      </c>
      <c r="E4" s="6">
        <f>"100红利"</f>
        <v/>
      </c>
      <c r="F4" s="6">
        <f>"买入"</f>
        <v/>
      </c>
      <c r="G4" s="6" t="n">
        <v>0.906</v>
      </c>
      <c r="H4" s="6" t="n">
        <v>2700</v>
      </c>
      <c r="I4" s="6" t="n">
        <v>2446.2</v>
      </c>
      <c r="J4" s="6" t="n">
        <v>34772.28</v>
      </c>
      <c r="K4" s="6" t="n">
        <v>0.24</v>
      </c>
      <c r="L4" s="6" t="n">
        <v>0</v>
      </c>
      <c r="M4" s="6" t="n">
        <v>0</v>
      </c>
      <c r="N4" s="6" t="n">
        <v>0</v>
      </c>
      <c r="O4" s="6">
        <f>"8752202"</f>
        <v/>
      </c>
      <c r="P4" s="6">
        <f>"101419"</f>
        <v/>
      </c>
    </row>
    <row r="5">
      <c r="A5" s="6">
        <f>"20200210"</f>
        <v/>
      </c>
      <c r="B5" s="6">
        <f>"09:59:08"</f>
        <v/>
      </c>
      <c r="C5" s="6">
        <f>"A634757556"</f>
        <v/>
      </c>
      <c r="D5" s="6">
        <f>"515180"</f>
        <v/>
      </c>
      <c r="E5" s="6">
        <f>"100红利"</f>
        <v/>
      </c>
      <c r="F5" s="6">
        <f>"卖出"</f>
        <v/>
      </c>
      <c r="G5" s="6" t="n">
        <v>0.957</v>
      </c>
      <c r="H5" s="6" t="n">
        <v>2400</v>
      </c>
      <c r="I5" s="6" t="n">
        <v>2296.8</v>
      </c>
      <c r="J5" s="6" t="n">
        <v>2296.57</v>
      </c>
      <c r="K5" s="6" t="n">
        <v>0.23</v>
      </c>
      <c r="L5" s="6" t="n">
        <v>0</v>
      </c>
      <c r="M5" s="6" t="n">
        <v>0</v>
      </c>
      <c r="N5" s="6" t="n">
        <v>0</v>
      </c>
      <c r="O5" s="6">
        <f>"5337883"</f>
        <v/>
      </c>
      <c r="P5" s="6">
        <f>"46648"</f>
        <v/>
      </c>
    </row>
    <row r="6">
      <c r="A6" s="6">
        <f>"20200228"</f>
        <v/>
      </c>
      <c r="B6" s="6">
        <f>"09:30:40"</f>
        <v/>
      </c>
      <c r="C6" s="6">
        <f>"0184500716"</f>
        <v/>
      </c>
      <c r="D6" s="6">
        <f>"159920"</f>
        <v/>
      </c>
      <c r="E6" s="6">
        <f>"恒生ETF"</f>
        <v/>
      </c>
      <c r="F6" s="6">
        <f>"买入"</f>
        <v/>
      </c>
      <c r="G6" s="6" t="n">
        <v>1.446</v>
      </c>
      <c r="H6" s="6" t="n">
        <v>1700</v>
      </c>
      <c r="I6" s="6" t="n">
        <v>2458.2</v>
      </c>
      <c r="J6" s="6" t="n">
        <v>-2458.45</v>
      </c>
      <c r="K6" s="6" t="n">
        <v>0.25</v>
      </c>
      <c r="L6" s="6" t="n">
        <v>0</v>
      </c>
      <c r="M6" s="6" t="n">
        <v>0</v>
      </c>
      <c r="N6" s="6" t="n">
        <v>0</v>
      </c>
      <c r="O6" s="6">
        <f>"0101000001836999"</f>
        <v/>
      </c>
      <c r="P6" s="6">
        <f>"39105"</f>
        <v/>
      </c>
    </row>
    <row r="7">
      <c r="A7" s="6">
        <f>"20200309"</f>
        <v/>
      </c>
      <c r="B7" s="6">
        <f>"09:39:44"</f>
        <v/>
      </c>
      <c r="C7" s="6">
        <f>"0184500716"</f>
        <v/>
      </c>
      <c r="D7" s="6">
        <f>"159920"</f>
        <v/>
      </c>
      <c r="E7" s="6">
        <f>"恒生ETF"</f>
        <v/>
      </c>
      <c r="F7" s="6">
        <f>"买入"</f>
        <v/>
      </c>
      <c r="G7" s="6" t="n">
        <v>1.384</v>
      </c>
      <c r="H7" s="6" t="n">
        <v>1800</v>
      </c>
      <c r="I7" s="6" t="n">
        <v>2491.2</v>
      </c>
      <c r="J7" s="6" t="n">
        <v>-2491.45</v>
      </c>
      <c r="K7" s="6" t="n">
        <v>0.25</v>
      </c>
      <c r="L7" s="6" t="n">
        <v>0</v>
      </c>
      <c r="M7" s="6" t="n">
        <v>0</v>
      </c>
      <c r="N7" s="6" t="n">
        <v>0</v>
      </c>
      <c r="O7" s="6">
        <f>"0102000005358551"</f>
        <v/>
      </c>
      <c r="P7" s="6">
        <f>"68903"</f>
        <v/>
      </c>
    </row>
    <row r="8">
      <c r="A8" s="6">
        <f>"20200311"</f>
        <v/>
      </c>
      <c r="B8" s="6">
        <f>"13:41:39"</f>
        <v/>
      </c>
      <c r="C8" s="6">
        <f>"A634757556"</f>
        <v/>
      </c>
      <c r="D8" s="6">
        <f>"513520"</f>
        <v/>
      </c>
      <c r="E8" s="6">
        <f>"日经ETF"</f>
        <v/>
      </c>
      <c r="F8" s="6">
        <f>"买入"</f>
        <v/>
      </c>
      <c r="G8" s="6" t="n">
        <v>0.969</v>
      </c>
      <c r="H8" s="6" t="n">
        <v>2600</v>
      </c>
      <c r="I8" s="6" t="n">
        <v>2519.4</v>
      </c>
      <c r="J8" s="6" t="n">
        <v>-2519.65</v>
      </c>
      <c r="K8" s="6" t="n">
        <v>0.25</v>
      </c>
      <c r="L8" s="6" t="n">
        <v>0</v>
      </c>
      <c r="M8" s="6" t="n">
        <v>0</v>
      </c>
      <c r="N8" s="6" t="n">
        <v>0</v>
      </c>
      <c r="O8" s="6">
        <f>"17094625"</f>
        <v/>
      </c>
      <c r="P8" s="6">
        <f>"204748"</f>
        <v/>
      </c>
    </row>
    <row r="9">
      <c r="A9" s="6">
        <f>"20200312"</f>
        <v/>
      </c>
      <c r="B9" s="6">
        <f>"10:05:12"</f>
        <v/>
      </c>
      <c r="C9" s="6">
        <f>"0184500716"</f>
        <v/>
      </c>
      <c r="D9" s="6">
        <f>"162411"</f>
        <v/>
      </c>
      <c r="E9" s="6">
        <f>"华宝油气"</f>
        <v/>
      </c>
      <c r="F9" s="6">
        <f>"卖出"</f>
        <v/>
      </c>
      <c r="G9" s="6" t="n">
        <v>0.238</v>
      </c>
      <c r="H9" s="6" t="n">
        <v>35500</v>
      </c>
      <c r="I9" s="6" t="n">
        <v>8449</v>
      </c>
      <c r="J9" s="6" t="n">
        <v>8448.26</v>
      </c>
      <c r="K9" s="6" t="n">
        <v>0.84</v>
      </c>
      <c r="L9" s="6" t="n">
        <v>0</v>
      </c>
      <c r="M9" s="6" t="n">
        <v>0</v>
      </c>
      <c r="N9" s="6" t="n">
        <v>0</v>
      </c>
      <c r="O9" s="6">
        <f>"0101000010883522"</f>
        <v/>
      </c>
      <c r="P9" s="6">
        <f>"148802"</f>
        <v/>
      </c>
    </row>
    <row r="10">
      <c r="A10" s="6">
        <f>"20200316"</f>
        <v/>
      </c>
      <c r="B10" s="6">
        <f>"09:30:00"</f>
        <v/>
      </c>
      <c r="C10" s="6">
        <f>"0184500716"</f>
        <v/>
      </c>
      <c r="D10" s="6">
        <f>"160416"</f>
        <v/>
      </c>
      <c r="E10" s="6">
        <f>"石油基金"</f>
        <v/>
      </c>
      <c r="F10" s="6">
        <f>"基金申购"</f>
        <v/>
      </c>
      <c r="G10" s="6" t="n">
        <v>0.608</v>
      </c>
      <c r="H10" s="6" t="n">
        <v>13896</v>
      </c>
      <c r="I10" s="6" t="n">
        <v>8448.77</v>
      </c>
      <c r="J10" s="6" t="n">
        <v>0.23</v>
      </c>
      <c r="K10" s="6" t="n">
        <v>0</v>
      </c>
      <c r="L10" s="6" t="n">
        <v>0</v>
      </c>
      <c r="M10" s="6" t="n">
        <v>0</v>
      </c>
      <c r="N10" s="6" t="n">
        <v>0</v>
      </c>
      <c r="O10" s="6">
        <f>"申购确认"</f>
        <v/>
      </c>
      <c r="P10" s="6">
        <f>"151719"</f>
        <v/>
      </c>
    </row>
    <row r="11">
      <c r="A11" s="6">
        <f>"20200317"</f>
        <v/>
      </c>
      <c r="B11" s="6">
        <f>"09:59:01"</f>
        <v/>
      </c>
      <c r="C11" s="6">
        <f>"A634757556"</f>
        <v/>
      </c>
      <c r="D11" s="6">
        <f>"513520"</f>
        <v/>
      </c>
      <c r="E11" s="6">
        <f>"日经ETF"</f>
        <v/>
      </c>
      <c r="F11" s="6">
        <f>"买入"</f>
        <v/>
      </c>
      <c r="G11" s="6" t="n">
        <v>0.825</v>
      </c>
      <c r="H11" s="6" t="n">
        <v>3000</v>
      </c>
      <c r="I11" s="6" t="n">
        <v>2475</v>
      </c>
      <c r="J11" s="6" t="n">
        <v>-2475.02</v>
      </c>
      <c r="K11" s="6" t="n">
        <v>0.25</v>
      </c>
      <c r="L11" s="6" t="n">
        <v>0</v>
      </c>
      <c r="M11" s="6" t="n">
        <v>0</v>
      </c>
      <c r="N11" s="6" t="n">
        <v>0</v>
      </c>
      <c r="O11" s="6">
        <f>"6294394"</f>
        <v/>
      </c>
      <c r="P11" s="6">
        <f>"73422"</f>
        <v/>
      </c>
    </row>
    <row r="12">
      <c r="A12" s="6">
        <f>"20200319"</f>
        <v/>
      </c>
      <c r="B12" s="6">
        <f>"09:53:52"</f>
        <v/>
      </c>
      <c r="C12" s="6">
        <f>"0184500716"</f>
        <v/>
      </c>
      <c r="D12" s="6">
        <f>"159920"</f>
        <v/>
      </c>
      <c r="E12" s="6">
        <f>"恒生ETF"</f>
        <v/>
      </c>
      <c r="F12" s="6">
        <f>"买入"</f>
        <v/>
      </c>
      <c r="G12" s="6" t="n">
        <v>1.243</v>
      </c>
      <c r="H12" s="6" t="n">
        <v>2000</v>
      </c>
      <c r="I12" s="6" t="n">
        <v>2486</v>
      </c>
      <c r="J12" s="6" t="n">
        <v>15013.75</v>
      </c>
      <c r="K12" s="6" t="n">
        <v>0.25</v>
      </c>
      <c r="L12" s="6" t="n">
        <v>0</v>
      </c>
      <c r="M12" s="6" t="n">
        <v>0</v>
      </c>
      <c r="N12" s="6" t="n">
        <v>0</v>
      </c>
      <c r="O12" s="6">
        <f>"0104000007327435"</f>
        <v/>
      </c>
      <c r="P12" s="6">
        <f>"73514"</f>
        <v/>
      </c>
    </row>
    <row r="13">
      <c r="A13" s="6">
        <f>"20200319"</f>
        <v/>
      </c>
      <c r="B13" s="6">
        <f>"09:55:44"</f>
        <v/>
      </c>
      <c r="C13" s="6">
        <f>"A634757556"</f>
        <v/>
      </c>
      <c r="D13" s="6">
        <f>"513520"</f>
        <v/>
      </c>
      <c r="E13" s="6">
        <f>"日经ETF"</f>
        <v/>
      </c>
      <c r="F13" s="6">
        <f>"买入"</f>
        <v/>
      </c>
      <c r="G13" s="6" t="n">
        <v>0.8129999999999999</v>
      </c>
      <c r="H13" s="6" t="n">
        <v>3100</v>
      </c>
      <c r="I13" s="6" t="n">
        <v>2520.3</v>
      </c>
      <c r="J13" s="6" t="n">
        <v>12493.2</v>
      </c>
      <c r="K13" s="6" t="n">
        <v>0.25</v>
      </c>
      <c r="L13" s="6" t="n">
        <v>0</v>
      </c>
      <c r="M13" s="6" t="n">
        <v>0</v>
      </c>
      <c r="N13" s="6" t="n">
        <v>0</v>
      </c>
      <c r="O13" s="6">
        <f>"4778233"</f>
        <v/>
      </c>
      <c r="P13" s="6">
        <f>"76386"</f>
        <v/>
      </c>
    </row>
    <row r="14">
      <c r="A14" s="6">
        <f>"20200319"</f>
        <v/>
      </c>
      <c r="B14" s="6">
        <f>"10:10:37"</f>
        <v/>
      </c>
      <c r="C14" s="6">
        <f>"A634757556"</f>
        <v/>
      </c>
      <c r="D14" s="6">
        <f>"513520"</f>
        <v/>
      </c>
      <c r="E14" s="6">
        <f>"日经ETF"</f>
        <v/>
      </c>
      <c r="F14" s="6">
        <f>"买入"</f>
        <v/>
      </c>
      <c r="G14" s="6" t="n">
        <v>0.8070000000000001</v>
      </c>
      <c r="H14" s="6" t="n">
        <v>6200</v>
      </c>
      <c r="I14" s="6" t="n">
        <v>5003.4</v>
      </c>
      <c r="J14" s="6" t="n">
        <v>7489.3</v>
      </c>
      <c r="K14" s="6" t="n">
        <v>0.5</v>
      </c>
      <c r="L14" s="6" t="n">
        <v>0</v>
      </c>
      <c r="M14" s="6" t="n">
        <v>0</v>
      </c>
      <c r="N14" s="6" t="n">
        <v>0</v>
      </c>
      <c r="O14" s="6">
        <f>"5936767"</f>
        <v/>
      </c>
      <c r="P14" s="6">
        <f>"92410"</f>
        <v/>
      </c>
    </row>
    <row r="15">
      <c r="A15" s="6">
        <f>"20200319"</f>
        <v/>
      </c>
      <c r="B15" s="6">
        <f>"10:19:06"</f>
        <v/>
      </c>
      <c r="C15" s="6">
        <f>"0184500716"</f>
        <v/>
      </c>
      <c r="D15" s="6">
        <f>"159920"</f>
        <v/>
      </c>
      <c r="E15" s="6">
        <f>"恒生ETF"</f>
        <v/>
      </c>
      <c r="F15" s="6">
        <f>"买入"</f>
        <v/>
      </c>
      <c r="G15" s="6" t="n">
        <v>1.234</v>
      </c>
      <c r="H15" s="6" t="n">
        <v>4100</v>
      </c>
      <c r="I15" s="6" t="n">
        <v>5059.4</v>
      </c>
      <c r="J15" s="6" t="n">
        <v>2429.39</v>
      </c>
      <c r="K15" s="6" t="n">
        <v>0.51</v>
      </c>
      <c r="L15" s="6" t="n">
        <v>0</v>
      </c>
      <c r="M15" s="6" t="n">
        <v>0</v>
      </c>
      <c r="N15" s="6" t="n">
        <v>0</v>
      </c>
      <c r="O15" s="6">
        <f>"0104000011223662"</f>
        <v/>
      </c>
      <c r="P15" s="6">
        <f>"110137"</f>
        <v/>
      </c>
    </row>
    <row r="16">
      <c r="A16" s="6">
        <f>"20200319"</f>
        <v/>
      </c>
      <c r="B16" s="6">
        <f>"10:58:35"</f>
        <v/>
      </c>
      <c r="C16" s="6">
        <f>"A634757556"</f>
        <v/>
      </c>
      <c r="D16" s="6">
        <f>"515180"</f>
        <v/>
      </c>
      <c r="E16" s="6">
        <f>"100红利"</f>
        <v/>
      </c>
      <c r="F16" s="6">
        <f>"买入"</f>
        <v/>
      </c>
      <c r="G16" s="6" t="n">
        <v>0.906</v>
      </c>
      <c r="H16" s="6" t="n">
        <v>2700</v>
      </c>
      <c r="I16" s="6" t="n">
        <v>2446.2</v>
      </c>
      <c r="J16" s="6" t="n">
        <v>-17.05</v>
      </c>
      <c r="K16" s="6" t="n">
        <v>0.24</v>
      </c>
      <c r="L16" s="6" t="n">
        <v>0</v>
      </c>
      <c r="M16" s="6" t="n">
        <v>0</v>
      </c>
      <c r="N16" s="6" t="n">
        <v>0</v>
      </c>
      <c r="O16" s="6">
        <f>"10557894"</f>
        <v/>
      </c>
      <c r="P16" s="6">
        <f>"148498"</f>
        <v/>
      </c>
    </row>
    <row r="17">
      <c r="A17" s="6">
        <f>"20200325"</f>
        <v/>
      </c>
      <c r="B17" s="6">
        <f>"09:31:15"</f>
        <v/>
      </c>
      <c r="C17" s="6">
        <f>"A634757556"</f>
        <v/>
      </c>
      <c r="D17" s="6">
        <f>"513520"</f>
        <v/>
      </c>
      <c r="E17" s="6">
        <f>"日经ETF"</f>
        <v/>
      </c>
      <c r="F17" s="6">
        <f>"卖出"</f>
        <v/>
      </c>
      <c r="G17" s="6" t="n">
        <v>0.874</v>
      </c>
      <c r="H17" s="6" t="n">
        <v>2900</v>
      </c>
      <c r="I17" s="6" t="n">
        <v>2534.6</v>
      </c>
      <c r="J17" s="6" t="n">
        <v>2534.35</v>
      </c>
      <c r="K17" s="6" t="n">
        <v>0.25</v>
      </c>
      <c r="L17" s="6" t="n">
        <v>0</v>
      </c>
      <c r="M17" s="6" t="n">
        <v>0</v>
      </c>
      <c r="N17" s="6" t="n">
        <v>0</v>
      </c>
      <c r="O17" s="6">
        <f>"977029"</f>
        <v/>
      </c>
      <c r="P17" s="6">
        <f>"33804"</f>
        <v/>
      </c>
    </row>
    <row r="18">
      <c r="A18" s="6">
        <f>"20200408"</f>
        <v/>
      </c>
      <c r="B18" s="6">
        <f>"13:18:53"</f>
        <v/>
      </c>
      <c r="C18" s="6">
        <f>"A634757556"</f>
        <v/>
      </c>
      <c r="D18" s="6">
        <f>"513520"</f>
        <v/>
      </c>
      <c r="E18" s="6">
        <f>"日经ETF"</f>
        <v/>
      </c>
      <c r="F18" s="6">
        <f>"卖出"</f>
        <v/>
      </c>
      <c r="G18" s="6" t="n">
        <v>0.923</v>
      </c>
      <c r="H18" s="6" t="n">
        <v>3000</v>
      </c>
      <c r="I18" s="6" t="n">
        <v>2769</v>
      </c>
      <c r="J18" s="6" t="n">
        <v>2768.72</v>
      </c>
      <c r="K18" s="6" t="n">
        <v>0.28</v>
      </c>
      <c r="L18" s="6" t="n">
        <v>0</v>
      </c>
      <c r="M18" s="6" t="n">
        <v>0</v>
      </c>
      <c r="N18" s="6" t="n">
        <v>0</v>
      </c>
      <c r="O18" s="6">
        <f>"11578780"</f>
        <v/>
      </c>
      <c r="P18" s="6">
        <f>"159187"</f>
        <v/>
      </c>
    </row>
    <row r="19">
      <c r="A19" s="6">
        <f>"20200410"</f>
        <v/>
      </c>
      <c r="B19" s="6">
        <f>"14:56:23"</f>
        <v/>
      </c>
      <c r="C19" s="6">
        <f>"A634757556"</f>
        <v/>
      </c>
      <c r="D19" s="6">
        <f>"512580"</f>
        <v/>
      </c>
      <c r="E19" s="6">
        <f>"环保ETF"</f>
        <v/>
      </c>
      <c r="F19" s="6">
        <f>"买入"</f>
        <v/>
      </c>
      <c r="G19" s="6" t="n">
        <v>0.754</v>
      </c>
      <c r="H19" s="6" t="n">
        <v>3300</v>
      </c>
      <c r="I19" s="6" t="n">
        <v>2488.2</v>
      </c>
      <c r="J19" s="6" t="n">
        <v>-2488.45</v>
      </c>
      <c r="K19" s="6" t="n">
        <v>0.25</v>
      </c>
      <c r="L19" s="6" t="n">
        <v>0</v>
      </c>
      <c r="M19" s="6" t="n">
        <v>0</v>
      </c>
      <c r="N19" s="6" t="n">
        <v>0</v>
      </c>
      <c r="O19" s="6">
        <f>"16823495"</f>
        <v/>
      </c>
      <c r="P19" s="6">
        <f>"352561"</f>
        <v/>
      </c>
    </row>
    <row r="20">
      <c r="A20" s="6">
        <f>"20200410"</f>
        <v/>
      </c>
      <c r="B20" s="6">
        <f>"14:54:07"</f>
        <v/>
      </c>
      <c r="C20" s="6">
        <f>"A634757556"</f>
        <v/>
      </c>
      <c r="D20" s="6">
        <f>"512980"</f>
        <v/>
      </c>
      <c r="E20" s="6">
        <f>"传媒ETF"</f>
        <v/>
      </c>
      <c r="F20" s="6">
        <f>"买入"</f>
        <v/>
      </c>
      <c r="G20" s="6" t="n">
        <v>0.8080000000000001</v>
      </c>
      <c r="H20" s="6" t="n">
        <v>3100</v>
      </c>
      <c r="I20" s="6" t="n">
        <v>2504.8</v>
      </c>
      <c r="J20" s="6" t="n">
        <v>-4993.5</v>
      </c>
      <c r="K20" s="6" t="n">
        <v>0.25</v>
      </c>
      <c r="L20" s="6" t="n">
        <v>0</v>
      </c>
      <c r="M20" s="6" t="n">
        <v>0</v>
      </c>
      <c r="N20" s="6" t="n">
        <v>0</v>
      </c>
      <c r="O20" s="6">
        <f>"16798477"</f>
        <v/>
      </c>
      <c r="P20" s="6">
        <f>"353394"</f>
        <v/>
      </c>
    </row>
    <row r="21">
      <c r="A21" s="7" t="inlineStr">
        <is>
          <t>20200417</t>
        </is>
      </c>
      <c r="B21" s="7" t="inlineStr">
        <is>
          <t>09:46:31</t>
        </is>
      </c>
      <c r="C21" s="7" t="inlineStr">
        <is>
          <t>A634757556</t>
        </is>
      </c>
      <c r="D21" s="7" t="inlineStr">
        <is>
          <t>512980</t>
        </is>
      </c>
      <c r="E21" s="7" t="inlineStr">
        <is>
          <t>传媒ETF</t>
        </is>
      </c>
      <c r="F21" s="7" t="inlineStr">
        <is>
          <t>卖出</t>
        </is>
      </c>
      <c r="G21" s="7" t="n">
        <v>0.833</v>
      </c>
      <c r="H21" s="7" t="n">
        <v>2900</v>
      </c>
      <c r="I21" s="7" t="n">
        <v>2415.7</v>
      </c>
      <c r="J21" s="7" t="n">
        <v>2415.46</v>
      </c>
      <c r="K21" s="7" t="n">
        <v>0.24</v>
      </c>
      <c r="L21" s="7" t="n">
        <v>0</v>
      </c>
      <c r="M21" s="7" t="n">
        <v>0</v>
      </c>
      <c r="N21" s="7" t="n">
        <v>0</v>
      </c>
      <c r="O21" s="7" t="inlineStr">
        <is>
          <t>3045170</t>
        </is>
      </c>
      <c r="P21" s="7" t="inlineStr">
        <is>
          <t>20741</t>
        </is>
      </c>
    </row>
    <row r="22">
      <c r="A22" s="6">
        <f>"20200427"</f>
        <v/>
      </c>
      <c r="B22" s="6">
        <f>"14:47:32"</f>
        <v/>
      </c>
      <c r="C22" s="6">
        <f>"0184500716"</f>
        <v/>
      </c>
      <c r="D22" s="6">
        <f>"159920"</f>
        <v/>
      </c>
      <c r="E22" s="6">
        <f>"恒生ETF"</f>
        <v/>
      </c>
      <c r="F22" s="6">
        <f>"卖出"</f>
        <v/>
      </c>
      <c r="G22" s="6" t="n">
        <v>1.358</v>
      </c>
      <c r="H22" s="6" t="n">
        <v>6100</v>
      </c>
      <c r="I22" s="6" t="n">
        <v>8283.799999999999</v>
      </c>
      <c r="J22" s="6" t="n">
        <v>8282.969999999999</v>
      </c>
      <c r="K22" s="6" t="n">
        <v>0.83</v>
      </c>
      <c r="L22" s="6" t="n">
        <v>0</v>
      </c>
      <c r="M22" s="6" t="n">
        <v>0</v>
      </c>
      <c r="N22" s="6" t="n">
        <v>0</v>
      </c>
      <c r="O22" s="6">
        <f>"0104000024106259"</f>
        <v/>
      </c>
      <c r="P22" s="6">
        <f>"178130"</f>
        <v/>
      </c>
    </row>
    <row r="23">
      <c r="A23" s="6">
        <f>"20200427"</f>
        <v/>
      </c>
      <c r="B23" s="6">
        <f>"14:57:57"</f>
        <v/>
      </c>
      <c r="C23" s="6">
        <f>"A634757556"</f>
        <v/>
      </c>
      <c r="D23" s="6">
        <f>"513520"</f>
        <v/>
      </c>
      <c r="E23" s="6">
        <f>"日经ETF"</f>
        <v/>
      </c>
      <c r="F23" s="6">
        <f>"卖出"</f>
        <v/>
      </c>
      <c r="G23" s="6" t="n">
        <v>0.955</v>
      </c>
      <c r="H23" s="6" t="n">
        <v>6000</v>
      </c>
      <c r="I23" s="6" t="n">
        <v>5730</v>
      </c>
      <c r="J23" s="6" t="n">
        <v>14012.4</v>
      </c>
      <c r="K23" s="6" t="n">
        <v>0.57</v>
      </c>
      <c r="L23" s="6" t="n">
        <v>0</v>
      </c>
      <c r="M23" s="6" t="n">
        <v>0</v>
      </c>
      <c r="N23" s="6" t="n">
        <v>0</v>
      </c>
      <c r="O23" s="6">
        <f>"15839211"</f>
        <v/>
      </c>
      <c r="P23" s="6">
        <f>"180834"</f>
        <v/>
      </c>
    </row>
    <row r="24">
      <c r="A24" s="6">
        <f>"20200428"</f>
        <v/>
      </c>
      <c r="B24" s="6">
        <f>"09:30:52"</f>
        <v/>
      </c>
      <c r="C24" s="6">
        <f>"A634757556"</f>
        <v/>
      </c>
      <c r="D24" s="6">
        <f>"510500"</f>
        <v/>
      </c>
      <c r="E24" s="6">
        <f>"500ETF"</f>
        <v/>
      </c>
      <c r="F24" s="6">
        <f>"买入"</f>
        <v/>
      </c>
      <c r="G24" s="6" t="n">
        <v>5.697</v>
      </c>
      <c r="H24" s="6" t="n">
        <v>8800</v>
      </c>
      <c r="I24" s="6" t="n">
        <v>50133.6</v>
      </c>
      <c r="J24" s="6" t="n">
        <v>-50138.41</v>
      </c>
      <c r="K24" s="6" t="n">
        <v>5.01</v>
      </c>
      <c r="L24" s="6" t="n">
        <v>0</v>
      </c>
      <c r="M24" s="6" t="n">
        <v>0</v>
      </c>
      <c r="N24" s="6" t="n">
        <v>0</v>
      </c>
      <c r="O24" s="6">
        <f>"456296"</f>
        <v/>
      </c>
      <c r="P24" s="6">
        <f>"19518"</f>
        <v/>
      </c>
    </row>
    <row r="25">
      <c r="A25" s="6">
        <f>"20200428"</f>
        <v/>
      </c>
      <c r="B25" s="6">
        <f>"09:57:07"</f>
        <v/>
      </c>
      <c r="C25" s="6">
        <f>"A634757556"</f>
        <v/>
      </c>
      <c r="D25" s="6">
        <f>"512980"</f>
        <v/>
      </c>
      <c r="E25" s="6">
        <f>"传媒ETF"</f>
        <v/>
      </c>
      <c r="F25" s="6">
        <f>"买入"</f>
        <v/>
      </c>
      <c r="G25" s="6" t="n">
        <v>0.788</v>
      </c>
      <c r="H25" s="6" t="n">
        <v>3100</v>
      </c>
      <c r="I25" s="6" t="n">
        <v>2442.8</v>
      </c>
      <c r="J25" s="6" t="n">
        <v>-52581.45</v>
      </c>
      <c r="K25" s="6" t="n">
        <v>0.24</v>
      </c>
      <c r="L25" s="6" t="n">
        <v>0</v>
      </c>
      <c r="M25" s="6" t="n">
        <v>0</v>
      </c>
      <c r="N25" s="6" t="n">
        <v>0</v>
      </c>
      <c r="O25" s="6">
        <f>"5360453"</f>
        <v/>
      </c>
      <c r="P25" s="6">
        <f>"69933"</f>
        <v/>
      </c>
    </row>
    <row r="26">
      <c r="A26" s="6">
        <f>"20200428"</f>
        <v/>
      </c>
      <c r="B26" s="6">
        <f>"10:02:11"</f>
        <v/>
      </c>
      <c r="C26" s="6">
        <f>"A634757556"</f>
        <v/>
      </c>
      <c r="D26" s="6">
        <f>"510500"</f>
        <v/>
      </c>
      <c r="E26" s="6">
        <f>"500ETF"</f>
        <v/>
      </c>
      <c r="F26" s="6">
        <f>"买入"</f>
        <v/>
      </c>
      <c r="G26" s="6" t="n">
        <v>5.556</v>
      </c>
      <c r="H26" s="6" t="n">
        <v>4100</v>
      </c>
      <c r="I26" s="6" t="n">
        <v>22779.6</v>
      </c>
      <c r="J26" s="6" t="n">
        <v>-75363.33</v>
      </c>
      <c r="K26" s="6" t="n">
        <v>2.28</v>
      </c>
      <c r="L26" s="6" t="n">
        <v>0</v>
      </c>
      <c r="M26" s="6" t="n">
        <v>0</v>
      </c>
      <c r="N26" s="6" t="n">
        <v>0</v>
      </c>
      <c r="O26" s="6">
        <f>"6590954"</f>
        <v/>
      </c>
      <c r="P26" s="6">
        <f>"83953"</f>
        <v/>
      </c>
    </row>
    <row r="27">
      <c r="A27" s="6">
        <f>"20200429"</f>
        <v/>
      </c>
      <c r="B27" s="6">
        <f>"09:30:00"</f>
        <v/>
      </c>
      <c r="C27" s="6">
        <f>"A634757556"</f>
        <v/>
      </c>
      <c r="D27" s="6">
        <f>"501018"</f>
        <v/>
      </c>
      <c r="E27" s="6">
        <f>"南方原油"</f>
        <v/>
      </c>
      <c r="F27" s="6">
        <f>"托管转入"</f>
        <v/>
      </c>
      <c r="G27" s="8" t="n">
        <v>0.7161999999999999</v>
      </c>
      <c r="H27" s="6" t="n">
        <v>8925</v>
      </c>
      <c r="I27" s="9" t="n">
        <v>6392.09</v>
      </c>
      <c r="J27" s="6" t="n">
        <v>32499.5</v>
      </c>
      <c r="K27" s="6" t="n">
        <v>0</v>
      </c>
      <c r="L27" s="6" t="n">
        <v>0</v>
      </c>
      <c r="M27" s="6" t="n">
        <v>0</v>
      </c>
      <c r="N27" s="6" t="n">
        <v>0</v>
      </c>
      <c r="O27" s="6">
        <f>"份额变动"</f>
        <v/>
      </c>
      <c r="P27" s="6" t="n">
        <v>-1</v>
      </c>
    </row>
    <row r="28">
      <c r="A28" s="6">
        <f>"20200429"</f>
        <v/>
      </c>
      <c r="B28" s="6">
        <f>"09:30:00"</f>
        <v/>
      </c>
      <c r="C28" s="6">
        <f>"A634757556"</f>
        <v/>
      </c>
      <c r="D28" s="6">
        <f>"501018"</f>
        <v/>
      </c>
      <c r="E28" s="6">
        <f>"南方原油"</f>
        <v/>
      </c>
      <c r="F28" s="6">
        <f>"托管转入"</f>
        <v/>
      </c>
      <c r="G28" s="8" t="n">
        <v>0.7161999999999999</v>
      </c>
      <c r="H28" s="6" t="n">
        <v>2324.77</v>
      </c>
      <c r="I28" s="10" t="n">
        <v>1665</v>
      </c>
      <c r="J28" s="6" t="n">
        <v>32499.5</v>
      </c>
      <c r="K28" s="6" t="n">
        <v>0</v>
      </c>
      <c r="L28" s="6" t="n">
        <v>0</v>
      </c>
      <c r="M28" s="6" t="n">
        <v>0</v>
      </c>
      <c r="N28" s="6" t="n">
        <v>0</v>
      </c>
      <c r="O28" s="6">
        <f>"份额变动"</f>
        <v/>
      </c>
      <c r="P28" s="6" t="n">
        <v>-2</v>
      </c>
    </row>
    <row r="29">
      <c r="A29" s="6">
        <f>"20200430"</f>
        <v/>
      </c>
      <c r="B29" s="6">
        <f>"09:53:05"</f>
        <v/>
      </c>
      <c r="C29" s="6">
        <f>"A634757556"</f>
        <v/>
      </c>
      <c r="D29" s="6">
        <f>"515180"</f>
        <v/>
      </c>
      <c r="E29" s="6">
        <f>"100红利"</f>
        <v/>
      </c>
      <c r="F29" s="6">
        <f>"卖出"</f>
        <v/>
      </c>
      <c r="G29" s="6" t="n">
        <v>0.954</v>
      </c>
      <c r="H29" s="6" t="n">
        <v>2600</v>
      </c>
      <c r="I29" s="6" t="n">
        <v>2480.4</v>
      </c>
      <c r="J29" s="6" t="n">
        <v>6980.15</v>
      </c>
      <c r="K29" s="6" t="n">
        <v>0.25</v>
      </c>
      <c r="L29" s="6" t="n">
        <v>0</v>
      </c>
      <c r="M29" s="6" t="n">
        <v>0</v>
      </c>
      <c r="N29" s="6" t="n">
        <v>0</v>
      </c>
      <c r="O29" s="6">
        <f>"3735874"</f>
        <v/>
      </c>
      <c r="P29" s="6">
        <f>"51961"</f>
        <v/>
      </c>
    </row>
    <row r="30">
      <c r="A30" s="6">
        <f>"20200506"</f>
        <v/>
      </c>
      <c r="B30" s="6">
        <f>"11:16:20"</f>
        <v/>
      </c>
      <c r="C30" s="6">
        <f>"A634757556"</f>
        <v/>
      </c>
      <c r="D30" s="6">
        <f>"501018"</f>
        <v/>
      </c>
      <c r="E30" s="6">
        <f>"南方原油"</f>
        <v/>
      </c>
      <c r="F30" s="6">
        <f>"卖出"</f>
        <v/>
      </c>
      <c r="G30" s="6" t="n">
        <v>0.6909999999999999</v>
      </c>
      <c r="H30" s="6" t="n">
        <v>11249</v>
      </c>
      <c r="I30" s="6" t="n">
        <v>7773.06</v>
      </c>
      <c r="J30" s="6" t="n">
        <v>70772.32000000001</v>
      </c>
      <c r="K30" s="6" t="n">
        <v>0.78</v>
      </c>
      <c r="L30" s="6" t="n">
        <v>0</v>
      </c>
      <c r="M30" s="6" t="n">
        <v>0</v>
      </c>
      <c r="N30" s="6" t="n">
        <v>0</v>
      </c>
      <c r="O30" s="6">
        <f>"10323131"</f>
        <v/>
      </c>
      <c r="P30" s="6">
        <f>"140684"</f>
        <v/>
      </c>
    </row>
    <row r="31">
      <c r="A31" s="6">
        <f>"20200519"</f>
        <v/>
      </c>
      <c r="B31" s="6">
        <f>"09:31:36"</f>
        <v/>
      </c>
      <c r="C31" s="6">
        <f>"A634757556"</f>
        <v/>
      </c>
      <c r="D31" s="6">
        <f>"510500"</f>
        <v/>
      </c>
      <c r="E31" s="6">
        <f>"500ETF"</f>
        <v/>
      </c>
      <c r="F31" s="6">
        <f>"买入"</f>
        <v/>
      </c>
      <c r="G31" s="6" t="n">
        <v>5.977</v>
      </c>
      <c r="H31" s="6" t="n">
        <v>1800</v>
      </c>
      <c r="I31" s="6" t="n">
        <v>10758.6</v>
      </c>
      <c r="J31" s="6" t="n">
        <v>-10759.68</v>
      </c>
      <c r="K31" s="6" t="n">
        <v>1.08</v>
      </c>
      <c r="L31" s="6" t="n">
        <v>0</v>
      </c>
      <c r="M31" s="6" t="n">
        <v>0</v>
      </c>
      <c r="N31" s="6" t="n">
        <v>0</v>
      </c>
      <c r="O31" s="6">
        <f>"650664"</f>
        <v/>
      </c>
      <c r="P31" s="6">
        <f>"21491"</f>
        <v/>
      </c>
    </row>
    <row r="32">
      <c r="A32" s="6">
        <f>"20200522"</f>
        <v/>
      </c>
      <c r="B32" s="6">
        <f>"10:35:46"</f>
        <v/>
      </c>
      <c r="C32" s="6">
        <f>"A634757556"</f>
        <v/>
      </c>
      <c r="D32" s="6">
        <f>"510500"</f>
        <v/>
      </c>
      <c r="E32" s="6">
        <f>"500ETF"</f>
        <v/>
      </c>
      <c r="F32" s="6">
        <f>"买入"</f>
        <v/>
      </c>
      <c r="G32" s="6" t="n">
        <v>5.85</v>
      </c>
      <c r="H32" s="6" t="n">
        <v>1800</v>
      </c>
      <c r="I32" s="6" t="n">
        <v>10530</v>
      </c>
      <c r="J32" s="6" t="n">
        <v>257.95</v>
      </c>
      <c r="K32" s="6" t="n">
        <v>1.05</v>
      </c>
      <c r="L32" s="6" t="n">
        <v>0</v>
      </c>
      <c r="M32" s="6" t="n">
        <v>0</v>
      </c>
      <c r="N32" s="6" t="n">
        <v>0</v>
      </c>
      <c r="O32" s="6">
        <f>"6575351"</f>
        <v/>
      </c>
      <c r="P32" s="6">
        <f>"90024"</f>
        <v/>
      </c>
    </row>
    <row r="33">
      <c r="A33" s="6">
        <f>"20200522"</f>
        <v/>
      </c>
      <c r="B33" s="6">
        <f>"13:03:48"</f>
        <v/>
      </c>
      <c r="C33" s="6">
        <f>"0184500716"</f>
        <v/>
      </c>
      <c r="D33" s="6">
        <f>"159920"</f>
        <v/>
      </c>
      <c r="E33" s="6">
        <f>"恒生ETF"</f>
        <v/>
      </c>
      <c r="F33" s="6">
        <f>"买入"</f>
        <v/>
      </c>
      <c r="G33" s="6" t="n">
        <v>1.314</v>
      </c>
      <c r="H33" s="6" t="n">
        <v>1800</v>
      </c>
      <c r="I33" s="6" t="n">
        <v>2365.2</v>
      </c>
      <c r="J33" s="6" t="n">
        <v>-2107.49</v>
      </c>
      <c r="K33" s="6" t="n">
        <v>0.24</v>
      </c>
      <c r="L33" s="6" t="n">
        <v>0</v>
      </c>
      <c r="M33" s="6" t="n">
        <v>0</v>
      </c>
      <c r="N33" s="6" t="n">
        <v>0</v>
      </c>
      <c r="O33" s="6">
        <f>"0104000016030225"</f>
        <v/>
      </c>
      <c r="P33" s="6">
        <f>"129818"</f>
        <v/>
      </c>
    </row>
    <row r="34">
      <c r="A34" s="6">
        <f>"20200526"</f>
        <v/>
      </c>
      <c r="B34" s="6">
        <f>"09:31:18"</f>
        <v/>
      </c>
      <c r="C34" s="6">
        <f>"A634757556"</f>
        <v/>
      </c>
      <c r="D34" s="6">
        <f>"513520"</f>
        <v/>
      </c>
      <c r="E34" s="6">
        <f>"日经ETF"</f>
        <v/>
      </c>
      <c r="F34" s="6">
        <f>"卖出"</f>
        <v/>
      </c>
      <c r="G34" s="6" t="n">
        <v>1.02</v>
      </c>
      <c r="H34" s="6" t="n">
        <v>2400</v>
      </c>
      <c r="I34" s="6" t="n">
        <v>2448</v>
      </c>
      <c r="J34" s="6" t="n">
        <v>2447.76</v>
      </c>
      <c r="K34" s="6" t="n">
        <v>0.24</v>
      </c>
      <c r="L34" s="6" t="n">
        <v>0</v>
      </c>
      <c r="M34" s="6" t="n">
        <v>0</v>
      </c>
      <c r="N34" s="6" t="n">
        <v>0</v>
      </c>
      <c r="O34" s="6">
        <f>"471565"</f>
        <v/>
      </c>
      <c r="P34" s="6">
        <f>"15455"</f>
        <v/>
      </c>
    </row>
    <row r="35">
      <c r="A35" s="6">
        <f>"20200527"</f>
        <v/>
      </c>
      <c r="B35" s="6">
        <f>"10:18:41"</f>
        <v/>
      </c>
      <c r="C35" s="6">
        <f>"A634757556"</f>
        <v/>
      </c>
      <c r="D35" s="6">
        <f>"510500"</f>
        <v/>
      </c>
      <c r="E35" s="6">
        <f>"500ETF"</f>
        <v/>
      </c>
      <c r="F35" s="6">
        <f>"买入"</f>
        <v/>
      </c>
      <c r="G35" s="6" t="n">
        <v>5.839</v>
      </c>
      <c r="H35" s="6" t="n">
        <v>900</v>
      </c>
      <c r="I35" s="6" t="n">
        <v>5255.1</v>
      </c>
      <c r="J35" s="6" t="n">
        <v>8744.469999999999</v>
      </c>
      <c r="K35" s="6" t="n">
        <v>0.53</v>
      </c>
      <c r="L35" s="6" t="n">
        <v>0</v>
      </c>
      <c r="M35" s="6" t="n">
        <v>0</v>
      </c>
      <c r="N35" s="6" t="n">
        <v>0</v>
      </c>
      <c r="O35" s="6">
        <f>"5454024"</f>
        <v/>
      </c>
      <c r="P35" s="6">
        <f>"108154"</f>
        <v/>
      </c>
    </row>
    <row r="36">
      <c r="A36" s="6">
        <f>"20200527"</f>
        <v/>
      </c>
      <c r="B36" s="6">
        <f>"14:28:35"</f>
        <v/>
      </c>
      <c r="C36" s="6">
        <f>"A634757556"</f>
        <v/>
      </c>
      <c r="D36" s="6">
        <f>"510500"</f>
        <v/>
      </c>
      <c r="E36" s="6">
        <f>"500ETF"</f>
        <v/>
      </c>
      <c r="F36" s="6">
        <f>"买入"</f>
        <v/>
      </c>
      <c r="G36" s="6" t="n">
        <v>5.81</v>
      </c>
      <c r="H36" s="6" t="n">
        <v>900</v>
      </c>
      <c r="I36" s="6" t="n">
        <v>5229</v>
      </c>
      <c r="J36" s="6" t="n">
        <v>3514.95</v>
      </c>
      <c r="K36" s="6" t="n">
        <v>0.52</v>
      </c>
      <c r="L36" s="6" t="n">
        <v>0</v>
      </c>
      <c r="M36" s="6" t="n">
        <v>0</v>
      </c>
      <c r="N36" s="6" t="n">
        <v>0</v>
      </c>
      <c r="O36" s="6">
        <f>"13491803"</f>
        <v/>
      </c>
      <c r="P36" s="6">
        <f>"122969"</f>
        <v/>
      </c>
    </row>
    <row r="37">
      <c r="A37" s="6">
        <f>"20200604"</f>
        <v/>
      </c>
      <c r="B37" s="6">
        <f>"09:30:15"</f>
        <v/>
      </c>
      <c r="C37" s="6">
        <f>"0184500716"</f>
        <v/>
      </c>
      <c r="D37" s="6">
        <f>"159920"</f>
        <v/>
      </c>
      <c r="E37" s="6">
        <f>"恒生ETF"</f>
        <v/>
      </c>
      <c r="F37" s="6">
        <f>"卖出"</f>
        <v/>
      </c>
      <c r="G37" s="6" t="n">
        <v>1.387</v>
      </c>
      <c r="H37" s="6" t="n">
        <v>1800</v>
      </c>
      <c r="I37" s="6" t="n">
        <v>2496.6</v>
      </c>
      <c r="J37" s="6" t="n">
        <v>2496.35</v>
      </c>
      <c r="K37" s="6" t="n">
        <v>0.25</v>
      </c>
      <c r="L37" s="6" t="n">
        <v>0</v>
      </c>
      <c r="M37" s="6" t="n">
        <v>0</v>
      </c>
      <c r="N37" s="6" t="n">
        <v>0</v>
      </c>
      <c r="O37" s="6">
        <f>"0103000000823336"</f>
        <v/>
      </c>
      <c r="P37" s="6">
        <f>"21089"</f>
        <v/>
      </c>
    </row>
    <row r="38">
      <c r="A38" s="6">
        <f>"20200724"</f>
        <v/>
      </c>
      <c r="B38" s="6">
        <f>"13:49:40"</f>
        <v/>
      </c>
      <c r="C38" s="6">
        <f>"0184500716"</f>
        <v/>
      </c>
      <c r="D38" s="6">
        <f>"159920"</f>
        <v/>
      </c>
      <c r="E38" s="6">
        <f>"恒生ETF"</f>
        <v/>
      </c>
      <c r="F38" s="6">
        <f>"买入"</f>
        <v/>
      </c>
      <c r="G38" s="6" t="n">
        <v>1.384</v>
      </c>
      <c r="H38" s="6" t="n">
        <v>1800</v>
      </c>
      <c r="I38" s="6" t="n">
        <v>2491.2</v>
      </c>
      <c r="J38" s="6" t="n">
        <v>-2491.45</v>
      </c>
      <c r="K38" s="6" t="n">
        <v>0.25</v>
      </c>
      <c r="L38" s="6" t="n">
        <v>0</v>
      </c>
      <c r="M38" s="6" t="n">
        <v>0</v>
      </c>
      <c r="N38" s="6" t="n">
        <v>0</v>
      </c>
      <c r="O38" s="6">
        <f>"0103000032353952"</f>
        <v/>
      </c>
      <c r="P38" s="6">
        <f>"297249"</f>
        <v/>
      </c>
    </row>
    <row r="39">
      <c r="A39" s="6" t="n"/>
      <c r="B39" s="6" t="n"/>
      <c r="C39" s="6" t="n"/>
      <c r="D39" s="6" t="n"/>
      <c r="E39" s="6" t="n"/>
      <c r="F39" s="6" t="n"/>
      <c r="G39" s="6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</row>
    <row r="40">
      <c r="A40" s="6" t="n"/>
      <c r="B40" s="6" t="n"/>
      <c r="C40" s="6" t="n"/>
      <c r="D40" s="6" t="n"/>
      <c r="E40" s="6" t="n"/>
      <c r="F40" s="6" t="n"/>
      <c r="G40" s="6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</row>
    <row r="41">
      <c r="A41" s="6" t="n"/>
      <c r="B41" s="6" t="n"/>
      <c r="C41" s="6" t="n"/>
      <c r="D41" s="6" t="n"/>
      <c r="E41" s="6" t="n"/>
      <c r="F41" s="6" t="n"/>
      <c r="G41" s="6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</row>
    <row r="42">
      <c r="A42" s="6" t="n"/>
      <c r="B42" s="6" t="n"/>
      <c r="C42" s="6" t="n"/>
      <c r="D42" s="6" t="n"/>
      <c r="E42" s="6" t="n"/>
      <c r="F42" s="6" t="n"/>
      <c r="G42" s="6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</row>
    <row r="43">
      <c r="A43" s="6" t="n"/>
      <c r="B43" s="6" t="n"/>
      <c r="C43" s="6" t="n"/>
      <c r="D43" s="6" t="n"/>
      <c r="E43" s="6" t="n"/>
      <c r="F43" s="6" t="n"/>
      <c r="G43" s="6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</row>
  </sheetData>
  <autoFilter ref="B:P"/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2020-09-03T06:41:06Z</dcterms:modified>
  <cp:lastModifiedBy>康力泉</cp:lastModifiedBy>
</cp:coreProperties>
</file>