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dministrator\Desktop\current_work\deal-record\data\华泰\"/>
    </mc:Choice>
  </mc:AlternateContent>
  <xr:revisionPtr revIDLastSave="0" documentId="13_ncr:1_{3144B88A-4623-4561-9C93-8BD7F0D5EDA1}" xr6:coauthVersionLast="45" xr6:coauthVersionMax="45" xr10:uidLastSave="{00000000-0000-0000-0000-000000000000}"/>
  <bookViews>
    <workbookView xWindow="2895" yWindow="412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" i="1" l="1"/>
  <c r="J25" i="1"/>
  <c r="I25" i="1"/>
  <c r="H25" i="1"/>
  <c r="G25" i="1"/>
  <c r="F25" i="1"/>
  <c r="D25" i="1"/>
  <c r="C25" i="1"/>
  <c r="B25" i="1"/>
  <c r="A25" i="1"/>
  <c r="M24" i="1"/>
  <c r="J24" i="1"/>
  <c r="I24" i="1"/>
  <c r="H24" i="1"/>
  <c r="G24" i="1"/>
  <c r="F24" i="1"/>
  <c r="D24" i="1"/>
  <c r="C24" i="1"/>
  <c r="B24" i="1"/>
  <c r="A24" i="1"/>
  <c r="M23" i="1"/>
  <c r="J23" i="1"/>
  <c r="I23" i="1"/>
  <c r="H23" i="1"/>
  <c r="G23" i="1"/>
  <c r="F23" i="1"/>
  <c r="D23" i="1"/>
  <c r="C23" i="1"/>
  <c r="B23" i="1"/>
  <c r="A23" i="1"/>
  <c r="M22" i="1"/>
  <c r="J22" i="1"/>
  <c r="I22" i="1"/>
  <c r="H22" i="1"/>
  <c r="G22" i="1"/>
  <c r="F22" i="1"/>
  <c r="D22" i="1"/>
  <c r="C22" i="1"/>
  <c r="B22" i="1"/>
  <c r="A22" i="1"/>
  <c r="M21" i="1"/>
  <c r="J21" i="1"/>
  <c r="I21" i="1"/>
  <c r="H21" i="1"/>
  <c r="G21" i="1"/>
  <c r="F21" i="1"/>
  <c r="D21" i="1"/>
  <c r="C21" i="1"/>
  <c r="B21" i="1"/>
  <c r="A21" i="1"/>
  <c r="M20" i="1"/>
  <c r="J20" i="1"/>
  <c r="I20" i="1"/>
  <c r="H20" i="1"/>
  <c r="G20" i="1"/>
  <c r="F20" i="1"/>
  <c r="D20" i="1"/>
  <c r="C20" i="1"/>
  <c r="B20" i="1"/>
  <c r="A20" i="1"/>
  <c r="M19" i="1"/>
  <c r="J19" i="1"/>
  <c r="I19" i="1"/>
  <c r="H19" i="1"/>
  <c r="G19" i="1"/>
  <c r="F19" i="1"/>
  <c r="D19" i="1"/>
  <c r="C19" i="1"/>
  <c r="B19" i="1"/>
  <c r="A19" i="1"/>
  <c r="M18" i="1"/>
  <c r="J18" i="1"/>
  <c r="I18" i="1"/>
  <c r="H18" i="1"/>
  <c r="G18" i="1"/>
  <c r="F18" i="1"/>
  <c r="D18" i="1"/>
  <c r="C18" i="1"/>
  <c r="B18" i="1"/>
  <c r="A18" i="1"/>
  <c r="M17" i="1"/>
  <c r="J17" i="1"/>
  <c r="I17" i="1"/>
  <c r="H17" i="1"/>
  <c r="G17" i="1"/>
  <c r="F17" i="1"/>
  <c r="D17" i="1"/>
  <c r="C17" i="1"/>
  <c r="B17" i="1"/>
  <c r="A17" i="1"/>
  <c r="M16" i="1"/>
  <c r="J16" i="1"/>
  <c r="I16" i="1"/>
  <c r="H16" i="1"/>
  <c r="G16" i="1"/>
  <c r="F16" i="1"/>
  <c r="D16" i="1"/>
  <c r="C16" i="1"/>
  <c r="B16" i="1"/>
  <c r="A16" i="1"/>
  <c r="M15" i="1"/>
  <c r="J15" i="1"/>
  <c r="I15" i="1"/>
  <c r="H15" i="1"/>
  <c r="G15" i="1"/>
  <c r="F15" i="1"/>
  <c r="D15" i="1"/>
  <c r="C15" i="1"/>
  <c r="B15" i="1"/>
  <c r="A15" i="1"/>
  <c r="M14" i="1"/>
  <c r="J14" i="1"/>
  <c r="I14" i="1"/>
  <c r="H14" i="1"/>
  <c r="G14" i="1"/>
  <c r="F14" i="1"/>
  <c r="D14" i="1"/>
  <c r="C14" i="1"/>
  <c r="B14" i="1"/>
  <c r="A14" i="1"/>
  <c r="M13" i="1"/>
  <c r="J13" i="1"/>
  <c r="I13" i="1"/>
  <c r="H13" i="1"/>
  <c r="G13" i="1"/>
  <c r="F13" i="1"/>
  <c r="D13" i="1"/>
  <c r="C13" i="1"/>
  <c r="B13" i="1"/>
  <c r="A13" i="1"/>
  <c r="M12" i="1"/>
  <c r="J12" i="1"/>
  <c r="I12" i="1"/>
  <c r="H12" i="1"/>
  <c r="G12" i="1"/>
  <c r="F12" i="1"/>
  <c r="D12" i="1"/>
  <c r="C12" i="1"/>
  <c r="B12" i="1"/>
  <c r="A12" i="1"/>
  <c r="M11" i="1"/>
  <c r="J11" i="1"/>
  <c r="I11" i="1"/>
  <c r="H11" i="1"/>
  <c r="G11" i="1"/>
  <c r="F11" i="1"/>
  <c r="D11" i="1"/>
  <c r="C11" i="1"/>
  <c r="B11" i="1"/>
  <c r="A11" i="1"/>
  <c r="M10" i="1"/>
  <c r="J10" i="1"/>
  <c r="I10" i="1"/>
  <c r="H10" i="1"/>
  <c r="G10" i="1"/>
  <c r="F10" i="1"/>
  <c r="D10" i="1"/>
  <c r="C10" i="1"/>
  <c r="B10" i="1"/>
  <c r="A10" i="1"/>
  <c r="M9" i="1"/>
  <c r="J9" i="1"/>
  <c r="I9" i="1"/>
  <c r="H9" i="1"/>
  <c r="G9" i="1"/>
  <c r="F9" i="1"/>
  <c r="D9" i="1"/>
  <c r="C9" i="1"/>
  <c r="B9" i="1"/>
  <c r="A9" i="1"/>
  <c r="M8" i="1"/>
  <c r="J8" i="1"/>
  <c r="I8" i="1"/>
  <c r="H8" i="1"/>
  <c r="G8" i="1"/>
  <c r="F8" i="1"/>
  <c r="D8" i="1"/>
  <c r="C8" i="1"/>
  <c r="B8" i="1"/>
  <c r="A8" i="1"/>
  <c r="M7" i="1"/>
  <c r="J7" i="1"/>
  <c r="I7" i="1"/>
  <c r="H7" i="1"/>
  <c r="G7" i="1"/>
  <c r="F7" i="1"/>
  <c r="D7" i="1"/>
  <c r="C7" i="1"/>
  <c r="B7" i="1"/>
  <c r="A7" i="1"/>
  <c r="M6" i="1"/>
  <c r="J6" i="1"/>
  <c r="I6" i="1"/>
  <c r="H6" i="1"/>
  <c r="G6" i="1"/>
  <c r="F6" i="1"/>
  <c r="D6" i="1"/>
  <c r="C6" i="1"/>
  <c r="B6" i="1"/>
  <c r="A6" i="1"/>
  <c r="M5" i="1"/>
  <c r="J5" i="1"/>
  <c r="I5" i="1"/>
  <c r="H5" i="1"/>
  <c r="G5" i="1"/>
  <c r="F5" i="1"/>
  <c r="D5" i="1"/>
  <c r="C5" i="1"/>
  <c r="B5" i="1"/>
  <c r="A5" i="1"/>
  <c r="M4" i="1"/>
  <c r="J4" i="1"/>
  <c r="I4" i="1"/>
  <c r="H4" i="1"/>
  <c r="G4" i="1"/>
  <c r="F4" i="1"/>
  <c r="D4" i="1"/>
  <c r="C4" i="1"/>
  <c r="B4" i="1"/>
  <c r="A4" i="1"/>
  <c r="M3" i="1"/>
  <c r="J3" i="1"/>
  <c r="I3" i="1"/>
  <c r="H3" i="1"/>
  <c r="G3" i="1"/>
  <c r="F3" i="1"/>
  <c r="D3" i="1"/>
  <c r="C3" i="1"/>
  <c r="B3" i="1"/>
  <c r="A3" i="1"/>
  <c r="M2" i="1"/>
  <c r="J2" i="1"/>
  <c r="I2" i="1"/>
  <c r="H2" i="1"/>
  <c r="G2" i="1"/>
  <c r="F2" i="1"/>
  <c r="D2" i="1"/>
  <c r="C2" i="1"/>
  <c r="B2" i="1"/>
  <c r="A2" i="1"/>
</calcChain>
</file>

<file path=xl/sharedStrings.xml><?xml version="1.0" encoding="utf-8"?>
<sst xmlns="http://schemas.openxmlformats.org/spreadsheetml/2006/main" count="17" uniqueCount="17">
  <si>
    <t>流水号</t>
  </si>
  <si>
    <t>发生日期</t>
  </si>
  <si>
    <t>业务名称</t>
  </si>
  <si>
    <t>发生金额</t>
  </si>
  <si>
    <t>剩余金额</t>
  </si>
  <si>
    <t>币种</t>
  </si>
  <si>
    <t>股东代码</t>
  </si>
  <si>
    <t>证券代码</t>
  </si>
  <si>
    <t>证券名称</t>
  </si>
  <si>
    <t>买卖标志</t>
  </si>
  <si>
    <t>成交价格</t>
  </si>
  <si>
    <t>成交数量</t>
  </si>
  <si>
    <t>备注</t>
  </si>
  <si>
    <t>佣金</t>
  </si>
  <si>
    <t>印花税</t>
  </si>
  <si>
    <t>过户费</t>
  </si>
  <si>
    <t>其他费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</si>
</sst>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topLeftCell="A7" workbookViewId="0">
      <selection activeCell="A15" sqref="A15:Q25"/>
    </sheetView>
  </sheetViews>
  <sheetFormatPr defaultRowHeight="14.2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tr">
        <f>"6555"</f>
        <v>6555</v>
      </c>
      <c r="B2" s="1" t="str">
        <f>"20191204"</f>
        <v>20191204</v>
      </c>
      <c r="C2" s="1" t="str">
        <f>"股息入帐"</f>
        <v>股息入帐</v>
      </c>
      <c r="D2" s="1" t="str">
        <f>"126.90"</f>
        <v>126.90</v>
      </c>
      <c r="E2" s="1">
        <v>126.9</v>
      </c>
      <c r="F2" s="1" t="str">
        <f t="shared" ref="F2:F9" si="0">"人民币"</f>
        <v>人民币</v>
      </c>
      <c r="G2" s="1" t="str">
        <f>"A280737240"</f>
        <v>A280737240</v>
      </c>
      <c r="H2" s="1" t="str">
        <f>"510050"</f>
        <v>510050</v>
      </c>
      <c r="I2" s="1" t="str">
        <f>"50ETF"</f>
        <v>50ETF</v>
      </c>
      <c r="J2" s="1" t="str">
        <f t="shared" ref="J2:J9" si="1">"卖出"</f>
        <v>卖出</v>
      </c>
      <c r="K2" s="1">
        <v>2.9009999999999998</v>
      </c>
      <c r="L2" s="1">
        <v>0</v>
      </c>
      <c r="M2" s="1" t="str">
        <f>"股息入账:50ETF510050; 权益股数:2700;股东账号：A280737240;"</f>
        <v>股息入账:50ETF510050; 权益股数:2700;股东账号：A280737240;</v>
      </c>
      <c r="N2" s="1">
        <v>0</v>
      </c>
      <c r="O2" s="1">
        <v>0</v>
      </c>
      <c r="P2" s="1">
        <v>0</v>
      </c>
      <c r="Q2" s="1">
        <v>0</v>
      </c>
    </row>
    <row r="3" spans="1:17" x14ac:dyDescent="0.2">
      <c r="A3" s="1" t="str">
        <f>"7729"</f>
        <v>7729</v>
      </c>
      <c r="B3" s="1" t="str">
        <f>"20191205"</f>
        <v>20191205</v>
      </c>
      <c r="C3" s="1" t="str">
        <f>"基金资金拨出"</f>
        <v>基金资金拨出</v>
      </c>
      <c r="D3" s="1" t="str">
        <f>"-126.90"</f>
        <v>-126.90</v>
      </c>
      <c r="E3" s="1">
        <v>0</v>
      </c>
      <c r="F3" s="1" t="str">
        <f t="shared" si="0"/>
        <v>人民币</v>
      </c>
      <c r="G3" s="1" t="str">
        <f>" "</f>
        <v xml:space="preserve"> </v>
      </c>
      <c r="H3" s="1" t="str">
        <f>" "</f>
        <v xml:space="preserve"> </v>
      </c>
      <c r="I3" s="1" t="str">
        <f>" "</f>
        <v xml:space="preserve"> </v>
      </c>
      <c r="J3" s="1" t="str">
        <f t="shared" si="1"/>
        <v>卖出</v>
      </c>
      <c r="K3" s="1">
        <v>0</v>
      </c>
      <c r="L3" s="1">
        <v>0</v>
      </c>
      <c r="M3" s="1" t="str">
        <f>"122扣除金额 基金代码：940018,发生份额：126.9"</f>
        <v>122扣除金额 基金代码：940018,发生份额：126.9</v>
      </c>
      <c r="N3" s="1">
        <v>0</v>
      </c>
      <c r="O3" s="1">
        <v>0</v>
      </c>
      <c r="P3" s="1">
        <v>0</v>
      </c>
      <c r="Q3" s="1">
        <v>0</v>
      </c>
    </row>
    <row r="4" spans="1:17" x14ac:dyDescent="0.2">
      <c r="A4" s="1" t="str">
        <f>"6197"</f>
        <v>6197</v>
      </c>
      <c r="B4" s="1" t="str">
        <f>"20191213"</f>
        <v>20191213</v>
      </c>
      <c r="C4" s="1" t="str">
        <f>"股息入帐"</f>
        <v>股息入帐</v>
      </c>
      <c r="D4" s="1" t="str">
        <f>"564.20"</f>
        <v>564.20</v>
      </c>
      <c r="E4" s="1">
        <v>564.20000000000005</v>
      </c>
      <c r="F4" s="1" t="str">
        <f t="shared" si="0"/>
        <v>人民币</v>
      </c>
      <c r="G4" s="1" t="str">
        <f>"A280737240"</f>
        <v>A280737240</v>
      </c>
      <c r="H4" s="1" t="str">
        <f>"510300"</f>
        <v>510300</v>
      </c>
      <c r="I4" s="1" t="str">
        <f>"300ETF"</f>
        <v>300ETF</v>
      </c>
      <c r="J4" s="1" t="str">
        <f t="shared" si="1"/>
        <v>卖出</v>
      </c>
      <c r="K4" s="1">
        <v>3.968</v>
      </c>
      <c r="L4" s="1">
        <v>0</v>
      </c>
      <c r="M4" s="1" t="str">
        <f>"股息入账:300ETF510300; 权益股数:9100;股东账号：A280737240;"</f>
        <v>股息入账:300ETF510300; 权益股数:9100;股东账号：A280737240;</v>
      </c>
      <c r="N4" s="1">
        <v>0</v>
      </c>
      <c r="O4" s="1">
        <v>0</v>
      </c>
      <c r="P4" s="1">
        <v>0</v>
      </c>
      <c r="Q4" s="1">
        <v>0</v>
      </c>
    </row>
    <row r="5" spans="1:17" x14ac:dyDescent="0.2">
      <c r="A5" s="1" t="str">
        <f>"2271"</f>
        <v>2271</v>
      </c>
      <c r="B5" s="1" t="str">
        <f>"20191216"</f>
        <v>20191216</v>
      </c>
      <c r="C5" s="1" t="str">
        <f>"基金资金拨出"</f>
        <v>基金资金拨出</v>
      </c>
      <c r="D5" s="1" t="str">
        <f>"-564.20"</f>
        <v>-564.20</v>
      </c>
      <c r="E5" s="1">
        <v>0</v>
      </c>
      <c r="F5" s="1" t="str">
        <f t="shared" si="0"/>
        <v>人民币</v>
      </c>
      <c r="G5" s="1" t="str">
        <f t="shared" ref="G5:I9" si="2">" "</f>
        <v xml:space="preserve"> </v>
      </c>
      <c r="H5" s="1" t="str">
        <f t="shared" si="2"/>
        <v xml:space="preserve"> </v>
      </c>
      <c r="I5" s="1" t="str">
        <f t="shared" si="2"/>
        <v xml:space="preserve"> </v>
      </c>
      <c r="J5" s="1" t="str">
        <f t="shared" si="1"/>
        <v>卖出</v>
      </c>
      <c r="K5" s="1">
        <v>0</v>
      </c>
      <c r="L5" s="1">
        <v>0</v>
      </c>
      <c r="M5" s="1" t="str">
        <f>"122扣除金额 基金代码：940018,发生份额：564.2"</f>
        <v>122扣除金额 基金代码：940018,发生份额：564.2</v>
      </c>
      <c r="N5" s="1">
        <v>0</v>
      </c>
      <c r="O5" s="1">
        <v>0</v>
      </c>
      <c r="P5" s="1">
        <v>0</v>
      </c>
      <c r="Q5" s="1">
        <v>0</v>
      </c>
    </row>
    <row r="6" spans="1:17" x14ac:dyDescent="0.2">
      <c r="A6" s="1" t="str">
        <f>"3037"</f>
        <v>3037</v>
      </c>
      <c r="B6" s="1" t="str">
        <f>"20191218"</f>
        <v>20191218</v>
      </c>
      <c r="C6" s="1" t="str">
        <f>"基金资金拨入"</f>
        <v>基金资金拨入</v>
      </c>
      <c r="D6" s="1" t="str">
        <f>"722.35"</f>
        <v>722.35</v>
      </c>
      <c r="E6" s="1">
        <v>722.35</v>
      </c>
      <c r="F6" s="1" t="str">
        <f t="shared" si="0"/>
        <v>人民币</v>
      </c>
      <c r="G6" s="1" t="str">
        <f t="shared" si="2"/>
        <v xml:space="preserve"> </v>
      </c>
      <c r="H6" s="1" t="str">
        <f t="shared" si="2"/>
        <v xml:space="preserve"> </v>
      </c>
      <c r="I6" s="1" t="str">
        <f t="shared" si="2"/>
        <v xml:space="preserve"> </v>
      </c>
      <c r="J6" s="1" t="str">
        <f t="shared" si="1"/>
        <v>卖出</v>
      </c>
      <c r="K6" s="1">
        <v>0</v>
      </c>
      <c r="L6" s="1">
        <v>0</v>
      </c>
      <c r="M6" s="1" t="str">
        <f>"124增加金额 基金代码：940018,发生份额：722.35"</f>
        <v>124增加金额 基金代码：940018,发生份额：722.35</v>
      </c>
      <c r="N6" s="1">
        <v>0</v>
      </c>
      <c r="O6" s="1">
        <v>0</v>
      </c>
      <c r="P6" s="1">
        <v>0</v>
      </c>
      <c r="Q6" s="1">
        <v>0</v>
      </c>
    </row>
    <row r="7" spans="1:17" x14ac:dyDescent="0.2">
      <c r="A7" s="1" t="str">
        <f>"293"</f>
        <v>293</v>
      </c>
      <c r="B7" s="1" t="str">
        <f>"20191219"</f>
        <v>20191219</v>
      </c>
      <c r="C7" s="1" t="str">
        <f>"银行转取"</f>
        <v>银行转取</v>
      </c>
      <c r="D7" s="1" t="str">
        <f>"-722.35"</f>
        <v>-722.35</v>
      </c>
      <c r="E7" s="1">
        <v>0</v>
      </c>
      <c r="F7" s="1" t="str">
        <f t="shared" si="0"/>
        <v>人民币</v>
      </c>
      <c r="G7" s="1" t="str">
        <f t="shared" si="2"/>
        <v xml:space="preserve"> </v>
      </c>
      <c r="H7" s="1" t="str">
        <f t="shared" si="2"/>
        <v xml:space="preserve"> </v>
      </c>
      <c r="I7" s="1" t="str">
        <f t="shared" si="2"/>
        <v xml:space="preserve"> </v>
      </c>
      <c r="J7" s="1" t="str">
        <f t="shared" si="1"/>
        <v>卖出</v>
      </c>
      <c r="K7" s="1">
        <v>0</v>
      </c>
      <c r="L7" s="1">
        <v>0</v>
      </c>
      <c r="M7" s="1" t="str">
        <f>"银行返回码[ ]返回信息[0000 交易成功]|转账成功 转账账号:6225881012906292 correct_balance=722.35"</f>
        <v>银行返回码[ ]返回信息[0000 交易成功]|转账成功 转账账号:6225881012906292 correct_balance=722.35</v>
      </c>
      <c r="N7" s="1">
        <v>0</v>
      </c>
      <c r="O7" s="1">
        <v>0</v>
      </c>
      <c r="P7" s="1">
        <v>0</v>
      </c>
      <c r="Q7" s="1">
        <v>0</v>
      </c>
    </row>
    <row r="8" spans="1:17" x14ac:dyDescent="0.2">
      <c r="A8" s="1" t="str">
        <f>"5816"</f>
        <v>5816</v>
      </c>
      <c r="B8" s="1" t="str">
        <f>"20191223"</f>
        <v>20191223</v>
      </c>
      <c r="C8" s="1" t="str">
        <f>"利息归本"</f>
        <v>利息归本</v>
      </c>
      <c r="D8" s="1" t="str">
        <f>"0.13"</f>
        <v>0.13</v>
      </c>
      <c r="E8" s="1">
        <v>0.13</v>
      </c>
      <c r="F8" s="1" t="str">
        <f t="shared" si="0"/>
        <v>人民币</v>
      </c>
      <c r="G8" s="1" t="str">
        <f t="shared" si="2"/>
        <v xml:space="preserve"> </v>
      </c>
      <c r="H8" s="1" t="str">
        <f t="shared" si="2"/>
        <v xml:space="preserve"> </v>
      </c>
      <c r="I8" s="1" t="str">
        <f t="shared" si="2"/>
        <v xml:space="preserve"> </v>
      </c>
      <c r="J8" s="1" t="str">
        <f t="shared" si="1"/>
        <v>卖出</v>
      </c>
      <c r="K8" s="1">
        <v>0</v>
      </c>
      <c r="L8" s="1">
        <v>0</v>
      </c>
      <c r="M8" s="1" t="str">
        <f>" 利息归本: 归本利息为 0.13correct_balance=0"</f>
        <v xml:space="preserve"> 利息归本: 归本利息为 0.13correct_balance=0</v>
      </c>
      <c r="N8" s="1">
        <v>0</v>
      </c>
      <c r="O8" s="1">
        <v>0</v>
      </c>
      <c r="P8" s="1">
        <v>0</v>
      </c>
      <c r="Q8" s="1">
        <v>0</v>
      </c>
    </row>
    <row r="9" spans="1:17" x14ac:dyDescent="0.2">
      <c r="A9" s="1" t="str">
        <f>"10914"</f>
        <v>10914</v>
      </c>
      <c r="B9" s="1" t="str">
        <f>"20191224"</f>
        <v>20191224</v>
      </c>
      <c r="C9" s="1" t="str">
        <f>"基金资金拨出"</f>
        <v>基金资金拨出</v>
      </c>
      <c r="D9" s="1" t="str">
        <f>"-0.13"</f>
        <v>-0.13</v>
      </c>
      <c r="E9" s="1">
        <v>0</v>
      </c>
      <c r="F9" s="1" t="str">
        <f t="shared" si="0"/>
        <v>人民币</v>
      </c>
      <c r="G9" s="1" t="str">
        <f t="shared" si="2"/>
        <v xml:space="preserve"> </v>
      </c>
      <c r="H9" s="1" t="str">
        <f t="shared" si="2"/>
        <v xml:space="preserve"> </v>
      </c>
      <c r="I9" s="1" t="str">
        <f t="shared" si="2"/>
        <v xml:space="preserve"> </v>
      </c>
      <c r="J9" s="1" t="str">
        <f t="shared" si="1"/>
        <v>卖出</v>
      </c>
      <c r="K9" s="1">
        <v>0</v>
      </c>
      <c r="L9" s="1">
        <v>0</v>
      </c>
      <c r="M9" s="1" t="str">
        <f>"122扣除金额 基金代码：940018,发生份额：.13"</f>
        <v>122扣除金额 基金代码：940018,发生份额：.13</v>
      </c>
      <c r="N9" s="1">
        <v>0</v>
      </c>
      <c r="O9" s="1">
        <v>0</v>
      </c>
      <c r="P9" s="1">
        <v>0</v>
      </c>
      <c r="Q9" s="1">
        <v>0</v>
      </c>
    </row>
    <row r="10" spans="1:17" x14ac:dyDescent="0.2">
      <c r="A10" s="1" t="str">
        <f>"5481"</f>
        <v>5481</v>
      </c>
      <c r="B10" s="1" t="str">
        <f>"20200226"</f>
        <v>20200226</v>
      </c>
      <c r="C10" s="1" t="str">
        <f>"证券卖出"</f>
        <v>证券卖出</v>
      </c>
      <c r="D10" s="1" t="str">
        <f>"7460.11"</f>
        <v>7460.11</v>
      </c>
      <c r="E10" s="1">
        <v>7460.11</v>
      </c>
      <c r="F10" s="1" t="str">
        <f>"人民币"</f>
        <v>人民币</v>
      </c>
      <c r="G10" s="1" t="str">
        <f>"A280737240"</f>
        <v>A280737240</v>
      </c>
      <c r="H10" s="1" t="str">
        <f>"510500"</f>
        <v>510500</v>
      </c>
      <c r="I10" s="1" t="str">
        <f>"500ETF"</f>
        <v>500ETF</v>
      </c>
      <c r="J10" s="1" t="str">
        <f>"卖出"</f>
        <v>卖出</v>
      </c>
      <c r="K10" s="1">
        <v>6.218</v>
      </c>
      <c r="L10" s="1">
        <v>-1200</v>
      </c>
      <c r="M10" s="1" t="str">
        <f>"证券卖出"</f>
        <v>证券卖出</v>
      </c>
      <c r="N10" s="1">
        <v>1.49</v>
      </c>
      <c r="O10" s="1">
        <v>0</v>
      </c>
      <c r="P10" s="1">
        <v>0</v>
      </c>
      <c r="Q10" s="1">
        <v>0</v>
      </c>
    </row>
    <row r="11" spans="1:17" x14ac:dyDescent="0.2">
      <c r="A11" s="1" t="str">
        <f>"11146"</f>
        <v>11146</v>
      </c>
      <c r="B11" s="1" t="str">
        <f>"20200226"</f>
        <v>20200226</v>
      </c>
      <c r="C11" s="1" t="str">
        <f>"证券卖出"</f>
        <v>证券卖出</v>
      </c>
      <c r="D11" s="1" t="str">
        <f>"9202.96"</f>
        <v>9202.96</v>
      </c>
      <c r="E11" s="1">
        <v>16663.07</v>
      </c>
      <c r="F11" s="1" t="str">
        <f>"人民币"</f>
        <v>人民币</v>
      </c>
      <c r="G11" s="1" t="str">
        <f>"0184500716"</f>
        <v>0184500716</v>
      </c>
      <c r="H11" s="1" t="str">
        <f>"159915"</f>
        <v>159915</v>
      </c>
      <c r="I11" s="1" t="str">
        <f>"创业板"</f>
        <v>创业板</v>
      </c>
      <c r="J11" s="1" t="str">
        <f>"卖出"</f>
        <v>卖出</v>
      </c>
      <c r="K11" s="1">
        <v>2.0920000000000001</v>
      </c>
      <c r="L11" s="1">
        <v>-4400</v>
      </c>
      <c r="M11" s="1" t="str">
        <f>"证券卖出"</f>
        <v>证券卖出</v>
      </c>
      <c r="N11" s="1">
        <v>1.84</v>
      </c>
      <c r="O11" s="1">
        <v>0</v>
      </c>
      <c r="P11" s="1">
        <v>0</v>
      </c>
      <c r="Q11" s="1">
        <v>0</v>
      </c>
    </row>
    <row r="12" spans="1:17" x14ac:dyDescent="0.2">
      <c r="A12" s="1" t="str">
        <f>"15776"</f>
        <v>15776</v>
      </c>
      <c r="B12" s="1" t="str">
        <f>"20200226"</f>
        <v>20200226</v>
      </c>
      <c r="C12" s="1" t="str">
        <f>"基金资金拨出"</f>
        <v>基金资金拨出</v>
      </c>
      <c r="D12" s="1" t="str">
        <f>"-16662.07"</f>
        <v>-16662.07</v>
      </c>
      <c r="E12" s="1">
        <v>1</v>
      </c>
      <c r="F12" s="1" t="str">
        <f>"人民币"</f>
        <v>人民币</v>
      </c>
      <c r="G12" s="1" t="str">
        <f t="shared" ref="G12:I14" si="3">" "</f>
        <v xml:space="preserve"> </v>
      </c>
      <c r="H12" s="1" t="str">
        <f t="shared" si="3"/>
        <v xml:space="preserve"> </v>
      </c>
      <c r="I12" s="1" t="str">
        <f t="shared" si="3"/>
        <v xml:space="preserve"> </v>
      </c>
      <c r="J12" s="1" t="str">
        <f>"卖出"</f>
        <v>卖出</v>
      </c>
      <c r="K12" s="1">
        <v>0</v>
      </c>
      <c r="L12" s="1">
        <v>0</v>
      </c>
      <c r="M12" s="1" t="str">
        <f>"122扣除金额 基金代码：940018,发生份额：16662.07"</f>
        <v>122扣除金额 基金代码：940018,发生份额：16662.07</v>
      </c>
      <c r="N12" s="1">
        <v>0</v>
      </c>
      <c r="O12" s="1">
        <v>0</v>
      </c>
      <c r="P12" s="1">
        <v>0</v>
      </c>
      <c r="Q12" s="1">
        <v>0</v>
      </c>
    </row>
    <row r="13" spans="1:17" x14ac:dyDescent="0.2">
      <c r="A13" s="1" t="str">
        <f>"573"</f>
        <v>573</v>
      </c>
      <c r="B13" s="1" t="str">
        <f>"20200227"</f>
        <v>20200227</v>
      </c>
      <c r="C13" s="1" t="str">
        <f>"资管转让资金上账"</f>
        <v>资管转让资金上账</v>
      </c>
      <c r="D13" s="1" t="str">
        <f>"16662.00"</f>
        <v>16662.00</v>
      </c>
      <c r="E13" s="1">
        <v>16663</v>
      </c>
      <c r="F13" s="1" t="str">
        <f>"人民币"</f>
        <v>人民币</v>
      </c>
      <c r="G13" s="1" t="str">
        <f t="shared" si="3"/>
        <v xml:space="preserve"> </v>
      </c>
      <c r="H13" s="1" t="str">
        <f t="shared" si="3"/>
        <v xml:space="preserve"> </v>
      </c>
      <c r="I13" s="1" t="str">
        <f t="shared" si="3"/>
        <v xml:space="preserve"> </v>
      </c>
      <c r="J13" s="1" t="str">
        <f>"卖出"</f>
        <v>卖出</v>
      </c>
      <c r="K13" s="1">
        <v>0</v>
      </c>
      <c r="L13" s="1">
        <v>0</v>
      </c>
      <c r="M13" s="1" t="str">
        <f>"快速取现退出资金拨入,产品代码940018,对方资产账户40000545correct_balance=0"</f>
        <v>快速取现退出资金拨入,产品代码940018,对方资产账户40000545correct_balance=0</v>
      </c>
      <c r="N13" s="1">
        <v>0</v>
      </c>
      <c r="O13" s="1">
        <v>0</v>
      </c>
      <c r="P13" s="1">
        <v>0</v>
      </c>
      <c r="Q13" s="1">
        <v>0</v>
      </c>
    </row>
    <row r="14" spans="1:17" x14ac:dyDescent="0.2">
      <c r="A14" s="1" t="str">
        <f>"578"</f>
        <v>578</v>
      </c>
      <c r="B14" s="1" t="str">
        <f>"20200227"</f>
        <v>20200227</v>
      </c>
      <c r="C14" s="1" t="str">
        <f>"银行转取"</f>
        <v>银行转取</v>
      </c>
      <c r="D14" s="1" t="str">
        <f>"-16663.00"</f>
        <v>-16663.00</v>
      </c>
      <c r="E14" s="1">
        <v>0</v>
      </c>
      <c r="F14" s="1" t="str">
        <f>"人民币"</f>
        <v>人民币</v>
      </c>
      <c r="G14" s="1" t="str">
        <f t="shared" si="3"/>
        <v xml:space="preserve"> </v>
      </c>
      <c r="H14" s="1" t="str">
        <f t="shared" si="3"/>
        <v xml:space="preserve"> </v>
      </c>
      <c r="I14" s="1" t="str">
        <f t="shared" si="3"/>
        <v xml:space="preserve"> </v>
      </c>
      <c r="J14" s="1" t="str">
        <f>"卖出"</f>
        <v>卖出</v>
      </c>
      <c r="K14" s="1">
        <v>0</v>
      </c>
      <c r="L14" s="1">
        <v>0</v>
      </c>
      <c r="M14" s="1" t="str">
        <f>"银行返回码[ ]返回信息[0000 交易成功]|转账成功 转账账号:6225881012906292 correct_balance=16663"</f>
        <v>银行返回码[ ]返回信息[0000 交易成功]|转账成功 转账账号:6225881012906292 correct_balance=16663</v>
      </c>
      <c r="N14" s="1">
        <v>0</v>
      </c>
      <c r="O14" s="1">
        <v>0</v>
      </c>
      <c r="P14" s="1">
        <v>0</v>
      </c>
      <c r="Q14" s="1">
        <v>0</v>
      </c>
    </row>
    <row r="15" spans="1:17" x14ac:dyDescent="0.2">
      <c r="A15" s="1" t="str">
        <f>"3243"</f>
        <v>3243</v>
      </c>
      <c r="B15" s="1" t="str">
        <f>"20200310"</f>
        <v>20200310</v>
      </c>
      <c r="C15" s="1" t="str">
        <f>"基金资金拨出"</f>
        <v>基金资金拨出</v>
      </c>
      <c r="D15" s="1" t="str">
        <f>"-9885.02"</f>
        <v>-9885.02</v>
      </c>
      <c r="E15" s="1">
        <v>-9885.02</v>
      </c>
      <c r="F15" s="1" t="str">
        <f t="shared" ref="F15:F25" si="4">"人民币"</f>
        <v>人民币</v>
      </c>
      <c r="G15" s="1" t="str">
        <f>" "</f>
        <v xml:space="preserve"> </v>
      </c>
      <c r="H15" s="1" t="str">
        <f>" "</f>
        <v xml:space="preserve"> </v>
      </c>
      <c r="I15" s="1" t="str">
        <f>" "</f>
        <v xml:space="preserve"> </v>
      </c>
      <c r="J15" s="1" t="str">
        <f t="shared" ref="J15:J25" si="5">"卖出"</f>
        <v>卖出</v>
      </c>
      <c r="K15" s="1">
        <v>0</v>
      </c>
      <c r="L15" s="1">
        <v>0</v>
      </c>
      <c r="M15" s="1" t="str">
        <f>"122扣除金额 基金代码：940018,发生份额：9885.02"</f>
        <v>122扣除金额 基金代码：940018,发生份额：9885.02</v>
      </c>
      <c r="N15" s="1">
        <v>0</v>
      </c>
      <c r="O15" s="1">
        <v>0</v>
      </c>
      <c r="P15" s="1">
        <v>0</v>
      </c>
      <c r="Q15" s="1">
        <v>0</v>
      </c>
    </row>
    <row r="16" spans="1:17" x14ac:dyDescent="0.2">
      <c r="A16" s="1" t="str">
        <f>"14950"</f>
        <v>14950</v>
      </c>
      <c r="B16" s="1" t="str">
        <f>"20200310"</f>
        <v>20200310</v>
      </c>
      <c r="C16" s="1" t="str">
        <f>"证券卖出"</f>
        <v>证券卖出</v>
      </c>
      <c r="D16" s="1" t="str">
        <f>"9886.02"</f>
        <v>9886.02</v>
      </c>
      <c r="E16" s="1">
        <v>1</v>
      </c>
      <c r="F16" s="1" t="str">
        <f t="shared" si="4"/>
        <v>人民币</v>
      </c>
      <c r="G16" s="1" t="str">
        <f>"0184500716"</f>
        <v>0184500716</v>
      </c>
      <c r="H16" s="1" t="str">
        <f>"159915"</f>
        <v>159915</v>
      </c>
      <c r="I16" s="1" t="str">
        <f>"创业板"</f>
        <v>创业板</v>
      </c>
      <c r="J16" s="1" t="str">
        <f t="shared" si="5"/>
        <v>卖出</v>
      </c>
      <c r="K16" s="1">
        <v>2.06</v>
      </c>
      <c r="L16" s="1">
        <v>-4800</v>
      </c>
      <c r="M16" s="1" t="str">
        <f>"证券卖出"</f>
        <v>证券卖出</v>
      </c>
      <c r="N16" s="1">
        <v>1.98</v>
      </c>
      <c r="O16" s="1">
        <v>0</v>
      </c>
      <c r="P16" s="1">
        <v>0</v>
      </c>
      <c r="Q16" s="1">
        <v>0</v>
      </c>
    </row>
    <row r="17" spans="1:17" x14ac:dyDescent="0.2">
      <c r="A17" s="1" t="str">
        <f>"1132"</f>
        <v>1132</v>
      </c>
      <c r="B17" s="1" t="str">
        <f>"20200311"</f>
        <v>20200311</v>
      </c>
      <c r="C17" s="1" t="str">
        <f>"资管转让资金上账"</f>
        <v>资管转让资金上账</v>
      </c>
      <c r="D17" s="1" t="str">
        <f>"9885.00"</f>
        <v>9885.00</v>
      </c>
      <c r="E17" s="1">
        <v>9886</v>
      </c>
      <c r="F17" s="1" t="str">
        <f t="shared" si="4"/>
        <v>人民币</v>
      </c>
      <c r="G17" s="1" t="str">
        <f t="shared" ref="G17:I20" si="6">" "</f>
        <v xml:space="preserve"> </v>
      </c>
      <c r="H17" s="1" t="str">
        <f t="shared" si="6"/>
        <v xml:space="preserve"> </v>
      </c>
      <c r="I17" s="1" t="str">
        <f t="shared" si="6"/>
        <v xml:space="preserve"> </v>
      </c>
      <c r="J17" s="1" t="str">
        <f t="shared" si="5"/>
        <v>卖出</v>
      </c>
      <c r="K17" s="1">
        <v>0</v>
      </c>
      <c r="L17" s="1">
        <v>0</v>
      </c>
      <c r="M17" s="1" t="str">
        <f>"快速取现退出资金拨入,产品代码940018,对方资产账户40000545correct_balance=0"</f>
        <v>快速取现退出资金拨入,产品代码940018,对方资产账户40000545correct_balance=0</v>
      </c>
      <c r="N17" s="1">
        <v>0</v>
      </c>
      <c r="O17" s="1">
        <v>0</v>
      </c>
      <c r="P17" s="1">
        <v>0</v>
      </c>
      <c r="Q17" s="1">
        <v>0</v>
      </c>
    </row>
    <row r="18" spans="1:17" x14ac:dyDescent="0.2">
      <c r="A18" s="1" t="str">
        <f>"1135"</f>
        <v>1135</v>
      </c>
      <c r="B18" s="1" t="str">
        <f>"20200311"</f>
        <v>20200311</v>
      </c>
      <c r="C18" s="1" t="str">
        <f>"银行转取"</f>
        <v>银行转取</v>
      </c>
      <c r="D18" s="1" t="str">
        <f>"-9886.00"</f>
        <v>-9886.00</v>
      </c>
      <c r="E18" s="1">
        <v>0</v>
      </c>
      <c r="F18" s="1" t="str">
        <f t="shared" si="4"/>
        <v>人民币</v>
      </c>
      <c r="G18" s="1" t="str">
        <f t="shared" si="6"/>
        <v xml:space="preserve"> </v>
      </c>
      <c r="H18" s="1" t="str">
        <f t="shared" si="6"/>
        <v xml:space="preserve"> </v>
      </c>
      <c r="I18" s="1" t="str">
        <f t="shared" si="6"/>
        <v xml:space="preserve"> </v>
      </c>
      <c r="J18" s="1" t="str">
        <f t="shared" si="5"/>
        <v>卖出</v>
      </c>
      <c r="K18" s="1">
        <v>0</v>
      </c>
      <c r="L18" s="1">
        <v>0</v>
      </c>
      <c r="M18" s="1" t="str">
        <f>"银行返回码[ ]返回信息[0000 交易成功]|转账成功 转账账号:6225881012906292 correct_balance=9886"</f>
        <v>银行返回码[ ]返回信息[0000 交易成功]|转账成功 转账账号:6225881012906292 correct_balance=9886</v>
      </c>
      <c r="N18" s="1">
        <v>0</v>
      </c>
      <c r="O18" s="1">
        <v>0</v>
      </c>
      <c r="P18" s="1">
        <v>0</v>
      </c>
      <c r="Q18" s="1">
        <v>0</v>
      </c>
    </row>
    <row r="19" spans="1:17" x14ac:dyDescent="0.2">
      <c r="A19" s="1" t="str">
        <f>"3199"</f>
        <v>3199</v>
      </c>
      <c r="B19" s="1" t="str">
        <f>"20200311"</f>
        <v>20200311</v>
      </c>
      <c r="C19" s="1" t="str">
        <f>"基金资金拨入"</f>
        <v>基金资金拨入</v>
      </c>
      <c r="D19" s="1" t="str">
        <f>"0.46"</f>
        <v>0.46</v>
      </c>
      <c r="E19" s="1">
        <v>0.46</v>
      </c>
      <c r="F19" s="1" t="str">
        <f t="shared" si="4"/>
        <v>人民币</v>
      </c>
      <c r="G19" s="1" t="str">
        <f t="shared" si="6"/>
        <v xml:space="preserve"> </v>
      </c>
      <c r="H19" s="1" t="str">
        <f t="shared" si="6"/>
        <v xml:space="preserve"> </v>
      </c>
      <c r="I19" s="1" t="str">
        <f t="shared" si="6"/>
        <v xml:space="preserve"> </v>
      </c>
      <c r="J19" s="1" t="str">
        <f t="shared" si="5"/>
        <v>卖出</v>
      </c>
      <c r="K19" s="1">
        <v>0</v>
      </c>
      <c r="L19" s="1">
        <v>0</v>
      </c>
      <c r="M19" s="1" t="str">
        <f>"124增加金额 基金代码：940018,发生份额：.46"</f>
        <v>124增加金额 基金代码：940018,发生份额：.46</v>
      </c>
      <c r="N19" s="1">
        <v>0</v>
      </c>
      <c r="O19" s="1">
        <v>0</v>
      </c>
      <c r="P19" s="1">
        <v>0</v>
      </c>
      <c r="Q19" s="1">
        <v>0</v>
      </c>
    </row>
    <row r="20" spans="1:17" x14ac:dyDescent="0.2">
      <c r="A20" s="1" t="str">
        <f>"4431"</f>
        <v>4431</v>
      </c>
      <c r="B20" s="1" t="str">
        <f>"20200313"</f>
        <v>20200313</v>
      </c>
      <c r="C20" s="1" t="str">
        <f>"基金资金拨出"</f>
        <v>基金资金拨出</v>
      </c>
      <c r="D20" s="1" t="str">
        <f>"-7634.13"</f>
        <v>-7634.13</v>
      </c>
      <c r="E20" s="1">
        <v>-7633.67</v>
      </c>
      <c r="F20" s="1" t="str">
        <f t="shared" si="4"/>
        <v>人民币</v>
      </c>
      <c r="G20" s="1" t="str">
        <f t="shared" si="6"/>
        <v xml:space="preserve"> </v>
      </c>
      <c r="H20" s="1" t="str">
        <f t="shared" si="6"/>
        <v xml:space="preserve"> </v>
      </c>
      <c r="I20" s="1" t="str">
        <f t="shared" si="6"/>
        <v xml:space="preserve"> </v>
      </c>
      <c r="J20" s="1" t="str">
        <f t="shared" si="5"/>
        <v>卖出</v>
      </c>
      <c r="K20" s="1">
        <v>0</v>
      </c>
      <c r="L20" s="1">
        <v>0</v>
      </c>
      <c r="M20" s="1" t="str">
        <f>"122扣除金额 基金代码：940018,发生份额：7634.13"</f>
        <v>122扣除金额 基金代码：940018,发生份额：7634.13</v>
      </c>
      <c r="N20" s="1">
        <v>0</v>
      </c>
      <c r="O20" s="1">
        <v>0</v>
      </c>
      <c r="P20" s="1">
        <v>0</v>
      </c>
      <c r="Q20" s="1">
        <v>0</v>
      </c>
    </row>
    <row r="21" spans="1:17" x14ac:dyDescent="0.2">
      <c r="A21" s="1" t="str">
        <f>"8958"</f>
        <v>8958</v>
      </c>
      <c r="B21" s="1" t="str">
        <f>"20200313"</f>
        <v>20200313</v>
      </c>
      <c r="C21" s="1" t="str">
        <f>"证券卖出"</f>
        <v>证券卖出</v>
      </c>
      <c r="D21" s="1" t="str">
        <f>"7634.67"</f>
        <v>7634.67</v>
      </c>
      <c r="E21" s="1">
        <v>1</v>
      </c>
      <c r="F21" s="1" t="str">
        <f t="shared" si="4"/>
        <v>人民币</v>
      </c>
      <c r="G21" s="1" t="str">
        <f>"A280737240"</f>
        <v>A280737240</v>
      </c>
      <c r="H21" s="1" t="str">
        <f>"518880"</f>
        <v>518880</v>
      </c>
      <c r="I21" s="1" t="str">
        <f>"黄金ETF"</f>
        <v>黄金ETF</v>
      </c>
      <c r="J21" s="1" t="str">
        <f t="shared" si="5"/>
        <v>卖出</v>
      </c>
      <c r="K21" s="1">
        <v>3.4710000000000001</v>
      </c>
      <c r="L21" s="1">
        <v>-2200</v>
      </c>
      <c r="M21" s="1" t="str">
        <f>"证券卖出"</f>
        <v>证券卖出</v>
      </c>
      <c r="N21" s="1">
        <v>1.53</v>
      </c>
      <c r="O21" s="1">
        <v>0</v>
      </c>
      <c r="P21" s="1">
        <v>0</v>
      </c>
      <c r="Q21" s="1">
        <v>0</v>
      </c>
    </row>
    <row r="22" spans="1:17" x14ac:dyDescent="0.2">
      <c r="A22" s="1" t="str">
        <f>"1715"</f>
        <v>1715</v>
      </c>
      <c r="B22" s="1" t="str">
        <f>"20200316"</f>
        <v>20200316</v>
      </c>
      <c r="C22" s="1" t="str">
        <f>"资管转让资金上账"</f>
        <v>资管转让资金上账</v>
      </c>
      <c r="D22" s="1" t="str">
        <f>"7634.00"</f>
        <v>7634.00</v>
      </c>
      <c r="E22" s="1">
        <v>7635</v>
      </c>
      <c r="F22" s="1" t="str">
        <f t="shared" si="4"/>
        <v>人民币</v>
      </c>
      <c r="G22" s="1" t="str">
        <f t="shared" ref="G22:I23" si="7">" "</f>
        <v xml:space="preserve"> </v>
      </c>
      <c r="H22" s="1" t="str">
        <f t="shared" si="7"/>
        <v xml:space="preserve"> </v>
      </c>
      <c r="I22" s="1" t="str">
        <f t="shared" si="7"/>
        <v xml:space="preserve"> </v>
      </c>
      <c r="J22" s="1" t="str">
        <f t="shared" si="5"/>
        <v>卖出</v>
      </c>
      <c r="K22" s="1">
        <v>0</v>
      </c>
      <c r="L22" s="1">
        <v>0</v>
      </c>
      <c r="M22" s="1" t="str">
        <f>"快速取现退出资金拨入,产品代码940018,对方资产账户40000545correct_balance=0"</f>
        <v>快速取现退出资金拨入,产品代码940018,对方资产账户40000545correct_balance=0</v>
      </c>
      <c r="N22" s="1">
        <v>0</v>
      </c>
      <c r="O22" s="1">
        <v>0</v>
      </c>
      <c r="P22" s="1">
        <v>0</v>
      </c>
      <c r="Q22" s="1">
        <v>0</v>
      </c>
    </row>
    <row r="23" spans="1:17" x14ac:dyDescent="0.2">
      <c r="A23" s="1" t="str">
        <f>"1718"</f>
        <v>1718</v>
      </c>
      <c r="B23" s="1" t="str">
        <f>"20200316"</f>
        <v>20200316</v>
      </c>
      <c r="C23" s="1" t="str">
        <f>"银行转取"</f>
        <v>银行转取</v>
      </c>
      <c r="D23" s="1" t="str">
        <f>"-7635.00"</f>
        <v>-7635.00</v>
      </c>
      <c r="E23" s="1">
        <v>0</v>
      </c>
      <c r="F23" s="1" t="str">
        <f t="shared" si="4"/>
        <v>人民币</v>
      </c>
      <c r="G23" s="1" t="str">
        <f t="shared" si="7"/>
        <v xml:space="preserve"> </v>
      </c>
      <c r="H23" s="1" t="str">
        <f t="shared" si="7"/>
        <v xml:space="preserve"> </v>
      </c>
      <c r="I23" s="1" t="str">
        <f t="shared" si="7"/>
        <v xml:space="preserve"> </v>
      </c>
      <c r="J23" s="1" t="str">
        <f t="shared" si="5"/>
        <v>卖出</v>
      </c>
      <c r="K23" s="1">
        <v>0</v>
      </c>
      <c r="L23" s="1">
        <v>0</v>
      </c>
      <c r="M23" s="1" t="str">
        <f>"银行返回码[ ]返回信息[0000 交易成功]|转账成功 转账账号:6225881012906292 correct_balance=7635"</f>
        <v>银行返回码[ ]返回信息[0000 交易成功]|转账成功 转账账号:6225881012906292 correct_balance=7635</v>
      </c>
      <c r="N23" s="1">
        <v>0</v>
      </c>
      <c r="O23" s="1">
        <v>0</v>
      </c>
      <c r="P23" s="1">
        <v>0</v>
      </c>
      <c r="Q23" s="1">
        <v>0</v>
      </c>
    </row>
    <row r="24" spans="1:17" x14ac:dyDescent="0.2">
      <c r="A24" s="1" t="str">
        <f>"11582"</f>
        <v>11582</v>
      </c>
      <c r="B24" s="1" t="str">
        <f>"20200325"</f>
        <v>20200325</v>
      </c>
      <c r="C24" s="1" t="str">
        <f>"证券卖出"</f>
        <v>证券卖出</v>
      </c>
      <c r="D24" s="1" t="str">
        <f>"7092.98"</f>
        <v>7092.98</v>
      </c>
      <c r="E24" s="1">
        <v>7092.98</v>
      </c>
      <c r="F24" s="1" t="str">
        <f t="shared" si="4"/>
        <v>人民币</v>
      </c>
      <c r="G24" s="1" t="str">
        <f>"0184500716"</f>
        <v>0184500716</v>
      </c>
      <c r="H24" s="1" t="str">
        <f>"159938"</f>
        <v>159938</v>
      </c>
      <c r="I24" s="1" t="str">
        <f>"医药"</f>
        <v>医药</v>
      </c>
      <c r="J24" s="1" t="str">
        <f t="shared" si="5"/>
        <v>卖出</v>
      </c>
      <c r="K24" s="1">
        <v>1.478</v>
      </c>
      <c r="L24" s="1">
        <v>-4800</v>
      </c>
      <c r="M24" s="1" t="str">
        <f>"证券卖出"</f>
        <v>证券卖出</v>
      </c>
      <c r="N24" s="1">
        <v>1.42</v>
      </c>
      <c r="O24" s="1">
        <v>0</v>
      </c>
      <c r="P24" s="1">
        <v>0</v>
      </c>
      <c r="Q24" s="1">
        <v>0</v>
      </c>
    </row>
    <row r="25" spans="1:17" x14ac:dyDescent="0.2">
      <c r="A25" s="1" t="str">
        <f>"13211"</f>
        <v>13211</v>
      </c>
      <c r="B25" s="1" t="str">
        <f>"20200325"</f>
        <v>20200325</v>
      </c>
      <c r="C25" s="1" t="str">
        <f>"基金资金拨出"</f>
        <v>基金资金拨出</v>
      </c>
      <c r="D25" s="1" t="str">
        <f>"-7091.98"</f>
        <v>-7091.98</v>
      </c>
      <c r="E25" s="1">
        <v>1</v>
      </c>
      <c r="F25" s="1" t="str">
        <f t="shared" si="4"/>
        <v>人民币</v>
      </c>
      <c r="G25" s="1" t="str">
        <f>" "</f>
        <v xml:space="preserve"> </v>
      </c>
      <c r="H25" s="1" t="str">
        <f>" "</f>
        <v xml:space="preserve"> </v>
      </c>
      <c r="I25" s="1" t="str">
        <f>" "</f>
        <v xml:space="preserve"> </v>
      </c>
      <c r="J25" s="1" t="str">
        <f t="shared" si="5"/>
        <v>卖出</v>
      </c>
      <c r="K25" s="1">
        <v>0</v>
      </c>
      <c r="L25" s="1">
        <v>0</v>
      </c>
      <c r="M25" s="1" t="str">
        <f>"122扣除金额 基金代码：940018,发生份额：7091.98"</f>
        <v>122扣除金额 基金代码：940018,发生份额：7091.98</v>
      </c>
      <c r="N25" s="1">
        <v>0</v>
      </c>
      <c r="O25" s="1">
        <v>0</v>
      </c>
      <c r="P25" s="1">
        <v>0</v>
      </c>
      <c r="Q25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2020-03-27T09:07:42Z</dcterms:modified>
</cp:coreProperties>
</file>