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deal-record\spider\huatai\input\"/>
    </mc:Choice>
  </mc:AlternateContent>
  <xr:revisionPtr revIDLastSave="0" documentId="13_ncr:1_{A2E0C3E6-2139-47A6-8122-0D57CE6FB0A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1" l="1"/>
  <c r="J33" i="1"/>
  <c r="I33" i="1"/>
  <c r="H33" i="1"/>
  <c r="G33" i="1"/>
  <c r="F33" i="1"/>
  <c r="D33" i="1"/>
  <c r="C33" i="1"/>
  <c r="B33" i="1"/>
  <c r="A33" i="1"/>
  <c r="M32" i="1"/>
  <c r="J32" i="1"/>
  <c r="I32" i="1"/>
  <c r="H32" i="1"/>
  <c r="G32" i="1"/>
  <c r="F32" i="1"/>
  <c r="D32" i="1"/>
  <c r="C32" i="1"/>
  <c r="B32" i="1"/>
  <c r="A32" i="1"/>
  <c r="M31" i="1"/>
  <c r="J31" i="1"/>
  <c r="I31" i="1"/>
  <c r="H31" i="1"/>
  <c r="G31" i="1"/>
  <c r="F31" i="1"/>
  <c r="D31" i="1"/>
  <c r="C31" i="1"/>
  <c r="B31" i="1"/>
  <c r="A31" i="1"/>
  <c r="M30" i="1"/>
  <c r="J30" i="1"/>
  <c r="I30" i="1"/>
  <c r="H30" i="1"/>
  <c r="G30" i="1"/>
  <c r="F30" i="1"/>
  <c r="D30" i="1"/>
  <c r="C30" i="1"/>
  <c r="B30" i="1"/>
  <c r="A30" i="1"/>
  <c r="M29" i="1"/>
  <c r="J29" i="1"/>
  <c r="I29" i="1"/>
  <c r="H29" i="1"/>
  <c r="G29" i="1"/>
  <c r="F29" i="1"/>
  <c r="D29" i="1"/>
  <c r="C29" i="1"/>
  <c r="B29" i="1"/>
  <c r="A29" i="1"/>
  <c r="M28" i="1"/>
  <c r="J28" i="1"/>
  <c r="I28" i="1"/>
  <c r="H28" i="1"/>
  <c r="G28" i="1"/>
  <c r="F28" i="1"/>
  <c r="D28" i="1"/>
  <c r="C28" i="1"/>
  <c r="B28" i="1"/>
  <c r="A28" i="1"/>
  <c r="M27" i="1"/>
  <c r="J27" i="1"/>
  <c r="I27" i="1"/>
  <c r="H27" i="1"/>
  <c r="G27" i="1"/>
  <c r="F27" i="1"/>
  <c r="D27" i="1"/>
  <c r="C27" i="1"/>
  <c r="B27" i="1"/>
  <c r="A27" i="1"/>
  <c r="M26" i="1"/>
  <c r="J26" i="1"/>
  <c r="I26" i="1"/>
  <c r="H26" i="1"/>
  <c r="G26" i="1"/>
  <c r="F26" i="1"/>
  <c r="D26" i="1"/>
  <c r="C26" i="1"/>
  <c r="B26" i="1"/>
  <c r="A26" i="1"/>
  <c r="M25" i="1"/>
  <c r="J25" i="1"/>
  <c r="I25" i="1"/>
  <c r="H25" i="1"/>
  <c r="G25" i="1"/>
  <c r="F25" i="1"/>
  <c r="D25" i="1"/>
  <c r="C25" i="1"/>
  <c r="B25" i="1"/>
  <c r="A25" i="1"/>
  <c r="M24" i="1"/>
  <c r="J24" i="1"/>
  <c r="I24" i="1"/>
  <c r="H24" i="1"/>
  <c r="G24" i="1"/>
  <c r="F24" i="1"/>
  <c r="D24" i="1"/>
  <c r="C24" i="1"/>
  <c r="B24" i="1"/>
  <c r="A24" i="1"/>
  <c r="M23" i="1"/>
  <c r="J23" i="1"/>
  <c r="I23" i="1"/>
  <c r="H23" i="1"/>
  <c r="G23" i="1"/>
  <c r="F23" i="1"/>
  <c r="D23" i="1"/>
  <c r="C23" i="1"/>
  <c r="B23" i="1"/>
  <c r="A23" i="1"/>
  <c r="M22" i="1"/>
  <c r="J22" i="1"/>
  <c r="I22" i="1"/>
  <c r="H22" i="1"/>
  <c r="G22" i="1"/>
  <c r="F22" i="1"/>
  <c r="D22" i="1"/>
  <c r="C22" i="1"/>
  <c r="B22" i="1"/>
  <c r="A22" i="1"/>
  <c r="M21" i="1"/>
  <c r="J21" i="1"/>
  <c r="I21" i="1"/>
  <c r="H21" i="1"/>
  <c r="G21" i="1"/>
  <c r="F21" i="1"/>
  <c r="D21" i="1"/>
  <c r="C21" i="1"/>
  <c r="B21" i="1"/>
  <c r="A21" i="1"/>
  <c r="M20" i="1"/>
  <c r="J20" i="1"/>
  <c r="I20" i="1"/>
  <c r="H20" i="1"/>
  <c r="G20" i="1"/>
  <c r="F20" i="1"/>
  <c r="D20" i="1"/>
  <c r="C20" i="1"/>
  <c r="B20" i="1"/>
  <c r="A20" i="1"/>
  <c r="M19" i="1"/>
  <c r="J19" i="1"/>
  <c r="I19" i="1"/>
  <c r="H19" i="1"/>
  <c r="G19" i="1"/>
  <c r="F19" i="1"/>
  <c r="D19" i="1"/>
  <c r="C19" i="1"/>
  <c r="B19" i="1"/>
  <c r="A19" i="1"/>
  <c r="M18" i="1"/>
  <c r="J18" i="1"/>
  <c r="I18" i="1"/>
  <c r="H18" i="1"/>
  <c r="G18" i="1"/>
  <c r="F18" i="1"/>
  <c r="D18" i="1"/>
  <c r="C18" i="1"/>
  <c r="B18" i="1"/>
  <c r="A18" i="1"/>
  <c r="M17" i="1" l="1"/>
  <c r="J17" i="1"/>
  <c r="I17" i="1"/>
  <c r="H17" i="1"/>
  <c r="G17" i="1"/>
  <c r="F17" i="1"/>
  <c r="D17" i="1"/>
  <c r="C17" i="1"/>
  <c r="B17" i="1"/>
  <c r="A17" i="1"/>
  <c r="M16" i="1"/>
  <c r="J16" i="1"/>
  <c r="I16" i="1"/>
  <c r="H16" i="1"/>
  <c r="G16" i="1"/>
  <c r="F16" i="1"/>
  <c r="D16" i="1"/>
  <c r="C16" i="1"/>
  <c r="B16" i="1"/>
  <c r="A16" i="1"/>
  <c r="M15" i="1"/>
  <c r="J15" i="1"/>
  <c r="I15" i="1"/>
  <c r="H15" i="1"/>
  <c r="G15" i="1"/>
  <c r="F15" i="1"/>
  <c r="D15" i="1"/>
  <c r="C15" i="1"/>
  <c r="B15" i="1"/>
  <c r="A15" i="1"/>
  <c r="M14" i="1"/>
  <c r="J14" i="1"/>
  <c r="I14" i="1"/>
  <c r="H14" i="1"/>
  <c r="G14" i="1"/>
  <c r="F14" i="1"/>
  <c r="D14" i="1"/>
  <c r="C14" i="1"/>
  <c r="B14" i="1"/>
  <c r="A14" i="1"/>
  <c r="M13" i="1"/>
  <c r="J13" i="1"/>
  <c r="I13" i="1"/>
  <c r="H13" i="1"/>
  <c r="G13" i="1"/>
  <c r="F13" i="1"/>
  <c r="D13" i="1"/>
  <c r="C13" i="1"/>
  <c r="B13" i="1"/>
  <c r="A13" i="1"/>
  <c r="M12" i="1"/>
  <c r="J12" i="1"/>
  <c r="I12" i="1"/>
  <c r="H12" i="1"/>
  <c r="G12" i="1"/>
  <c r="F12" i="1"/>
  <c r="D12" i="1"/>
  <c r="C12" i="1"/>
  <c r="B12" i="1"/>
  <c r="A12" i="1"/>
  <c r="M11" i="1"/>
  <c r="J11" i="1"/>
  <c r="I11" i="1"/>
  <c r="H11" i="1"/>
  <c r="G11" i="1"/>
  <c r="F11" i="1"/>
  <c r="D11" i="1"/>
  <c r="C11" i="1"/>
  <c r="B11" i="1"/>
  <c r="A11" i="1"/>
  <c r="M10" i="1"/>
  <c r="J10" i="1"/>
  <c r="I10" i="1"/>
  <c r="H10" i="1"/>
  <c r="G10" i="1"/>
  <c r="F10" i="1"/>
  <c r="D10" i="1"/>
  <c r="C10" i="1"/>
  <c r="B10" i="1"/>
  <c r="A10" i="1"/>
  <c r="M9" i="1"/>
  <c r="J9" i="1"/>
  <c r="I9" i="1"/>
  <c r="H9" i="1"/>
  <c r="G9" i="1"/>
  <c r="F9" i="1"/>
  <c r="D9" i="1"/>
  <c r="C9" i="1"/>
  <c r="B9" i="1"/>
  <c r="A9" i="1"/>
  <c r="M8" i="1"/>
  <c r="J8" i="1"/>
  <c r="I8" i="1"/>
  <c r="H8" i="1"/>
  <c r="G8" i="1"/>
  <c r="F8" i="1"/>
  <c r="D8" i="1"/>
  <c r="C8" i="1"/>
  <c r="B8" i="1"/>
  <c r="A8" i="1"/>
  <c r="M7" i="1"/>
  <c r="J7" i="1"/>
  <c r="I7" i="1"/>
  <c r="H7" i="1"/>
  <c r="G7" i="1"/>
  <c r="F7" i="1"/>
  <c r="D7" i="1"/>
  <c r="C7" i="1"/>
  <c r="B7" i="1"/>
  <c r="A7" i="1"/>
  <c r="M6" i="1"/>
  <c r="J6" i="1"/>
  <c r="I6" i="1"/>
  <c r="H6" i="1"/>
  <c r="G6" i="1"/>
  <c r="F6" i="1"/>
  <c r="D6" i="1"/>
  <c r="C6" i="1"/>
  <c r="B6" i="1"/>
  <c r="A6" i="1"/>
  <c r="M5" i="1"/>
  <c r="J5" i="1"/>
  <c r="I5" i="1"/>
  <c r="H5" i="1"/>
  <c r="G5" i="1"/>
  <c r="F5" i="1"/>
  <c r="D5" i="1"/>
  <c r="C5" i="1"/>
  <c r="B5" i="1"/>
  <c r="A5" i="1"/>
  <c r="M4" i="1"/>
  <c r="J4" i="1"/>
  <c r="I4" i="1"/>
  <c r="H4" i="1"/>
  <c r="G4" i="1"/>
  <c r="F4" i="1"/>
  <c r="D4" i="1"/>
  <c r="C4" i="1"/>
  <c r="B4" i="1"/>
  <c r="A4" i="1"/>
  <c r="M3" i="1"/>
  <c r="J3" i="1"/>
  <c r="I3" i="1"/>
  <c r="H3" i="1"/>
  <c r="G3" i="1"/>
  <c r="F3" i="1"/>
  <c r="D3" i="1"/>
  <c r="C3" i="1"/>
  <c r="B3" i="1"/>
  <c r="A3" i="1"/>
  <c r="M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<sst xmlns="http://schemas.openxmlformats.org/spreadsheetml/2006/main" count="17" uniqueCount="17">
  <si>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流水号</t>
  </si>
  <si>
    <t>发生日期</t>
  </si>
  <si>
    <t>业务名称</t>
  </si>
  <si>
    <t>发生金额</t>
  </si>
  <si>
    <t>剩余金额</t>
  </si>
  <si>
    <t>币种</t>
  </si>
  <si>
    <t>股东代码</t>
  </si>
  <si>
    <t>证券代码</t>
  </si>
  <si>
    <t>证券名称</t>
  </si>
  <si>
    <t>买卖标志</t>
  </si>
  <si>
    <t>成交价格</t>
  </si>
  <si>
    <t>成交数量</t>
  </si>
  <si>
    <t>备注</t>
  </si>
  <si>
    <t>佣金</t>
  </si>
  <si>
    <t>印花税</t>
  </si>
  <si>
    <t>过户费</t>
  </si>
  <si>
    <t>其他费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</si>
</sst>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J38" sqref="J38"/>
    </sheetView>
  </sheetViews>
  <sheetFormatPr defaultRowHeight="14.25" x14ac:dyDescent="0.2"/>
  <cols>
    <col min="1" max="1" width="7.125" bestFit="1" customWidth="1"/>
    <col min="2" max="2" width="9.5" bestFit="1" customWidth="1"/>
    <col min="3" max="3" width="17.25" bestFit="1" customWidth="1"/>
    <col min="4" max="4" width="9.875" bestFit="1" customWidth="1"/>
    <col min="5" max="5" width="9.5" bestFit="1" customWidth="1"/>
    <col min="6" max="6" width="7.125" bestFit="1" customWidth="1"/>
    <col min="7" max="7" width="11.875" bestFit="1" customWidth="1"/>
    <col min="13" max="13" width="93.375" bestFit="1" customWidth="1"/>
    <col min="14" max="14" width="5.5" bestFit="1" customWidth="1"/>
    <col min="15" max="17" width="7.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>"5481"</f>
        <v>5481</v>
      </c>
      <c r="B2" s="1" t="str">
        <f>"20200226"</f>
        <v>20200226</v>
      </c>
      <c r="C2" s="1" t="str">
        <f>"证券卖出"</f>
        <v>证券卖出</v>
      </c>
      <c r="D2" s="1" t="str">
        <f>"7460.11"</f>
        <v>7460.11</v>
      </c>
      <c r="E2" s="1">
        <v>7460.11</v>
      </c>
      <c r="F2" s="1" t="str">
        <f>"人民币"</f>
        <v>人民币</v>
      </c>
      <c r="G2" s="1" t="str">
        <f>"A280737240"</f>
        <v>A280737240</v>
      </c>
      <c r="H2" s="1" t="str">
        <f>"510500"</f>
        <v>510500</v>
      </c>
      <c r="I2" s="1" t="str">
        <f>"500ETF"</f>
        <v>500ETF</v>
      </c>
      <c r="J2" s="1" t="str">
        <f>"卖出"</f>
        <v>卖出</v>
      </c>
      <c r="K2" s="1">
        <v>6.218</v>
      </c>
      <c r="L2" s="1">
        <v>-1200</v>
      </c>
      <c r="M2" s="1" t="str">
        <f>"证券卖出"</f>
        <v>证券卖出</v>
      </c>
      <c r="N2" s="1">
        <v>1.49</v>
      </c>
      <c r="O2" s="1">
        <v>0</v>
      </c>
      <c r="P2" s="1">
        <v>0</v>
      </c>
      <c r="Q2" s="1">
        <v>0</v>
      </c>
    </row>
    <row r="3" spans="1:17" x14ac:dyDescent="0.2">
      <c r="A3" s="1" t="str">
        <f>"11146"</f>
        <v>11146</v>
      </c>
      <c r="B3" s="1" t="str">
        <f>"20200226"</f>
        <v>20200226</v>
      </c>
      <c r="C3" s="1" t="str">
        <f>"证券卖出"</f>
        <v>证券卖出</v>
      </c>
      <c r="D3" s="1" t="str">
        <f>"9202.96"</f>
        <v>9202.96</v>
      </c>
      <c r="E3" s="1">
        <v>16663.07</v>
      </c>
      <c r="F3" s="1" t="str">
        <f>"人民币"</f>
        <v>人民币</v>
      </c>
      <c r="G3" s="1" t="str">
        <f>"0184500716"</f>
        <v>0184500716</v>
      </c>
      <c r="H3" s="1" t="str">
        <f>"159915"</f>
        <v>159915</v>
      </c>
      <c r="I3" s="1" t="str">
        <f>"创业板"</f>
        <v>创业板</v>
      </c>
      <c r="J3" s="1" t="str">
        <f>"卖出"</f>
        <v>卖出</v>
      </c>
      <c r="K3" s="1">
        <v>2.0920000000000001</v>
      </c>
      <c r="L3" s="1">
        <v>-4400</v>
      </c>
      <c r="M3" s="1" t="str">
        <f>"证券卖出"</f>
        <v>证券卖出</v>
      </c>
      <c r="N3" s="1">
        <v>1.84</v>
      </c>
      <c r="O3" s="1">
        <v>0</v>
      </c>
      <c r="P3" s="1">
        <v>0</v>
      </c>
      <c r="Q3" s="1">
        <v>0</v>
      </c>
    </row>
    <row r="4" spans="1:17" x14ac:dyDescent="0.2">
      <c r="A4" s="1" t="str">
        <f>"15776"</f>
        <v>15776</v>
      </c>
      <c r="B4" s="1" t="str">
        <f>"20200226"</f>
        <v>20200226</v>
      </c>
      <c r="C4" s="1" t="str">
        <f>"基金资金拨出"</f>
        <v>基金资金拨出</v>
      </c>
      <c r="D4" s="1" t="str">
        <f>"-16662.07"</f>
        <v>-16662.07</v>
      </c>
      <c r="E4" s="1">
        <v>1</v>
      </c>
      <c r="F4" s="1" t="str">
        <f>"人民币"</f>
        <v>人民币</v>
      </c>
      <c r="G4" s="1" t="str">
        <f t="shared" ref="G4:I6" si="0">" "</f>
        <v xml:space="preserve"> </v>
      </c>
      <c r="H4" s="1" t="str">
        <f t="shared" si="0"/>
        <v xml:space="preserve"> </v>
      </c>
      <c r="I4" s="1" t="str">
        <f t="shared" si="0"/>
        <v xml:space="preserve"> </v>
      </c>
      <c r="J4" s="1" t="str">
        <f>"卖出"</f>
        <v>卖出</v>
      </c>
      <c r="K4" s="1">
        <v>0</v>
      </c>
      <c r="L4" s="1">
        <v>0</v>
      </c>
      <c r="M4" s="1" t="str">
        <f>"122扣除金额 基金代码：940018,发生份额：16662.07"</f>
        <v>122扣除金额 基金代码：940018,发生份额：16662.07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tr">
        <f>"573"</f>
        <v>573</v>
      </c>
      <c r="B5" s="1" t="str">
        <f>"20200227"</f>
        <v>20200227</v>
      </c>
      <c r="C5" s="1" t="str">
        <f>"资管转让资金上账"</f>
        <v>资管转让资金上账</v>
      </c>
      <c r="D5" s="1" t="str">
        <f>"16662.00"</f>
        <v>16662.00</v>
      </c>
      <c r="E5" s="1">
        <v>16663</v>
      </c>
      <c r="F5" s="1" t="str">
        <f>"人民币"</f>
        <v>人民币</v>
      </c>
      <c r="G5" s="1" t="str">
        <f t="shared" si="0"/>
        <v xml:space="preserve"> </v>
      </c>
      <c r="H5" s="1" t="str">
        <f t="shared" si="0"/>
        <v xml:space="preserve"> </v>
      </c>
      <c r="I5" s="1" t="str">
        <f t="shared" si="0"/>
        <v xml:space="preserve"> </v>
      </c>
      <c r="J5" s="1" t="str">
        <f>"卖出"</f>
        <v>卖出</v>
      </c>
      <c r="K5" s="1">
        <v>0</v>
      </c>
      <c r="L5" s="1">
        <v>0</v>
      </c>
      <c r="M5" s="1" t="str">
        <f>"快速取现退出资金拨入,产品代码940018,对方资产账户40000545correct_balance=0"</f>
        <v>快速取现退出资金拨入,产品代码940018,对方资产账户40000545correct_balance=0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 s="1" t="str">
        <f>"578"</f>
        <v>578</v>
      </c>
      <c r="B6" s="1" t="str">
        <f>"20200227"</f>
        <v>20200227</v>
      </c>
      <c r="C6" s="1" t="str">
        <f>"银行转取"</f>
        <v>银行转取</v>
      </c>
      <c r="D6" s="1" t="str">
        <f>"-16663.00"</f>
        <v>-16663.00</v>
      </c>
      <c r="E6" s="1">
        <v>0</v>
      </c>
      <c r="F6" s="1" t="str">
        <f>"人民币"</f>
        <v>人民币</v>
      </c>
      <c r="G6" s="1" t="str">
        <f t="shared" si="0"/>
        <v xml:space="preserve"> </v>
      </c>
      <c r="H6" s="1" t="str">
        <f t="shared" si="0"/>
        <v xml:space="preserve"> </v>
      </c>
      <c r="I6" s="1" t="str">
        <f t="shared" si="0"/>
        <v xml:space="preserve"> </v>
      </c>
      <c r="J6" s="1" t="str">
        <f>"卖出"</f>
        <v>卖出</v>
      </c>
      <c r="K6" s="1">
        <v>0</v>
      </c>
      <c r="L6" s="1">
        <v>0</v>
      </c>
      <c r="M6" s="1" t="str">
        <f>"银行返回码[ ]返回信息[0000 交易成功]|转账成功 转账账号:6225881012906292 correct_balance=16663"</f>
        <v>银行返回码[ ]返回信息[0000 交易成功]|转账成功 转账账号:6225881012906292 correct_balance=16663</v>
      </c>
      <c r="N6" s="1">
        <v>0</v>
      </c>
      <c r="O6" s="1">
        <v>0</v>
      </c>
      <c r="P6" s="1">
        <v>0</v>
      </c>
      <c r="Q6" s="1">
        <v>0</v>
      </c>
    </row>
    <row r="7" spans="1:17" x14ac:dyDescent="0.2">
      <c r="A7" s="1" t="str">
        <f>"3243"</f>
        <v>3243</v>
      </c>
      <c r="B7" s="1" t="str">
        <f>"20200310"</f>
        <v>20200310</v>
      </c>
      <c r="C7" s="1" t="str">
        <f>"基金资金拨出"</f>
        <v>基金资金拨出</v>
      </c>
      <c r="D7" s="1" t="str">
        <f>"-9885.02"</f>
        <v>-9885.02</v>
      </c>
      <c r="E7" s="1">
        <v>-9885.02</v>
      </c>
      <c r="F7" s="1" t="str">
        <f t="shared" ref="F7:F33" si="1">"人民币"</f>
        <v>人民币</v>
      </c>
      <c r="G7" s="1" t="str">
        <f>" "</f>
        <v xml:space="preserve"> </v>
      </c>
      <c r="H7" s="1" t="str">
        <f>" "</f>
        <v xml:space="preserve"> </v>
      </c>
      <c r="I7" s="1" t="str">
        <f>" "</f>
        <v xml:space="preserve"> </v>
      </c>
      <c r="J7" s="1" t="str">
        <f t="shared" ref="J7:J33" si="2">"卖出"</f>
        <v>卖出</v>
      </c>
      <c r="K7" s="1">
        <v>0</v>
      </c>
      <c r="L7" s="1">
        <v>0</v>
      </c>
      <c r="M7" s="1" t="str">
        <f>"122扣除金额 基金代码：940018,发生份额：9885.02"</f>
        <v>122扣除金额 基金代码：940018,发生份额：9885.02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tr">
        <f>"14950"</f>
        <v>14950</v>
      </c>
      <c r="B8" s="1" t="str">
        <f>"20200310"</f>
        <v>20200310</v>
      </c>
      <c r="C8" s="1" t="str">
        <f>"证券卖出"</f>
        <v>证券卖出</v>
      </c>
      <c r="D8" s="1" t="str">
        <f>"9886.02"</f>
        <v>9886.02</v>
      </c>
      <c r="E8" s="1">
        <v>1</v>
      </c>
      <c r="F8" s="1" t="str">
        <f t="shared" si="1"/>
        <v>人民币</v>
      </c>
      <c r="G8" s="1" t="str">
        <f>"0184500716"</f>
        <v>0184500716</v>
      </c>
      <c r="H8" s="1" t="str">
        <f>"159915"</f>
        <v>159915</v>
      </c>
      <c r="I8" s="1" t="str">
        <f>"创业板"</f>
        <v>创业板</v>
      </c>
      <c r="J8" s="1" t="str">
        <f t="shared" si="2"/>
        <v>卖出</v>
      </c>
      <c r="K8" s="1">
        <v>2.06</v>
      </c>
      <c r="L8" s="1">
        <v>-4800</v>
      </c>
      <c r="M8" s="1" t="str">
        <f>"证券卖出"</f>
        <v>证券卖出</v>
      </c>
      <c r="N8" s="1">
        <v>1.98</v>
      </c>
      <c r="O8" s="1">
        <v>0</v>
      </c>
      <c r="P8" s="1">
        <v>0</v>
      </c>
      <c r="Q8" s="1">
        <v>0</v>
      </c>
    </row>
    <row r="9" spans="1:17" x14ac:dyDescent="0.2">
      <c r="A9" s="1" t="str">
        <f>"1132"</f>
        <v>1132</v>
      </c>
      <c r="B9" s="1" t="str">
        <f>"20200311"</f>
        <v>20200311</v>
      </c>
      <c r="C9" s="1" t="str">
        <f>"资管转让资金上账"</f>
        <v>资管转让资金上账</v>
      </c>
      <c r="D9" s="1" t="str">
        <f>"9885.00"</f>
        <v>9885.00</v>
      </c>
      <c r="E9" s="1">
        <v>9886</v>
      </c>
      <c r="F9" s="1" t="str">
        <f t="shared" si="1"/>
        <v>人民币</v>
      </c>
      <c r="G9" s="1" t="str">
        <f t="shared" ref="G9:I12" si="3">" "</f>
        <v xml:space="preserve"> </v>
      </c>
      <c r="H9" s="1" t="str">
        <f t="shared" si="3"/>
        <v xml:space="preserve"> </v>
      </c>
      <c r="I9" s="1" t="str">
        <f t="shared" si="3"/>
        <v xml:space="preserve"> </v>
      </c>
      <c r="J9" s="1" t="str">
        <f t="shared" si="2"/>
        <v>卖出</v>
      </c>
      <c r="K9" s="1">
        <v>0</v>
      </c>
      <c r="L9" s="1">
        <v>0</v>
      </c>
      <c r="M9" s="1" t="str">
        <f>"快速取现退出资金拨入,产品代码940018,对方资产账户40000545correct_balance=0"</f>
        <v>快速取现退出资金拨入,产品代码940018,对方资产账户40000545correct_balance=0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tr">
        <f>"1135"</f>
        <v>1135</v>
      </c>
      <c r="B10" s="1" t="str">
        <f>"20200311"</f>
        <v>20200311</v>
      </c>
      <c r="C10" s="1" t="str">
        <f>"银行转取"</f>
        <v>银行转取</v>
      </c>
      <c r="D10" s="1" t="str">
        <f>"-9886.00"</f>
        <v>-9886.00</v>
      </c>
      <c r="E10" s="1">
        <v>0</v>
      </c>
      <c r="F10" s="1" t="str">
        <f t="shared" si="1"/>
        <v>人民币</v>
      </c>
      <c r="G10" s="1" t="str">
        <f t="shared" si="3"/>
        <v xml:space="preserve"> </v>
      </c>
      <c r="H10" s="1" t="str">
        <f t="shared" si="3"/>
        <v xml:space="preserve"> </v>
      </c>
      <c r="I10" s="1" t="str">
        <f t="shared" si="3"/>
        <v xml:space="preserve"> </v>
      </c>
      <c r="J10" s="1" t="str">
        <f t="shared" si="2"/>
        <v>卖出</v>
      </c>
      <c r="K10" s="1">
        <v>0</v>
      </c>
      <c r="L10" s="1">
        <v>0</v>
      </c>
      <c r="M10" s="1" t="str">
        <f>"银行返回码[ ]返回信息[0000 交易成功]|转账成功 转账账号:6225881012906292 correct_balance=9886"</f>
        <v>银行返回码[ ]返回信息[0000 交易成功]|转账成功 转账账号:6225881012906292 correct_balance=9886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">
      <c r="A11" s="1" t="str">
        <f>"3199"</f>
        <v>3199</v>
      </c>
      <c r="B11" s="1" t="str">
        <f>"20200311"</f>
        <v>20200311</v>
      </c>
      <c r="C11" s="1" t="str">
        <f>"基金资金拨入"</f>
        <v>基金资金拨入</v>
      </c>
      <c r="D11" s="1" t="str">
        <f>"0.46"</f>
        <v>0.46</v>
      </c>
      <c r="E11" s="1">
        <v>0.46</v>
      </c>
      <c r="F11" s="1" t="str">
        <f t="shared" si="1"/>
        <v>人民币</v>
      </c>
      <c r="G11" s="1" t="str">
        <f t="shared" si="3"/>
        <v xml:space="preserve"> </v>
      </c>
      <c r="H11" s="1" t="str">
        <f t="shared" si="3"/>
        <v xml:space="preserve"> </v>
      </c>
      <c r="I11" s="1" t="str">
        <f t="shared" si="3"/>
        <v xml:space="preserve"> </v>
      </c>
      <c r="J11" s="1" t="str">
        <f t="shared" si="2"/>
        <v>卖出</v>
      </c>
      <c r="K11" s="1">
        <v>0</v>
      </c>
      <c r="L11" s="1">
        <v>0</v>
      </c>
      <c r="M11" s="1" t="str">
        <f>"124增加金额 基金代码：940018,发生份额：.46"</f>
        <v>124增加金额 基金代码：940018,发生份额：.46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tr">
        <f>"4431"</f>
        <v>4431</v>
      </c>
      <c r="B12" s="1" t="str">
        <f>"20200313"</f>
        <v>20200313</v>
      </c>
      <c r="C12" s="1" t="str">
        <f>"基金资金拨出"</f>
        <v>基金资金拨出</v>
      </c>
      <c r="D12" s="1" t="str">
        <f>"-7634.13"</f>
        <v>-7634.13</v>
      </c>
      <c r="E12" s="1">
        <v>-7633.67</v>
      </c>
      <c r="F12" s="1" t="str">
        <f t="shared" si="1"/>
        <v>人民币</v>
      </c>
      <c r="G12" s="1" t="str">
        <f t="shared" si="3"/>
        <v xml:space="preserve"> </v>
      </c>
      <c r="H12" s="1" t="str">
        <f t="shared" si="3"/>
        <v xml:space="preserve"> </v>
      </c>
      <c r="I12" s="1" t="str">
        <f t="shared" si="3"/>
        <v xml:space="preserve"> </v>
      </c>
      <c r="J12" s="1" t="str">
        <f t="shared" si="2"/>
        <v>卖出</v>
      </c>
      <c r="K12" s="1">
        <v>0</v>
      </c>
      <c r="L12" s="1">
        <v>0</v>
      </c>
      <c r="M12" s="1" t="str">
        <f>"122扣除金额 基金代码：940018,发生份额：7634.13"</f>
        <v>122扣除金额 基金代码：940018,发生份额：7634.13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tr">
        <f>"8958"</f>
        <v>8958</v>
      </c>
      <c r="B13" s="1" t="str">
        <f>"20200313"</f>
        <v>20200313</v>
      </c>
      <c r="C13" s="1" t="str">
        <f>"证券卖出"</f>
        <v>证券卖出</v>
      </c>
      <c r="D13" s="1" t="str">
        <f>"7634.67"</f>
        <v>7634.67</v>
      </c>
      <c r="E13" s="1">
        <v>1</v>
      </c>
      <c r="F13" s="1" t="str">
        <f t="shared" si="1"/>
        <v>人民币</v>
      </c>
      <c r="G13" s="1" t="str">
        <f>"A280737240"</f>
        <v>A280737240</v>
      </c>
      <c r="H13" s="1" t="str">
        <f>"518880"</f>
        <v>518880</v>
      </c>
      <c r="I13" s="1" t="str">
        <f>"黄金ETF"</f>
        <v>黄金ETF</v>
      </c>
      <c r="J13" s="1" t="str">
        <f t="shared" si="2"/>
        <v>卖出</v>
      </c>
      <c r="K13" s="1">
        <v>3.4710000000000001</v>
      </c>
      <c r="L13" s="1">
        <v>-2200</v>
      </c>
      <c r="M13" s="1" t="str">
        <f>"证券卖出"</f>
        <v>证券卖出</v>
      </c>
      <c r="N13" s="1">
        <v>1.53</v>
      </c>
      <c r="O13" s="1">
        <v>0</v>
      </c>
      <c r="P13" s="1">
        <v>0</v>
      </c>
      <c r="Q13" s="1">
        <v>0</v>
      </c>
    </row>
    <row r="14" spans="1:17" x14ac:dyDescent="0.2">
      <c r="A14" s="1" t="str">
        <f>"1715"</f>
        <v>1715</v>
      </c>
      <c r="B14" s="1" t="str">
        <f>"20200316"</f>
        <v>20200316</v>
      </c>
      <c r="C14" s="1" t="str">
        <f>"资管转让资金上账"</f>
        <v>资管转让资金上账</v>
      </c>
      <c r="D14" s="1" t="str">
        <f>"7634.00"</f>
        <v>7634.00</v>
      </c>
      <c r="E14" s="1">
        <v>7635</v>
      </c>
      <c r="F14" s="1" t="str">
        <f t="shared" si="1"/>
        <v>人民币</v>
      </c>
      <c r="G14" s="1" t="str">
        <f t="shared" ref="G14:I15" si="4">" "</f>
        <v xml:space="preserve"> </v>
      </c>
      <c r="H14" s="1" t="str">
        <f t="shared" si="4"/>
        <v xml:space="preserve"> </v>
      </c>
      <c r="I14" s="1" t="str">
        <f t="shared" si="4"/>
        <v xml:space="preserve"> </v>
      </c>
      <c r="J14" s="1" t="str">
        <f t="shared" si="2"/>
        <v>卖出</v>
      </c>
      <c r="K14" s="1">
        <v>0</v>
      </c>
      <c r="L14" s="1">
        <v>0</v>
      </c>
      <c r="M14" s="1" t="str">
        <f>"快速取现退出资金拨入,产品代码940018,对方资产账户40000545correct_balance=0"</f>
        <v>快速取现退出资金拨入,产品代码940018,对方资产账户40000545correct_balance=0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tr">
        <f>"1718"</f>
        <v>1718</v>
      </c>
      <c r="B15" s="1" t="str">
        <f>"20200316"</f>
        <v>20200316</v>
      </c>
      <c r="C15" s="1" t="str">
        <f>"银行转取"</f>
        <v>银行转取</v>
      </c>
      <c r="D15" s="1" t="str">
        <f>"-7635.00"</f>
        <v>-7635.00</v>
      </c>
      <c r="E15" s="1">
        <v>0</v>
      </c>
      <c r="F15" s="1" t="str">
        <f t="shared" si="1"/>
        <v>人民币</v>
      </c>
      <c r="G15" s="1" t="str">
        <f t="shared" si="4"/>
        <v xml:space="preserve"> </v>
      </c>
      <c r="H15" s="1" t="str">
        <f t="shared" si="4"/>
        <v xml:space="preserve"> </v>
      </c>
      <c r="I15" s="1" t="str">
        <f t="shared" si="4"/>
        <v xml:space="preserve"> </v>
      </c>
      <c r="J15" s="1" t="str">
        <f t="shared" si="2"/>
        <v>卖出</v>
      </c>
      <c r="K15" s="1">
        <v>0</v>
      </c>
      <c r="L15" s="1">
        <v>0</v>
      </c>
      <c r="M15" s="1" t="str">
        <f>"银行返回码[ ]返回信息[0000 交易成功]|转账成功 转账账号:6225881012906292 correct_balance=7635"</f>
        <v>银行返回码[ ]返回信息[0000 交易成功]|转账成功 转账账号:6225881012906292 correct_balance=7635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tr">
        <f>"11582"</f>
        <v>11582</v>
      </c>
      <c r="B16" s="1" t="str">
        <f>"20200325"</f>
        <v>20200325</v>
      </c>
      <c r="C16" s="1" t="str">
        <f>"证券卖出"</f>
        <v>证券卖出</v>
      </c>
      <c r="D16" s="1" t="str">
        <f>"7092.98"</f>
        <v>7092.98</v>
      </c>
      <c r="E16" s="1">
        <v>7092.98</v>
      </c>
      <c r="F16" s="1" t="str">
        <f t="shared" si="1"/>
        <v>人民币</v>
      </c>
      <c r="G16" s="1" t="str">
        <f>"0184500716"</f>
        <v>0184500716</v>
      </c>
      <c r="H16" s="1" t="str">
        <f>"159938"</f>
        <v>159938</v>
      </c>
      <c r="I16" s="1" t="str">
        <f>"医药"</f>
        <v>医药</v>
      </c>
      <c r="J16" s="1" t="str">
        <f t="shared" si="2"/>
        <v>卖出</v>
      </c>
      <c r="K16" s="1">
        <v>1.478</v>
      </c>
      <c r="L16" s="1">
        <v>-4800</v>
      </c>
      <c r="M16" s="1" t="str">
        <f>"证券卖出"</f>
        <v>证券卖出</v>
      </c>
      <c r="N16" s="1">
        <v>1.42</v>
      </c>
      <c r="O16" s="1">
        <v>0</v>
      </c>
      <c r="P16" s="1">
        <v>0</v>
      </c>
      <c r="Q16" s="1">
        <v>0</v>
      </c>
    </row>
    <row r="17" spans="1:17" x14ac:dyDescent="0.2">
      <c r="A17" s="1" t="str">
        <f>"13211"</f>
        <v>13211</v>
      </c>
      <c r="B17" s="1" t="str">
        <f>"20200325"</f>
        <v>20200325</v>
      </c>
      <c r="C17" s="1" t="str">
        <f>"基金资金拨出"</f>
        <v>基金资金拨出</v>
      </c>
      <c r="D17" s="1" t="str">
        <f>"-7091.98"</f>
        <v>-7091.98</v>
      </c>
      <c r="E17" s="1">
        <v>1</v>
      </c>
      <c r="F17" s="1" t="str">
        <f t="shared" si="1"/>
        <v>人民币</v>
      </c>
      <c r="G17" s="1" t="str">
        <f>" "</f>
        <v xml:space="preserve"> </v>
      </c>
      <c r="H17" s="1" t="str">
        <f>" "</f>
        <v xml:space="preserve"> </v>
      </c>
      <c r="I17" s="1" t="str">
        <f>" "</f>
        <v xml:space="preserve"> </v>
      </c>
      <c r="J17" s="1" t="str">
        <f t="shared" si="2"/>
        <v>卖出</v>
      </c>
      <c r="K17" s="1">
        <v>0</v>
      </c>
      <c r="L17" s="1">
        <v>0</v>
      </c>
      <c r="M17" s="1" t="str">
        <f>"122扣除金额 基金代码：940018,发生份额：7091.98"</f>
        <v>122扣除金额 基金代码：940018,发生份额：7091.98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">
      <c r="A18" s="1" t="str">
        <f>"20570"</f>
        <v>20570</v>
      </c>
      <c r="B18" s="1" t="str">
        <f>"20200326"</f>
        <v>20200326</v>
      </c>
      <c r="C18" s="1" t="str">
        <f>"基金资金拨出"</f>
        <v>基金资金拨出</v>
      </c>
      <c r="D18" s="1" t="str">
        <f>"-1.00"</f>
        <v>-1.00</v>
      </c>
      <c r="E18" s="1">
        <v>0</v>
      </c>
      <c r="F18" s="1" t="str">
        <f t="shared" si="1"/>
        <v>人民币</v>
      </c>
      <c r="G18" s="1" t="str">
        <f t="shared" ref="G18:I21" si="5">" "</f>
        <v xml:space="preserve"> </v>
      </c>
      <c r="H18" s="1" t="str">
        <f t="shared" si="5"/>
        <v xml:space="preserve"> </v>
      </c>
      <c r="I18" s="1" t="str">
        <f t="shared" si="5"/>
        <v xml:space="preserve"> </v>
      </c>
      <c r="J18" s="1" t="str">
        <f t="shared" si="2"/>
        <v>卖出</v>
      </c>
      <c r="K18" s="1">
        <v>0</v>
      </c>
      <c r="L18" s="1">
        <v>0</v>
      </c>
      <c r="M18" s="1" t="str">
        <f>"122扣除金额 基金代码：940018,发生份额：1"</f>
        <v>122扣除金额 基金代码：940018,发生份额：1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">
      <c r="A19" s="1" t="str">
        <f>"761"</f>
        <v>761</v>
      </c>
      <c r="B19" s="1" t="str">
        <f>"20200428"</f>
        <v>20200428</v>
      </c>
      <c r="C19" s="1" t="str">
        <f>"资管转让资金上账"</f>
        <v>资管转让资金上账</v>
      </c>
      <c r="D19" s="1" t="str">
        <f>"7093.00"</f>
        <v>7093.00</v>
      </c>
      <c r="E19" s="1">
        <v>7093</v>
      </c>
      <c r="F19" s="1" t="str">
        <f t="shared" si="1"/>
        <v>人民币</v>
      </c>
      <c r="G19" s="1" t="str">
        <f t="shared" si="5"/>
        <v xml:space="preserve"> </v>
      </c>
      <c r="H19" s="1" t="str">
        <f t="shared" si="5"/>
        <v xml:space="preserve"> </v>
      </c>
      <c r="I19" s="1" t="str">
        <f t="shared" si="5"/>
        <v xml:space="preserve"> </v>
      </c>
      <c r="J19" s="1" t="str">
        <f t="shared" si="2"/>
        <v>卖出</v>
      </c>
      <c r="K19" s="1">
        <v>0</v>
      </c>
      <c r="L19" s="1">
        <v>0</v>
      </c>
      <c r="M19" s="1" t="str">
        <f>"快速取现退出资金拨入,产品代码940018,对方资产账户40000545correct_balance=0"</f>
        <v>快速取现退出资金拨入,产品代码940018,对方资产账户40000545correct_balance=0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tr">
        <f>"764"</f>
        <v>764</v>
      </c>
      <c r="B20" s="1" t="str">
        <f>"20200428"</f>
        <v>20200428</v>
      </c>
      <c r="C20" s="1" t="str">
        <f>"银行转取"</f>
        <v>银行转取</v>
      </c>
      <c r="D20" s="1" t="str">
        <f>"-7093.00"</f>
        <v>-7093.00</v>
      </c>
      <c r="E20" s="1">
        <v>0</v>
      </c>
      <c r="F20" s="1" t="str">
        <f t="shared" si="1"/>
        <v>人民币</v>
      </c>
      <c r="G20" s="1" t="str">
        <f t="shared" si="5"/>
        <v xml:space="preserve"> </v>
      </c>
      <c r="H20" s="1" t="str">
        <f t="shared" si="5"/>
        <v xml:space="preserve"> </v>
      </c>
      <c r="I20" s="1" t="str">
        <f t="shared" si="5"/>
        <v xml:space="preserve"> </v>
      </c>
      <c r="J20" s="1" t="str">
        <f t="shared" si="2"/>
        <v>卖出</v>
      </c>
      <c r="K20" s="1">
        <v>0</v>
      </c>
      <c r="L20" s="1">
        <v>0</v>
      </c>
      <c r="M20" s="1" t="str">
        <f>"银行返回码[ ]返回信息[0000 交易成功]|转账成功 转账账号:6225881012906292 correct_balance=7093"</f>
        <v>银行返回码[ ]返回信息[0000 交易成功]|转账成功 转账账号:6225881012906292 correct_balance=7093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">
      <c r="A21" s="1" t="str">
        <f>"5677"</f>
        <v>5677</v>
      </c>
      <c r="B21" s="1" t="str">
        <f>"20200428"</f>
        <v>20200428</v>
      </c>
      <c r="C21" s="1" t="str">
        <f>"证券卖出"</f>
        <v>证券卖出</v>
      </c>
      <c r="D21" s="1" t="str">
        <f>"22865.23"</f>
        <v>22865.23</v>
      </c>
      <c r="E21" s="1">
        <v>22865.23</v>
      </c>
      <c r="F21" s="1" t="str">
        <f t="shared" si="1"/>
        <v>人民币</v>
      </c>
      <c r="G21" s="1" t="str">
        <f>"A280737240"</f>
        <v>A280737240</v>
      </c>
      <c r="H21" s="1" t="str">
        <f>"510500"</f>
        <v>510500</v>
      </c>
      <c r="I21" s="1" t="str">
        <f>"500ETF"</f>
        <v>500ETF</v>
      </c>
      <c r="J21" s="1" t="str">
        <f t="shared" si="2"/>
        <v>卖出</v>
      </c>
      <c r="K21" s="1">
        <v>5.5780000000000003</v>
      </c>
      <c r="L21" s="1">
        <v>-4100</v>
      </c>
      <c r="M21" s="1" t="str">
        <f>"证券卖出"</f>
        <v>证券卖出</v>
      </c>
      <c r="N21" s="1">
        <v>4.57</v>
      </c>
      <c r="O21" s="1">
        <v>0</v>
      </c>
      <c r="P21" s="1">
        <v>0</v>
      </c>
      <c r="Q21" s="1">
        <v>0</v>
      </c>
    </row>
    <row r="22" spans="1:17" x14ac:dyDescent="0.2">
      <c r="A22" s="1" t="str">
        <f>"5678"</f>
        <v>5678</v>
      </c>
      <c r="B22" s="1" t="str">
        <f>"20200428"</f>
        <v>20200428</v>
      </c>
      <c r="C22" s="1" t="str">
        <f>"证券卖出"</f>
        <v>证券卖出</v>
      </c>
      <c r="D22" s="1" t="str">
        <f>"2522.90"</f>
        <v>2522.90</v>
      </c>
      <c r="E22" s="1">
        <v>25388.13</v>
      </c>
      <c r="F22" s="1" t="str">
        <f t="shared" si="1"/>
        <v>人民币</v>
      </c>
      <c r="G22" s="1" t="str">
        <f>"A280737240"</f>
        <v>A280737240</v>
      </c>
      <c r="H22" s="1" t="str">
        <f>"512980"</f>
        <v>512980</v>
      </c>
      <c r="I22" s="1" t="str">
        <f>"传媒ETF"</f>
        <v>传媒ETF</v>
      </c>
      <c r="J22" s="1" t="str">
        <f t="shared" si="2"/>
        <v>卖出</v>
      </c>
      <c r="K22" s="1">
        <v>0.81399999999999995</v>
      </c>
      <c r="L22" s="1">
        <v>-3100</v>
      </c>
      <c r="M22" s="1" t="str">
        <f>"证券卖出"</f>
        <v>证券卖出</v>
      </c>
      <c r="N22" s="1">
        <v>0.5</v>
      </c>
      <c r="O22" s="1">
        <v>0</v>
      </c>
      <c r="P22" s="1">
        <v>0</v>
      </c>
      <c r="Q22" s="1">
        <v>0</v>
      </c>
    </row>
    <row r="23" spans="1:17" x14ac:dyDescent="0.2">
      <c r="A23" s="1" t="str">
        <f>"17368"</f>
        <v>17368</v>
      </c>
      <c r="B23" s="1" t="str">
        <f>"20200428"</f>
        <v>20200428</v>
      </c>
      <c r="C23" s="1" t="str">
        <f>"基金资金拨出"</f>
        <v>基金资金拨出</v>
      </c>
      <c r="D23" s="1" t="str">
        <f>"-25387.13"</f>
        <v>-25387.13</v>
      </c>
      <c r="E23" s="1">
        <v>1</v>
      </c>
      <c r="F23" s="1" t="str">
        <f t="shared" si="1"/>
        <v>人民币</v>
      </c>
      <c r="G23" s="1" t="str">
        <f t="shared" ref="G23:I26" si="6">" "</f>
        <v xml:space="preserve"> </v>
      </c>
      <c r="H23" s="1" t="str">
        <f t="shared" si="6"/>
        <v xml:space="preserve"> </v>
      </c>
      <c r="I23" s="1" t="str">
        <f t="shared" si="6"/>
        <v xml:space="preserve"> </v>
      </c>
      <c r="J23" s="1" t="str">
        <f t="shared" si="2"/>
        <v>卖出</v>
      </c>
      <c r="K23" s="1">
        <v>0</v>
      </c>
      <c r="L23" s="1">
        <v>0</v>
      </c>
      <c r="M23" s="1" t="str">
        <f>"122扣除金额 基金代码：940018,发生份额：25387.13"</f>
        <v>122扣除金额 基金代码：940018,发生份额：25387.13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">
      <c r="A24" s="1" t="str">
        <f>"495"</f>
        <v>495</v>
      </c>
      <c r="B24" s="1" t="str">
        <f>"20200429"</f>
        <v>20200429</v>
      </c>
      <c r="C24" s="1" t="str">
        <f>"资管转让资金上账"</f>
        <v>资管转让资金上账</v>
      </c>
      <c r="D24" s="1" t="str">
        <f>"25397.00"</f>
        <v>25397.00</v>
      </c>
      <c r="E24" s="1">
        <v>25398</v>
      </c>
      <c r="F24" s="1" t="str">
        <f t="shared" si="1"/>
        <v>人民币</v>
      </c>
      <c r="G24" s="1" t="str">
        <f t="shared" si="6"/>
        <v xml:space="preserve"> </v>
      </c>
      <c r="H24" s="1" t="str">
        <f t="shared" si="6"/>
        <v xml:space="preserve"> </v>
      </c>
      <c r="I24" s="1" t="str">
        <f t="shared" si="6"/>
        <v xml:space="preserve"> </v>
      </c>
      <c r="J24" s="1" t="str">
        <f t="shared" si="2"/>
        <v>卖出</v>
      </c>
      <c r="K24" s="1">
        <v>0</v>
      </c>
      <c r="L24" s="1">
        <v>0</v>
      </c>
      <c r="M24" s="1" t="str">
        <f>"快速取现退出资金拨入,产品代码940018,对方资产账户40000545correct_balance=0"</f>
        <v>快速取现退出资金拨入,产品代码940018,对方资产账户40000545correct_balance=0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tr">
        <f>"499"</f>
        <v>499</v>
      </c>
      <c r="B25" s="1" t="str">
        <f>"20200429"</f>
        <v>20200429</v>
      </c>
      <c r="C25" s="1" t="str">
        <f>"银行转取"</f>
        <v>银行转取</v>
      </c>
      <c r="D25" s="1" t="str">
        <f>"-25398.00"</f>
        <v>-25398.00</v>
      </c>
      <c r="E25" s="1">
        <v>0</v>
      </c>
      <c r="F25" s="1" t="str">
        <f t="shared" si="1"/>
        <v>人民币</v>
      </c>
      <c r="G25" s="1" t="str">
        <f t="shared" si="6"/>
        <v xml:space="preserve"> </v>
      </c>
      <c r="H25" s="1" t="str">
        <f t="shared" si="6"/>
        <v xml:space="preserve"> </v>
      </c>
      <c r="I25" s="1" t="str">
        <f t="shared" si="6"/>
        <v xml:space="preserve"> </v>
      </c>
      <c r="J25" s="1" t="str">
        <f t="shared" si="2"/>
        <v>卖出</v>
      </c>
      <c r="K25" s="1">
        <v>0</v>
      </c>
      <c r="L25" s="1">
        <v>0</v>
      </c>
      <c r="M25" s="1" t="str">
        <f>"银行返回码[ ]返回信息[0000 交易成功]|转账成功 转账账号:6225881012906292 correct_balance=25398"</f>
        <v>银行返回码[ ]返回信息[0000 交易成功]|转账成功 转账账号:6225881012906292 correct_balance=25398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">
      <c r="A26" s="1" t="str">
        <f>"14651"</f>
        <v>14651</v>
      </c>
      <c r="B26" s="1" t="str">
        <f>"20200429"</f>
        <v>20200429</v>
      </c>
      <c r="C26" s="1" t="str">
        <f>"基金资金拨入"</f>
        <v>基金资金拨入</v>
      </c>
      <c r="D26" s="1" t="str">
        <f>"0.35"</f>
        <v>0.35</v>
      </c>
      <c r="E26" s="1">
        <v>0.35</v>
      </c>
      <c r="F26" s="1" t="str">
        <f t="shared" si="1"/>
        <v>人民币</v>
      </c>
      <c r="G26" s="1" t="str">
        <f t="shared" si="6"/>
        <v xml:space="preserve"> </v>
      </c>
      <c r="H26" s="1" t="str">
        <f t="shared" si="6"/>
        <v xml:space="preserve"> </v>
      </c>
      <c r="I26" s="1" t="str">
        <f t="shared" si="6"/>
        <v xml:space="preserve"> </v>
      </c>
      <c r="J26" s="1" t="str">
        <f t="shared" si="2"/>
        <v>卖出</v>
      </c>
      <c r="K26" s="1">
        <v>0</v>
      </c>
      <c r="L26" s="1">
        <v>0</v>
      </c>
      <c r="M26" s="1" t="str">
        <f>"124增加金额 基金代码：940018,发生份额：.35"</f>
        <v>124增加金额 基金代码：940018,发生份额：.35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">
      <c r="A27" s="1" t="str">
        <f>"7761"</f>
        <v>7761</v>
      </c>
      <c r="B27" s="1" t="str">
        <f>"20200430"</f>
        <v>20200430</v>
      </c>
      <c r="C27" s="1" t="str">
        <f>"证券卖出"</f>
        <v>证券卖出</v>
      </c>
      <c r="D27" s="1" t="str">
        <f>"50334.73"</f>
        <v>50334.73</v>
      </c>
      <c r="E27" s="1">
        <v>50335.08</v>
      </c>
      <c r="F27" s="1" t="str">
        <f t="shared" si="1"/>
        <v>人民币</v>
      </c>
      <c r="G27" s="1" t="str">
        <f>"A280737240"</f>
        <v>A280737240</v>
      </c>
      <c r="H27" s="1" t="str">
        <f>"510500"</f>
        <v>510500</v>
      </c>
      <c r="I27" s="1" t="str">
        <f>"500ETF"</f>
        <v>500ETF</v>
      </c>
      <c r="J27" s="1" t="str">
        <f t="shared" si="2"/>
        <v>卖出</v>
      </c>
      <c r="K27" s="1">
        <v>5.7210000000000001</v>
      </c>
      <c r="L27" s="1">
        <v>-8800</v>
      </c>
      <c r="M27" s="1" t="str">
        <f>"证券卖出"</f>
        <v>证券卖出</v>
      </c>
      <c r="N27" s="1">
        <v>10.07</v>
      </c>
      <c r="O27" s="1">
        <v>0</v>
      </c>
      <c r="P27" s="1">
        <v>0</v>
      </c>
      <c r="Q27" s="1">
        <v>0</v>
      </c>
    </row>
    <row r="28" spans="1:17" x14ac:dyDescent="0.2">
      <c r="A28" s="1" t="str">
        <f>"7762"</f>
        <v>7762</v>
      </c>
      <c r="B28" s="1" t="str">
        <f>"20200430"</f>
        <v>20200430</v>
      </c>
      <c r="C28" s="1" t="str">
        <f>"证券卖出"</f>
        <v>证券卖出</v>
      </c>
      <c r="D28" s="1" t="str">
        <f>"2527.29"</f>
        <v>2527.29</v>
      </c>
      <c r="E28" s="1">
        <v>52862.37</v>
      </c>
      <c r="F28" s="1" t="str">
        <f t="shared" si="1"/>
        <v>人民币</v>
      </c>
      <c r="G28" s="1" t="str">
        <f>"A280737240"</f>
        <v>A280737240</v>
      </c>
      <c r="H28" s="1" t="str">
        <f>"512580"</f>
        <v>512580</v>
      </c>
      <c r="I28" s="1" t="str">
        <f>"环保ETF"</f>
        <v>环保ETF</v>
      </c>
      <c r="J28" s="1" t="str">
        <f t="shared" si="2"/>
        <v>卖出</v>
      </c>
      <c r="K28" s="1">
        <v>0.76600000000000001</v>
      </c>
      <c r="L28" s="1">
        <v>-3300</v>
      </c>
      <c r="M28" s="1" t="str">
        <f>"证券卖出"</f>
        <v>证券卖出</v>
      </c>
      <c r="N28" s="1">
        <v>0.51</v>
      </c>
      <c r="O28" s="1">
        <v>0</v>
      </c>
      <c r="P28" s="1">
        <v>0</v>
      </c>
      <c r="Q28" s="1">
        <v>0</v>
      </c>
    </row>
    <row r="29" spans="1:17" x14ac:dyDescent="0.2">
      <c r="A29" s="1" t="str">
        <f>"7763"</f>
        <v>7763</v>
      </c>
      <c r="B29" s="1" t="str">
        <f>"20200430"</f>
        <v>20200430</v>
      </c>
      <c r="C29" s="1" t="str">
        <f>"证券卖出"</f>
        <v>证券卖出</v>
      </c>
      <c r="D29" s="1" t="str">
        <f>"10349.73"</f>
        <v>10349.73</v>
      </c>
      <c r="E29" s="1">
        <v>63212.1</v>
      </c>
      <c r="F29" s="1" t="str">
        <f t="shared" si="1"/>
        <v>人民币</v>
      </c>
      <c r="G29" s="1" t="str">
        <f>"A280737240"</f>
        <v>A280737240</v>
      </c>
      <c r="H29" s="1" t="str">
        <f>"510500"</f>
        <v>510500</v>
      </c>
      <c r="I29" s="1" t="str">
        <f>"500ETF"</f>
        <v>500ETF</v>
      </c>
      <c r="J29" s="1" t="str">
        <f t="shared" si="2"/>
        <v>卖出</v>
      </c>
      <c r="K29" s="1">
        <v>5.7510000000000003</v>
      </c>
      <c r="L29" s="1">
        <v>-1800</v>
      </c>
      <c r="M29" s="1" t="str">
        <f>"证券卖出"</f>
        <v>证券卖出</v>
      </c>
      <c r="N29" s="1">
        <v>2.0699999999999998</v>
      </c>
      <c r="O29" s="1">
        <v>0</v>
      </c>
      <c r="P29" s="1">
        <v>0</v>
      </c>
      <c r="Q29" s="1">
        <v>0</v>
      </c>
    </row>
    <row r="30" spans="1:17" x14ac:dyDescent="0.2">
      <c r="A30" s="1" t="str">
        <f>"22535"</f>
        <v>22535</v>
      </c>
      <c r="B30" s="1" t="str">
        <f>"20200430"</f>
        <v>20200430</v>
      </c>
      <c r="C30" s="1" t="str">
        <f>"基金资金拨出"</f>
        <v>基金资金拨出</v>
      </c>
      <c r="D30" s="1" t="str">
        <f>"-63210.75"</f>
        <v>-63210.75</v>
      </c>
      <c r="E30" s="1">
        <v>1.35</v>
      </c>
      <c r="F30" s="1" t="str">
        <f t="shared" si="1"/>
        <v>人民币</v>
      </c>
      <c r="G30" s="1" t="str">
        <f t="shared" ref="G30:I33" si="7">" "</f>
        <v xml:space="preserve"> </v>
      </c>
      <c r="H30" s="1" t="str">
        <f t="shared" si="7"/>
        <v xml:space="preserve"> </v>
      </c>
      <c r="I30" s="1" t="str">
        <f t="shared" si="7"/>
        <v xml:space="preserve"> </v>
      </c>
      <c r="J30" s="1" t="str">
        <f t="shared" si="2"/>
        <v>卖出</v>
      </c>
      <c r="K30" s="1">
        <v>0</v>
      </c>
      <c r="L30" s="1">
        <v>0</v>
      </c>
      <c r="M30" s="1" t="str">
        <f>"122扣除金额 基金代码：940018,发生份额：63210.75"</f>
        <v>122扣除金额 基金代码：940018,发生份额：63210.75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tr">
        <f>"1079"</f>
        <v>1079</v>
      </c>
      <c r="B31" s="1" t="str">
        <f>"20200506"</f>
        <v>20200506</v>
      </c>
      <c r="C31" s="1" t="str">
        <f>"资管转让资金上账"</f>
        <v>资管转让资金上账</v>
      </c>
      <c r="D31" s="1" t="str">
        <f>"63210.00"</f>
        <v>63210.00</v>
      </c>
      <c r="E31" s="1">
        <v>63211.35</v>
      </c>
      <c r="F31" s="1" t="str">
        <f t="shared" si="1"/>
        <v>人民币</v>
      </c>
      <c r="G31" s="1" t="str">
        <f t="shared" si="7"/>
        <v xml:space="preserve"> </v>
      </c>
      <c r="H31" s="1" t="str">
        <f t="shared" si="7"/>
        <v xml:space="preserve"> </v>
      </c>
      <c r="I31" s="1" t="str">
        <f t="shared" si="7"/>
        <v xml:space="preserve"> </v>
      </c>
      <c r="J31" s="1" t="str">
        <f t="shared" si="2"/>
        <v>卖出</v>
      </c>
      <c r="K31" s="1">
        <v>0</v>
      </c>
      <c r="L31" s="1">
        <v>0</v>
      </c>
      <c r="M31" s="1" t="str">
        <f>"快速取现退出资金拨入,产品代码940018,对方资产账户40000545correct_balance=0"</f>
        <v>快速取现退出资金拨入,产品代码940018,对方资产账户40000545correct_balance=0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2">
      <c r="A32" s="1" t="str">
        <f>"1082"</f>
        <v>1082</v>
      </c>
      <c r="B32" s="1" t="str">
        <f>"20200506"</f>
        <v>20200506</v>
      </c>
      <c r="C32" s="1" t="str">
        <f>"银行转取"</f>
        <v>银行转取</v>
      </c>
      <c r="D32" s="1" t="str">
        <f>"-63211.35"</f>
        <v>-63211.35</v>
      </c>
      <c r="E32" s="1">
        <v>0</v>
      </c>
      <c r="F32" s="1" t="str">
        <f t="shared" si="1"/>
        <v>人民币</v>
      </c>
      <c r="G32" s="1" t="str">
        <f t="shared" si="7"/>
        <v xml:space="preserve"> </v>
      </c>
      <c r="H32" s="1" t="str">
        <f t="shared" si="7"/>
        <v xml:space="preserve"> </v>
      </c>
      <c r="I32" s="1" t="str">
        <f t="shared" si="7"/>
        <v xml:space="preserve"> </v>
      </c>
      <c r="J32" s="1" t="str">
        <f t="shared" si="2"/>
        <v>卖出</v>
      </c>
      <c r="K32" s="1">
        <v>0</v>
      </c>
      <c r="L32" s="1">
        <v>0</v>
      </c>
      <c r="M32" s="1" t="str">
        <f>"银行返回码[ ]返回信息[0000 交易成功]|转账成功 转账账号:6225881012906292 correct_balance=63211.35"</f>
        <v>银行返回码[ ]返回信息[0000 交易成功]|转账成功 转账账号:6225881012906292 correct_balance=63211.35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">
      <c r="A33" s="1" t="str">
        <f>"9617"</f>
        <v>9617</v>
      </c>
      <c r="B33" s="1" t="str">
        <f>"20200506"</f>
        <v>20200506</v>
      </c>
      <c r="C33" s="1" t="str">
        <f>"基金资金拨入"</f>
        <v>基金资金拨入</v>
      </c>
      <c r="D33" s="1" t="str">
        <f>"0.75"</f>
        <v>0.75</v>
      </c>
      <c r="E33" s="1">
        <v>0.75</v>
      </c>
      <c r="F33" s="1" t="str">
        <f t="shared" si="1"/>
        <v>人民币</v>
      </c>
      <c r="G33" s="1" t="str">
        <f t="shared" si="7"/>
        <v xml:space="preserve"> </v>
      </c>
      <c r="H33" s="1" t="str">
        <f t="shared" si="7"/>
        <v xml:space="preserve"> </v>
      </c>
      <c r="I33" s="1" t="str">
        <f t="shared" si="7"/>
        <v xml:space="preserve"> </v>
      </c>
      <c r="J33" s="1" t="str">
        <f t="shared" si="2"/>
        <v>卖出</v>
      </c>
      <c r="K33" s="1">
        <v>0</v>
      </c>
      <c r="L33" s="1">
        <v>0</v>
      </c>
      <c r="M33" s="1" t="str">
        <f>"124增加金额 基金代码：940018,发生份额：.75"</f>
        <v>124增加金额 基金代码：940018,发生份额：.75</v>
      </c>
      <c r="N33" s="1">
        <v>0</v>
      </c>
      <c r="O33" s="1">
        <v>0</v>
      </c>
      <c r="P33" s="1">
        <v>0</v>
      </c>
      <c r="Q3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2020-05-07T12:55:57Z</dcterms:modified>
</cp:coreProperties>
</file>