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hub\deal-record\spider\huatai\input\"/>
    </mc:Choice>
  </mc:AlternateContent>
  <xr:revisionPtr revIDLastSave="0" documentId="13_ncr:1_{E794441D-F2E3-46A8-B08E-2622AA17928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1" l="1"/>
  <c r="J55" i="1"/>
  <c r="I55" i="1"/>
  <c r="H55" i="1"/>
  <c r="G55" i="1"/>
  <c r="F55" i="1"/>
  <c r="D55" i="1"/>
  <c r="C55" i="1"/>
  <c r="B55" i="1"/>
  <c r="A55" i="1"/>
  <c r="M54" i="1"/>
  <c r="J54" i="1"/>
  <c r="I54" i="1"/>
  <c r="H54" i="1"/>
  <c r="G54" i="1"/>
  <c r="F54" i="1"/>
  <c r="D54" i="1"/>
  <c r="C54" i="1"/>
  <c r="B54" i="1"/>
  <c r="A54" i="1"/>
  <c r="M53" i="1"/>
  <c r="J53" i="1"/>
  <c r="I53" i="1"/>
  <c r="H53" i="1"/>
  <c r="G53" i="1"/>
  <c r="F53" i="1"/>
  <c r="D53" i="1"/>
  <c r="C53" i="1"/>
  <c r="B53" i="1"/>
  <c r="A53" i="1"/>
  <c r="M52" i="1"/>
  <c r="J52" i="1"/>
  <c r="I52" i="1"/>
  <c r="H52" i="1"/>
  <c r="G52" i="1"/>
  <c r="F52" i="1"/>
  <c r="D52" i="1"/>
  <c r="C52" i="1"/>
  <c r="B52" i="1"/>
  <c r="A52" i="1"/>
  <c r="M51" i="1"/>
  <c r="J51" i="1"/>
  <c r="I51" i="1"/>
  <c r="H51" i="1"/>
  <c r="G51" i="1"/>
  <c r="F51" i="1"/>
  <c r="D51" i="1"/>
  <c r="C51" i="1"/>
  <c r="B51" i="1"/>
  <c r="A51" i="1"/>
  <c r="M50" i="1"/>
  <c r="J50" i="1"/>
  <c r="I50" i="1"/>
  <c r="H50" i="1"/>
  <c r="G50" i="1"/>
  <c r="F50" i="1"/>
  <c r="D50" i="1"/>
  <c r="C50" i="1"/>
  <c r="B50" i="1"/>
  <c r="A50" i="1"/>
  <c r="M49" i="1"/>
  <c r="J49" i="1"/>
  <c r="I49" i="1"/>
  <c r="H49" i="1"/>
  <c r="G49" i="1"/>
  <c r="F49" i="1"/>
  <c r="D49" i="1"/>
  <c r="C49" i="1"/>
  <c r="B49" i="1"/>
  <c r="A49" i="1"/>
  <c r="M48" i="1"/>
  <c r="J48" i="1"/>
  <c r="I48" i="1"/>
  <c r="H48" i="1"/>
  <c r="G48" i="1"/>
  <c r="F48" i="1"/>
  <c r="D48" i="1"/>
  <c r="C48" i="1"/>
  <c r="B48" i="1"/>
  <c r="A48" i="1"/>
  <c r="M47" i="1"/>
  <c r="J47" i="1"/>
  <c r="I47" i="1"/>
  <c r="H47" i="1"/>
  <c r="G47" i="1"/>
  <c r="F47" i="1"/>
  <c r="D47" i="1"/>
  <c r="C47" i="1"/>
  <c r="B47" i="1"/>
  <c r="A47" i="1"/>
  <c r="M46" i="1"/>
  <c r="J46" i="1"/>
  <c r="I46" i="1"/>
  <c r="H46" i="1"/>
  <c r="G46" i="1"/>
  <c r="F46" i="1"/>
  <c r="D46" i="1"/>
  <c r="C46" i="1"/>
  <c r="B46" i="1"/>
  <c r="A46" i="1"/>
  <c r="M45" i="1"/>
  <c r="J45" i="1"/>
  <c r="I45" i="1"/>
  <c r="H45" i="1"/>
  <c r="G45" i="1"/>
  <c r="F45" i="1"/>
  <c r="D45" i="1"/>
  <c r="C45" i="1"/>
  <c r="B45" i="1"/>
  <c r="A45" i="1"/>
  <c r="M44" i="1"/>
  <c r="J44" i="1"/>
  <c r="I44" i="1"/>
  <c r="H44" i="1"/>
  <c r="G44" i="1"/>
  <c r="F44" i="1"/>
  <c r="D44" i="1"/>
  <c r="C44" i="1"/>
  <c r="B44" i="1"/>
  <c r="A44" i="1"/>
  <c r="M43" i="1"/>
  <c r="J43" i="1"/>
  <c r="I43" i="1"/>
  <c r="H43" i="1"/>
  <c r="G43" i="1"/>
  <c r="F43" i="1"/>
  <c r="D43" i="1"/>
  <c r="C43" i="1"/>
  <c r="B43" i="1"/>
  <c r="A43" i="1"/>
  <c r="M42" i="1"/>
  <c r="J42" i="1"/>
  <c r="I42" i="1"/>
  <c r="H42" i="1"/>
  <c r="G42" i="1"/>
  <c r="F42" i="1"/>
  <c r="D42" i="1"/>
  <c r="C42" i="1"/>
  <c r="B42" i="1"/>
  <c r="A42" i="1"/>
  <c r="M41" i="1"/>
  <c r="J41" i="1"/>
  <c r="I41" i="1"/>
  <c r="H41" i="1"/>
  <c r="G41" i="1"/>
  <c r="F41" i="1"/>
  <c r="D41" i="1"/>
  <c r="C41" i="1"/>
  <c r="B41" i="1"/>
  <c r="A41" i="1"/>
  <c r="M40" i="1"/>
  <c r="J40" i="1"/>
  <c r="I40" i="1"/>
  <c r="H40" i="1"/>
  <c r="G40" i="1"/>
  <c r="F40" i="1"/>
  <c r="D40" i="1"/>
  <c r="C40" i="1"/>
  <c r="B40" i="1"/>
  <c r="A40" i="1"/>
  <c r="M39" i="1"/>
  <c r="J39" i="1"/>
  <c r="I39" i="1"/>
  <c r="H39" i="1"/>
  <c r="G39" i="1"/>
  <c r="F39" i="1"/>
  <c r="D39" i="1"/>
  <c r="C39" i="1"/>
  <c r="B39" i="1"/>
  <c r="A39" i="1"/>
  <c r="M38" i="1"/>
  <c r="J38" i="1"/>
  <c r="I38" i="1"/>
  <c r="H38" i="1"/>
  <c r="G38" i="1"/>
  <c r="F38" i="1"/>
  <c r="D38" i="1"/>
  <c r="C38" i="1"/>
  <c r="B38" i="1"/>
  <c r="A38" i="1"/>
  <c r="M37" i="1"/>
  <c r="J37" i="1"/>
  <c r="I37" i="1"/>
  <c r="H37" i="1"/>
  <c r="G37" i="1"/>
  <c r="F37" i="1"/>
  <c r="D37" i="1"/>
  <c r="C37" i="1"/>
  <c r="B37" i="1"/>
  <c r="A37" i="1"/>
  <c r="M36" i="1"/>
  <c r="J36" i="1"/>
  <c r="I36" i="1"/>
  <c r="H36" i="1"/>
  <c r="G36" i="1"/>
  <c r="F36" i="1"/>
  <c r="D36" i="1"/>
  <c r="C36" i="1"/>
  <c r="B36" i="1"/>
  <c r="A36" i="1"/>
  <c r="M35" i="1"/>
  <c r="J35" i="1"/>
  <c r="I35" i="1"/>
  <c r="H35" i="1"/>
  <c r="G35" i="1"/>
  <c r="F35" i="1"/>
  <c r="D35" i="1"/>
  <c r="C35" i="1"/>
  <c r="B35" i="1"/>
  <c r="A35" i="1"/>
  <c r="M34" i="1"/>
  <c r="J34" i="1"/>
  <c r="I34" i="1"/>
  <c r="H34" i="1"/>
  <c r="G34" i="1"/>
  <c r="F34" i="1"/>
  <c r="D34" i="1"/>
  <c r="C34" i="1"/>
  <c r="B34" i="1"/>
  <c r="A34" i="1"/>
  <c r="M33" i="1" l="1"/>
  <c r="J33" i="1"/>
  <c r="I33" i="1"/>
  <c r="H33" i="1"/>
  <c r="G33" i="1"/>
  <c r="F33" i="1"/>
  <c r="D33" i="1"/>
  <c r="C33" i="1"/>
  <c r="B33" i="1"/>
  <c r="A33" i="1"/>
  <c r="M32" i="1"/>
  <c r="J32" i="1"/>
  <c r="I32" i="1"/>
  <c r="H32" i="1"/>
  <c r="G32" i="1"/>
  <c r="F32" i="1"/>
  <c r="D32" i="1"/>
  <c r="C32" i="1"/>
  <c r="B32" i="1"/>
  <c r="A32" i="1"/>
  <c r="M31" i="1"/>
  <c r="J31" i="1"/>
  <c r="I31" i="1"/>
  <c r="H31" i="1"/>
  <c r="G31" i="1"/>
  <c r="F31" i="1"/>
  <c r="D31" i="1"/>
  <c r="C31" i="1"/>
  <c r="B31" i="1"/>
  <c r="A31" i="1"/>
  <c r="M30" i="1"/>
  <c r="J30" i="1"/>
  <c r="I30" i="1"/>
  <c r="H30" i="1"/>
  <c r="G30" i="1"/>
  <c r="F30" i="1"/>
  <c r="D30" i="1"/>
  <c r="C30" i="1"/>
  <c r="B30" i="1"/>
  <c r="A30" i="1"/>
  <c r="M29" i="1"/>
  <c r="J29" i="1"/>
  <c r="I29" i="1"/>
  <c r="H29" i="1"/>
  <c r="G29" i="1"/>
  <c r="F29" i="1"/>
  <c r="D29" i="1"/>
  <c r="C29" i="1"/>
  <c r="B29" i="1"/>
  <c r="A29" i="1"/>
  <c r="M28" i="1"/>
  <c r="J28" i="1"/>
  <c r="I28" i="1"/>
  <c r="H28" i="1"/>
  <c r="G28" i="1"/>
  <c r="F28" i="1"/>
  <c r="D28" i="1"/>
  <c r="C28" i="1"/>
  <c r="B28" i="1"/>
  <c r="A28" i="1"/>
  <c r="M27" i="1"/>
  <c r="J27" i="1"/>
  <c r="I27" i="1"/>
  <c r="H27" i="1"/>
  <c r="G27" i="1"/>
  <c r="F27" i="1"/>
  <c r="D27" i="1"/>
  <c r="C27" i="1"/>
  <c r="B27" i="1"/>
  <c r="A27" i="1"/>
  <c r="M26" i="1"/>
  <c r="J26" i="1"/>
  <c r="I26" i="1"/>
  <c r="H26" i="1"/>
  <c r="G26" i="1"/>
  <c r="F26" i="1"/>
  <c r="D26" i="1"/>
  <c r="C26" i="1"/>
  <c r="B26" i="1"/>
  <c r="A26" i="1"/>
  <c r="M25" i="1"/>
  <c r="J25" i="1"/>
  <c r="I25" i="1"/>
  <c r="H25" i="1"/>
  <c r="G25" i="1"/>
  <c r="F25" i="1"/>
  <c r="D25" i="1"/>
  <c r="C25" i="1"/>
  <c r="B25" i="1"/>
  <c r="A25" i="1"/>
  <c r="M24" i="1"/>
  <c r="J24" i="1"/>
  <c r="I24" i="1"/>
  <c r="H24" i="1"/>
  <c r="G24" i="1"/>
  <c r="F24" i="1"/>
  <c r="D24" i="1"/>
  <c r="C24" i="1"/>
  <c r="B24" i="1"/>
  <c r="A24" i="1"/>
  <c r="M23" i="1"/>
  <c r="J23" i="1"/>
  <c r="I23" i="1"/>
  <c r="H23" i="1"/>
  <c r="G23" i="1"/>
  <c r="F23" i="1"/>
  <c r="D23" i="1"/>
  <c r="C23" i="1"/>
  <c r="B23" i="1"/>
  <c r="A23" i="1"/>
  <c r="M22" i="1"/>
  <c r="J22" i="1"/>
  <c r="I22" i="1"/>
  <c r="H22" i="1"/>
  <c r="G22" i="1"/>
  <c r="F22" i="1"/>
  <c r="D22" i="1"/>
  <c r="C22" i="1"/>
  <c r="B22" i="1"/>
  <c r="A22" i="1"/>
  <c r="M21" i="1"/>
  <c r="J21" i="1"/>
  <c r="I21" i="1"/>
  <c r="H21" i="1"/>
  <c r="G21" i="1"/>
  <c r="F21" i="1"/>
  <c r="D21" i="1"/>
  <c r="C21" i="1"/>
  <c r="B21" i="1"/>
  <c r="A21" i="1"/>
  <c r="M20" i="1"/>
  <c r="J20" i="1"/>
  <c r="I20" i="1"/>
  <c r="H20" i="1"/>
  <c r="G20" i="1"/>
  <c r="F20" i="1"/>
  <c r="D20" i="1"/>
  <c r="C20" i="1"/>
  <c r="B20" i="1"/>
  <c r="A20" i="1"/>
  <c r="M19" i="1"/>
  <c r="J19" i="1"/>
  <c r="I19" i="1"/>
  <c r="H19" i="1"/>
  <c r="G19" i="1"/>
  <c r="F19" i="1"/>
  <c r="D19" i="1"/>
  <c r="C19" i="1"/>
  <c r="B19" i="1"/>
  <c r="A19" i="1"/>
  <c r="M18" i="1"/>
  <c r="J18" i="1"/>
  <c r="I18" i="1"/>
  <c r="H18" i="1"/>
  <c r="G18" i="1"/>
  <c r="F18" i="1"/>
  <c r="D18" i="1"/>
  <c r="C18" i="1"/>
  <c r="B18" i="1"/>
  <c r="A18" i="1"/>
  <c r="M17" i="1" l="1"/>
  <c r="J17" i="1"/>
  <c r="I17" i="1"/>
  <c r="H17" i="1"/>
  <c r="G17" i="1"/>
  <c r="F17" i="1"/>
  <c r="D17" i="1"/>
  <c r="C17" i="1"/>
  <c r="B17" i="1"/>
  <c r="A17" i="1"/>
  <c r="M16" i="1"/>
  <c r="J16" i="1"/>
  <c r="I16" i="1"/>
  <c r="H16" i="1"/>
  <c r="G16" i="1"/>
  <c r="F16" i="1"/>
  <c r="D16" i="1"/>
  <c r="C16" i="1"/>
  <c r="B16" i="1"/>
  <c r="A16" i="1"/>
  <c r="M15" i="1"/>
  <c r="J15" i="1"/>
  <c r="I15" i="1"/>
  <c r="H15" i="1"/>
  <c r="G15" i="1"/>
  <c r="F15" i="1"/>
  <c r="D15" i="1"/>
  <c r="C15" i="1"/>
  <c r="B15" i="1"/>
  <c r="A15" i="1"/>
  <c r="M14" i="1"/>
  <c r="J14" i="1"/>
  <c r="I14" i="1"/>
  <c r="H14" i="1"/>
  <c r="G14" i="1"/>
  <c r="F14" i="1"/>
  <c r="D14" i="1"/>
  <c r="C14" i="1"/>
  <c r="B14" i="1"/>
  <c r="A14" i="1"/>
  <c r="M13" i="1"/>
  <c r="J13" i="1"/>
  <c r="I13" i="1"/>
  <c r="H13" i="1"/>
  <c r="G13" i="1"/>
  <c r="F13" i="1"/>
  <c r="D13" i="1"/>
  <c r="C13" i="1"/>
  <c r="B13" i="1"/>
  <c r="A13" i="1"/>
  <c r="M12" i="1"/>
  <c r="J12" i="1"/>
  <c r="I12" i="1"/>
  <c r="H12" i="1"/>
  <c r="G12" i="1"/>
  <c r="F12" i="1"/>
  <c r="D12" i="1"/>
  <c r="C12" i="1"/>
  <c r="B12" i="1"/>
  <c r="A12" i="1"/>
  <c r="M11" i="1"/>
  <c r="J11" i="1"/>
  <c r="I11" i="1"/>
  <c r="H11" i="1"/>
  <c r="G11" i="1"/>
  <c r="F11" i="1"/>
  <c r="D11" i="1"/>
  <c r="C11" i="1"/>
  <c r="B11" i="1"/>
  <c r="A11" i="1"/>
  <c r="M10" i="1"/>
  <c r="J10" i="1"/>
  <c r="I10" i="1"/>
  <c r="H10" i="1"/>
  <c r="G10" i="1"/>
  <c r="F10" i="1"/>
  <c r="D10" i="1"/>
  <c r="C10" i="1"/>
  <c r="B10" i="1"/>
  <c r="A10" i="1"/>
  <c r="M9" i="1"/>
  <c r="J9" i="1"/>
  <c r="I9" i="1"/>
  <c r="H9" i="1"/>
  <c r="G9" i="1"/>
  <c r="F9" i="1"/>
  <c r="D9" i="1"/>
  <c r="C9" i="1"/>
  <c r="B9" i="1"/>
  <c r="A9" i="1"/>
  <c r="M8" i="1"/>
  <c r="J8" i="1"/>
  <c r="I8" i="1"/>
  <c r="H8" i="1"/>
  <c r="G8" i="1"/>
  <c r="F8" i="1"/>
  <c r="D8" i="1"/>
  <c r="C8" i="1"/>
  <c r="B8" i="1"/>
  <c r="A8" i="1"/>
  <c r="M7" i="1"/>
  <c r="J7" i="1"/>
  <c r="I7" i="1"/>
  <c r="H7" i="1"/>
  <c r="G7" i="1"/>
  <c r="F7" i="1"/>
  <c r="D7" i="1"/>
  <c r="C7" i="1"/>
  <c r="B7" i="1"/>
  <c r="A7" i="1"/>
  <c r="M6" i="1"/>
  <c r="J6" i="1"/>
  <c r="I6" i="1"/>
  <c r="H6" i="1"/>
  <c r="G6" i="1"/>
  <c r="F6" i="1"/>
  <c r="D6" i="1"/>
  <c r="C6" i="1"/>
  <c r="B6" i="1"/>
  <c r="A6" i="1"/>
  <c r="M5" i="1"/>
  <c r="J5" i="1"/>
  <c r="I5" i="1"/>
  <c r="H5" i="1"/>
  <c r="G5" i="1"/>
  <c r="F5" i="1"/>
  <c r="D5" i="1"/>
  <c r="C5" i="1"/>
  <c r="B5" i="1"/>
  <c r="A5" i="1"/>
  <c r="M4" i="1"/>
  <c r="J4" i="1"/>
  <c r="I4" i="1"/>
  <c r="H4" i="1"/>
  <c r="G4" i="1"/>
  <c r="F4" i="1"/>
  <c r="D4" i="1"/>
  <c r="C4" i="1"/>
  <c r="B4" i="1"/>
  <c r="A4" i="1"/>
  <c r="M3" i="1"/>
  <c r="J3" i="1"/>
  <c r="I3" i="1"/>
  <c r="H3" i="1"/>
  <c r="G3" i="1"/>
  <c r="F3" i="1"/>
  <c r="D3" i="1"/>
  <c r="C3" i="1"/>
  <c r="B3" i="1"/>
  <c r="A3" i="1"/>
  <c r="M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<sst xmlns="http://schemas.openxmlformats.org/spreadsheetml/2006/main" count="57" uniqueCount="40">
  <si>
    <t>流水号</t>
  </si>
  <si>
    <t>发生日期</t>
  </si>
  <si>
    <t>业务名称</t>
  </si>
  <si>
    <t>发生金额</t>
  </si>
  <si>
    <t>剩余金额</t>
  </si>
  <si>
    <t>币种</t>
  </si>
  <si>
    <t>股东代码</t>
  </si>
  <si>
    <t>证券代码</t>
  </si>
  <si>
    <t>证券名称</t>
  </si>
  <si>
    <t>买卖标志</t>
  </si>
  <si>
    <t>成交价格</t>
  </si>
  <si>
    <t>成交数量</t>
  </si>
  <si>
    <t>备注</t>
  </si>
  <si>
    <t>佣金</t>
  </si>
  <si>
    <t>印花税</t>
  </si>
  <si>
    <t>过户费</t>
  </si>
  <si>
    <t>其他费</t>
  </si>
  <si>
    <t>802988113</t>
  </si>
  <si>
    <t>20200710</t>
  </si>
  <si>
    <t>证券卖出</t>
  </si>
  <si>
    <t>10092.38</t>
  </si>
  <si>
    <t>人民币</t>
  </si>
  <si>
    <t>0184500716</t>
  </si>
  <si>
    <t>159938</t>
  </si>
  <si>
    <t>医药</t>
  </si>
  <si>
    <t>卖出</t>
  </si>
  <si>
    <t>911090840</t>
  </si>
  <si>
    <t>基金资金拨出</t>
  </si>
  <si>
    <t>-10091.38</t>
  </si>
  <si>
    <t xml:space="preserve"> </t>
  </si>
  <si>
    <t>天天发确认数据生成</t>
  </si>
  <si>
    <t>1218</t>
  </si>
  <si>
    <t>20200713</t>
  </si>
  <si>
    <t>资管转让资金上账</t>
  </si>
  <si>
    <t>10092.00</t>
  </si>
  <si>
    <t>快速取现退出资金拨入,产品代码940018,对方资产账户40000545correct_balance=0</t>
  </si>
  <si>
    <t>1222</t>
  </si>
  <si>
    <t>银行转取</t>
  </si>
  <si>
    <t>-10093.00</t>
  </si>
  <si>
    <t>银行返回码[ ]返回信息[0000 交易成功]|转账成功 转账账号:6225881012906292 correct_balance=10093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</si>
</sst>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7" zoomScaleNormal="100" workbookViewId="0">
      <selection activeCell="A56" sqref="A56:Q59"/>
    </sheetView>
  </sheetViews>
  <sheetFormatPr defaultRowHeight="14.25" x14ac:dyDescent="0.2"/>
  <cols>
    <col min="1" max="1" width="7.125" bestFit="1" customWidth="1"/>
    <col min="2" max="2" width="9.5" bestFit="1" customWidth="1"/>
    <col min="3" max="3" width="17.25" bestFit="1" customWidth="1"/>
    <col min="4" max="4" width="9.875" bestFit="1" customWidth="1"/>
    <col min="5" max="5" width="9.5" bestFit="1" customWidth="1"/>
    <col min="6" max="6" width="7.125" bestFit="1" customWidth="1"/>
    <col min="7" max="7" width="11.875" bestFit="1" customWidth="1"/>
    <col min="13" max="13" width="93.375" bestFit="1" customWidth="1"/>
    <col min="14" max="14" width="5.5" bestFit="1" customWidth="1"/>
    <col min="15" max="17" width="7.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tr">
        <f>"5481"</f>
        <v>5481</v>
      </c>
      <c r="B2" s="1" t="str">
        <f>"20200226"</f>
        <v>20200226</v>
      </c>
      <c r="C2" s="1" t="str">
        <f>"证券卖出"</f>
        <v>证券卖出</v>
      </c>
      <c r="D2" s="1" t="str">
        <f>"7460.11"</f>
        <v>7460.11</v>
      </c>
      <c r="E2" s="1">
        <v>7460.11</v>
      </c>
      <c r="F2" s="1" t="str">
        <f>"人民币"</f>
        <v>人民币</v>
      </c>
      <c r="G2" s="1" t="str">
        <f>"A280737240"</f>
        <v>A280737240</v>
      </c>
      <c r="H2" s="1" t="str">
        <f>"510500"</f>
        <v>510500</v>
      </c>
      <c r="I2" s="1" t="str">
        <f>"500ETF"</f>
        <v>500ETF</v>
      </c>
      <c r="J2" s="1" t="str">
        <f>"卖出"</f>
        <v>卖出</v>
      </c>
      <c r="K2" s="1">
        <v>6.218</v>
      </c>
      <c r="L2" s="1">
        <v>-1200</v>
      </c>
      <c r="M2" s="1" t="str">
        <f>"证券卖出"</f>
        <v>证券卖出</v>
      </c>
      <c r="N2" s="1">
        <v>1.49</v>
      </c>
      <c r="O2" s="1">
        <v>0</v>
      </c>
      <c r="P2" s="1">
        <v>0</v>
      </c>
      <c r="Q2" s="1">
        <v>0</v>
      </c>
    </row>
    <row r="3" spans="1:17" x14ac:dyDescent="0.2">
      <c r="A3" s="1" t="str">
        <f>"11146"</f>
        <v>11146</v>
      </c>
      <c r="B3" s="1" t="str">
        <f>"20200226"</f>
        <v>20200226</v>
      </c>
      <c r="C3" s="1" t="str">
        <f>"证券卖出"</f>
        <v>证券卖出</v>
      </c>
      <c r="D3" s="1" t="str">
        <f>"9202.96"</f>
        <v>9202.96</v>
      </c>
      <c r="E3" s="1">
        <v>16663.07</v>
      </c>
      <c r="F3" s="1" t="str">
        <f>"人民币"</f>
        <v>人民币</v>
      </c>
      <c r="G3" s="1" t="str">
        <f>"0184500716"</f>
        <v>0184500716</v>
      </c>
      <c r="H3" s="1" t="str">
        <f>"159915"</f>
        <v>159915</v>
      </c>
      <c r="I3" s="1" t="str">
        <f>"创业板"</f>
        <v>创业板</v>
      </c>
      <c r="J3" s="1" t="str">
        <f>"卖出"</f>
        <v>卖出</v>
      </c>
      <c r="K3" s="1">
        <v>2.0920000000000001</v>
      </c>
      <c r="L3" s="1">
        <v>-4400</v>
      </c>
      <c r="M3" s="1" t="str">
        <f>"证券卖出"</f>
        <v>证券卖出</v>
      </c>
      <c r="N3" s="1">
        <v>1.84</v>
      </c>
      <c r="O3" s="1">
        <v>0</v>
      </c>
      <c r="P3" s="1">
        <v>0</v>
      </c>
      <c r="Q3" s="1">
        <v>0</v>
      </c>
    </row>
    <row r="4" spans="1:17" x14ac:dyDescent="0.2">
      <c r="A4" s="1" t="str">
        <f>"15776"</f>
        <v>15776</v>
      </c>
      <c r="B4" s="1" t="str">
        <f>"20200226"</f>
        <v>20200226</v>
      </c>
      <c r="C4" s="1" t="str">
        <f>"基金资金拨出"</f>
        <v>基金资金拨出</v>
      </c>
      <c r="D4" s="1" t="str">
        <f>"-16662.07"</f>
        <v>-16662.07</v>
      </c>
      <c r="E4" s="1">
        <v>1</v>
      </c>
      <c r="F4" s="1" t="str">
        <f>"人民币"</f>
        <v>人民币</v>
      </c>
      <c r="G4" s="1" t="str">
        <f t="shared" ref="G4:I6" si="0">" "</f>
        <v xml:space="preserve"> </v>
      </c>
      <c r="H4" s="1" t="str">
        <f t="shared" si="0"/>
        <v xml:space="preserve"> </v>
      </c>
      <c r="I4" s="1" t="str">
        <f t="shared" si="0"/>
        <v xml:space="preserve"> </v>
      </c>
      <c r="J4" s="1" t="str">
        <f>"卖出"</f>
        <v>卖出</v>
      </c>
      <c r="K4" s="1">
        <v>0</v>
      </c>
      <c r="L4" s="1">
        <v>0</v>
      </c>
      <c r="M4" s="1" t="str">
        <f>"122扣除金额 基金代码：940018,发生份额：16662.07"</f>
        <v>122扣除金额 基金代码：940018,发生份额：16662.07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 s="1" t="str">
        <f>"573"</f>
        <v>573</v>
      </c>
      <c r="B5" s="1" t="str">
        <f>"20200227"</f>
        <v>20200227</v>
      </c>
      <c r="C5" s="1" t="str">
        <f>"资管转让资金上账"</f>
        <v>资管转让资金上账</v>
      </c>
      <c r="D5" s="1" t="str">
        <f>"16662.00"</f>
        <v>16662.00</v>
      </c>
      <c r="E5" s="1">
        <v>16663</v>
      </c>
      <c r="F5" s="1" t="str">
        <f>"人民币"</f>
        <v>人民币</v>
      </c>
      <c r="G5" s="1" t="str">
        <f t="shared" si="0"/>
        <v xml:space="preserve"> </v>
      </c>
      <c r="H5" s="1" t="str">
        <f t="shared" si="0"/>
        <v xml:space="preserve"> </v>
      </c>
      <c r="I5" s="1" t="str">
        <f t="shared" si="0"/>
        <v xml:space="preserve"> </v>
      </c>
      <c r="J5" s="1" t="str">
        <f>"卖出"</f>
        <v>卖出</v>
      </c>
      <c r="K5" s="1">
        <v>0</v>
      </c>
      <c r="L5" s="1">
        <v>0</v>
      </c>
      <c r="M5" s="1" t="str">
        <f>"快速取现退出资金拨入,产品代码940018,对方资产账户40000545correct_balance=0"</f>
        <v>快速取现退出资金拨入,产品代码940018,对方资产账户40000545correct_balance=0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">
      <c r="A6" s="1" t="str">
        <f>"578"</f>
        <v>578</v>
      </c>
      <c r="B6" s="1" t="str">
        <f>"20200227"</f>
        <v>20200227</v>
      </c>
      <c r="C6" s="1" t="str">
        <f>"银行转取"</f>
        <v>银行转取</v>
      </c>
      <c r="D6" s="1" t="str">
        <f>"-16663.00"</f>
        <v>-16663.00</v>
      </c>
      <c r="E6" s="1">
        <v>0</v>
      </c>
      <c r="F6" s="1" t="str">
        <f>"人民币"</f>
        <v>人民币</v>
      </c>
      <c r="G6" s="1" t="str">
        <f t="shared" si="0"/>
        <v xml:space="preserve"> </v>
      </c>
      <c r="H6" s="1" t="str">
        <f t="shared" si="0"/>
        <v xml:space="preserve"> </v>
      </c>
      <c r="I6" s="1" t="str">
        <f t="shared" si="0"/>
        <v xml:space="preserve"> </v>
      </c>
      <c r="J6" s="1" t="str">
        <f>"卖出"</f>
        <v>卖出</v>
      </c>
      <c r="K6" s="1">
        <v>0</v>
      </c>
      <c r="L6" s="1">
        <v>0</v>
      </c>
      <c r="M6" s="1" t="str">
        <f>"银行返回码[ ]返回信息[0000 交易成功]|转账成功 转账账号:6225881012906292 correct_balance=16663"</f>
        <v>银行返回码[ ]返回信息[0000 交易成功]|转账成功 转账账号:6225881012906292 correct_balance=16663</v>
      </c>
      <c r="N6" s="1">
        <v>0</v>
      </c>
      <c r="O6" s="1">
        <v>0</v>
      </c>
      <c r="P6" s="1">
        <v>0</v>
      </c>
      <c r="Q6" s="1">
        <v>0</v>
      </c>
    </row>
    <row r="7" spans="1:17" x14ac:dyDescent="0.2">
      <c r="A7" s="1" t="str">
        <f>"3243"</f>
        <v>3243</v>
      </c>
      <c r="B7" s="1" t="str">
        <f>"20200310"</f>
        <v>20200310</v>
      </c>
      <c r="C7" s="1" t="str">
        <f>"基金资金拨出"</f>
        <v>基金资金拨出</v>
      </c>
      <c r="D7" s="1" t="str">
        <f>"-9885.02"</f>
        <v>-9885.02</v>
      </c>
      <c r="E7" s="1">
        <v>-9885.02</v>
      </c>
      <c r="F7" s="1" t="str">
        <f t="shared" ref="F7:F55" si="1">"人民币"</f>
        <v>人民币</v>
      </c>
      <c r="G7" s="1" t="str">
        <f>" "</f>
        <v xml:space="preserve"> </v>
      </c>
      <c r="H7" s="1" t="str">
        <f>" "</f>
        <v xml:space="preserve"> </v>
      </c>
      <c r="I7" s="1" t="str">
        <f>" "</f>
        <v xml:space="preserve"> </v>
      </c>
      <c r="J7" s="1" t="str">
        <f t="shared" ref="J7:J55" si="2">"卖出"</f>
        <v>卖出</v>
      </c>
      <c r="K7" s="1">
        <v>0</v>
      </c>
      <c r="L7" s="1">
        <v>0</v>
      </c>
      <c r="M7" s="1" t="str">
        <f>"122扣除金额 基金代码：940018,发生份额：9885.02"</f>
        <v>122扣除金额 基金代码：940018,发生份额：9885.02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tr">
        <f>"14950"</f>
        <v>14950</v>
      </c>
      <c r="B8" s="1" t="str">
        <f>"20200310"</f>
        <v>20200310</v>
      </c>
      <c r="C8" s="1" t="str">
        <f>"证券卖出"</f>
        <v>证券卖出</v>
      </c>
      <c r="D8" s="1" t="str">
        <f>"9886.02"</f>
        <v>9886.02</v>
      </c>
      <c r="E8" s="1">
        <v>1</v>
      </c>
      <c r="F8" s="1" t="str">
        <f t="shared" si="1"/>
        <v>人民币</v>
      </c>
      <c r="G8" s="1" t="str">
        <f>"0184500716"</f>
        <v>0184500716</v>
      </c>
      <c r="H8" s="1" t="str">
        <f>"159915"</f>
        <v>159915</v>
      </c>
      <c r="I8" s="1" t="str">
        <f>"创业板"</f>
        <v>创业板</v>
      </c>
      <c r="J8" s="1" t="str">
        <f t="shared" si="2"/>
        <v>卖出</v>
      </c>
      <c r="K8" s="1">
        <v>2.06</v>
      </c>
      <c r="L8" s="1">
        <v>-4800</v>
      </c>
      <c r="M8" s="1" t="str">
        <f>"证券卖出"</f>
        <v>证券卖出</v>
      </c>
      <c r="N8" s="1">
        <v>1.98</v>
      </c>
      <c r="O8" s="1">
        <v>0</v>
      </c>
      <c r="P8" s="1">
        <v>0</v>
      </c>
      <c r="Q8" s="1">
        <v>0</v>
      </c>
    </row>
    <row r="9" spans="1:17" x14ac:dyDescent="0.2">
      <c r="A9" s="1" t="str">
        <f>"1132"</f>
        <v>1132</v>
      </c>
      <c r="B9" s="1" t="str">
        <f>"20200311"</f>
        <v>20200311</v>
      </c>
      <c r="C9" s="1" t="str">
        <f>"资管转让资金上账"</f>
        <v>资管转让资金上账</v>
      </c>
      <c r="D9" s="1" t="str">
        <f>"9885.00"</f>
        <v>9885.00</v>
      </c>
      <c r="E9" s="1">
        <v>9886</v>
      </c>
      <c r="F9" s="1" t="str">
        <f t="shared" si="1"/>
        <v>人民币</v>
      </c>
      <c r="G9" s="1" t="str">
        <f t="shared" ref="G9:I12" si="3">" "</f>
        <v xml:space="preserve"> </v>
      </c>
      <c r="H9" s="1" t="str">
        <f t="shared" si="3"/>
        <v xml:space="preserve"> </v>
      </c>
      <c r="I9" s="1" t="str">
        <f t="shared" si="3"/>
        <v xml:space="preserve"> </v>
      </c>
      <c r="J9" s="1" t="str">
        <f t="shared" si="2"/>
        <v>卖出</v>
      </c>
      <c r="K9" s="1">
        <v>0</v>
      </c>
      <c r="L9" s="1">
        <v>0</v>
      </c>
      <c r="M9" s="1" t="str">
        <f>"快速取现退出资金拨入,产品代码940018,对方资产账户40000545correct_balance=0"</f>
        <v>快速取现退出资金拨入,产品代码940018,对方资产账户40000545correct_balance=0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">
      <c r="A10" s="1" t="str">
        <f>"1135"</f>
        <v>1135</v>
      </c>
      <c r="B10" s="1" t="str">
        <f>"20200311"</f>
        <v>20200311</v>
      </c>
      <c r="C10" s="1" t="str">
        <f>"银行转取"</f>
        <v>银行转取</v>
      </c>
      <c r="D10" s="1" t="str">
        <f>"-9886.00"</f>
        <v>-9886.00</v>
      </c>
      <c r="E10" s="1">
        <v>0</v>
      </c>
      <c r="F10" s="1" t="str">
        <f t="shared" si="1"/>
        <v>人民币</v>
      </c>
      <c r="G10" s="1" t="str">
        <f t="shared" si="3"/>
        <v xml:space="preserve"> </v>
      </c>
      <c r="H10" s="1" t="str">
        <f t="shared" si="3"/>
        <v xml:space="preserve"> </v>
      </c>
      <c r="I10" s="1" t="str">
        <f t="shared" si="3"/>
        <v xml:space="preserve"> </v>
      </c>
      <c r="J10" s="1" t="str">
        <f t="shared" si="2"/>
        <v>卖出</v>
      </c>
      <c r="K10" s="1">
        <v>0</v>
      </c>
      <c r="L10" s="1">
        <v>0</v>
      </c>
      <c r="M10" s="1" t="str">
        <f>"银行返回码[ ]返回信息[0000 交易成功]|转账成功 转账账号:6225881012906292 correct_balance=9886"</f>
        <v>银行返回码[ ]返回信息[0000 交易成功]|转账成功 转账账号:6225881012906292 correct_balance=9886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">
      <c r="A11" s="1" t="str">
        <f>"3199"</f>
        <v>3199</v>
      </c>
      <c r="B11" s="1" t="str">
        <f>"20200311"</f>
        <v>20200311</v>
      </c>
      <c r="C11" s="1" t="str">
        <f>"基金资金拨入"</f>
        <v>基金资金拨入</v>
      </c>
      <c r="D11" s="1" t="str">
        <f>"0.46"</f>
        <v>0.46</v>
      </c>
      <c r="E11" s="1">
        <v>0.46</v>
      </c>
      <c r="F11" s="1" t="str">
        <f t="shared" si="1"/>
        <v>人民币</v>
      </c>
      <c r="G11" s="1" t="str">
        <f t="shared" si="3"/>
        <v xml:space="preserve"> </v>
      </c>
      <c r="H11" s="1" t="str">
        <f t="shared" si="3"/>
        <v xml:space="preserve"> </v>
      </c>
      <c r="I11" s="1" t="str">
        <f t="shared" si="3"/>
        <v xml:space="preserve"> </v>
      </c>
      <c r="J11" s="1" t="str">
        <f t="shared" si="2"/>
        <v>卖出</v>
      </c>
      <c r="K11" s="1">
        <v>0</v>
      </c>
      <c r="L11" s="1">
        <v>0</v>
      </c>
      <c r="M11" s="1" t="str">
        <f>"124增加金额 基金代码：940018,发生份额：.46"</f>
        <v>124增加金额 基金代码：940018,发生份额：.46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tr">
        <f>"4431"</f>
        <v>4431</v>
      </c>
      <c r="B12" s="1" t="str">
        <f>"20200313"</f>
        <v>20200313</v>
      </c>
      <c r="C12" s="1" t="str">
        <f>"基金资金拨出"</f>
        <v>基金资金拨出</v>
      </c>
      <c r="D12" s="1" t="str">
        <f>"-7634.13"</f>
        <v>-7634.13</v>
      </c>
      <c r="E12" s="1">
        <v>-7633.67</v>
      </c>
      <c r="F12" s="1" t="str">
        <f t="shared" si="1"/>
        <v>人民币</v>
      </c>
      <c r="G12" s="1" t="str">
        <f t="shared" si="3"/>
        <v xml:space="preserve"> </v>
      </c>
      <c r="H12" s="1" t="str">
        <f t="shared" si="3"/>
        <v xml:space="preserve"> </v>
      </c>
      <c r="I12" s="1" t="str">
        <f t="shared" si="3"/>
        <v xml:space="preserve"> </v>
      </c>
      <c r="J12" s="1" t="str">
        <f t="shared" si="2"/>
        <v>卖出</v>
      </c>
      <c r="K12" s="1">
        <v>0</v>
      </c>
      <c r="L12" s="1">
        <v>0</v>
      </c>
      <c r="M12" s="1" t="str">
        <f>"122扣除金额 基金代码：940018,发生份额：7634.13"</f>
        <v>122扣除金额 基金代码：940018,发生份额：7634.13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">
      <c r="A13" s="1" t="str">
        <f>"8958"</f>
        <v>8958</v>
      </c>
      <c r="B13" s="1" t="str">
        <f>"20200313"</f>
        <v>20200313</v>
      </c>
      <c r="C13" s="1" t="str">
        <f>"证券卖出"</f>
        <v>证券卖出</v>
      </c>
      <c r="D13" s="1" t="str">
        <f>"7634.67"</f>
        <v>7634.67</v>
      </c>
      <c r="E13" s="1">
        <v>1</v>
      </c>
      <c r="F13" s="1" t="str">
        <f t="shared" si="1"/>
        <v>人民币</v>
      </c>
      <c r="G13" s="1" t="str">
        <f>"A280737240"</f>
        <v>A280737240</v>
      </c>
      <c r="H13" s="1" t="str">
        <f>"518880"</f>
        <v>518880</v>
      </c>
      <c r="I13" s="1" t="str">
        <f>"黄金ETF"</f>
        <v>黄金ETF</v>
      </c>
      <c r="J13" s="1" t="str">
        <f t="shared" si="2"/>
        <v>卖出</v>
      </c>
      <c r="K13" s="1">
        <v>3.4710000000000001</v>
      </c>
      <c r="L13" s="1">
        <v>-2200</v>
      </c>
      <c r="M13" s="1" t="str">
        <f>"证券卖出"</f>
        <v>证券卖出</v>
      </c>
      <c r="N13" s="1">
        <v>1.53</v>
      </c>
      <c r="O13" s="1">
        <v>0</v>
      </c>
      <c r="P13" s="1">
        <v>0</v>
      </c>
      <c r="Q13" s="1">
        <v>0</v>
      </c>
    </row>
    <row r="14" spans="1:17" x14ac:dyDescent="0.2">
      <c r="A14" s="1" t="str">
        <f>"1715"</f>
        <v>1715</v>
      </c>
      <c r="B14" s="1" t="str">
        <f>"20200316"</f>
        <v>20200316</v>
      </c>
      <c r="C14" s="1" t="str">
        <f>"资管转让资金上账"</f>
        <v>资管转让资金上账</v>
      </c>
      <c r="D14" s="1" t="str">
        <f>"7634.00"</f>
        <v>7634.00</v>
      </c>
      <c r="E14" s="1">
        <v>7635</v>
      </c>
      <c r="F14" s="1" t="str">
        <f t="shared" si="1"/>
        <v>人民币</v>
      </c>
      <c r="G14" s="1" t="str">
        <f t="shared" ref="G14:I15" si="4">" "</f>
        <v xml:space="preserve"> </v>
      </c>
      <c r="H14" s="1" t="str">
        <f t="shared" si="4"/>
        <v xml:space="preserve"> </v>
      </c>
      <c r="I14" s="1" t="str">
        <f t="shared" si="4"/>
        <v xml:space="preserve"> </v>
      </c>
      <c r="J14" s="1" t="str">
        <f t="shared" si="2"/>
        <v>卖出</v>
      </c>
      <c r="K14" s="1">
        <v>0</v>
      </c>
      <c r="L14" s="1">
        <v>0</v>
      </c>
      <c r="M14" s="1" t="str">
        <f>"快速取现退出资金拨入,产品代码940018,对方资产账户40000545correct_balance=0"</f>
        <v>快速取现退出资金拨入,产品代码940018,对方资产账户40000545correct_balance=0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">
      <c r="A15" s="1" t="str">
        <f>"1718"</f>
        <v>1718</v>
      </c>
      <c r="B15" s="1" t="str">
        <f>"20200316"</f>
        <v>20200316</v>
      </c>
      <c r="C15" s="1" t="str">
        <f>"银行转取"</f>
        <v>银行转取</v>
      </c>
      <c r="D15" s="1" t="str">
        <f>"-7635.00"</f>
        <v>-7635.00</v>
      </c>
      <c r="E15" s="1">
        <v>0</v>
      </c>
      <c r="F15" s="1" t="str">
        <f t="shared" si="1"/>
        <v>人民币</v>
      </c>
      <c r="G15" s="1" t="str">
        <f t="shared" si="4"/>
        <v xml:space="preserve"> </v>
      </c>
      <c r="H15" s="1" t="str">
        <f t="shared" si="4"/>
        <v xml:space="preserve"> </v>
      </c>
      <c r="I15" s="1" t="str">
        <f t="shared" si="4"/>
        <v xml:space="preserve"> </v>
      </c>
      <c r="J15" s="1" t="str">
        <f t="shared" si="2"/>
        <v>卖出</v>
      </c>
      <c r="K15" s="1">
        <v>0</v>
      </c>
      <c r="L15" s="1">
        <v>0</v>
      </c>
      <c r="M15" s="1" t="str">
        <f>"银行返回码[ ]返回信息[0000 交易成功]|转账成功 转账账号:6225881012906292 correct_balance=7635"</f>
        <v>银行返回码[ ]返回信息[0000 交易成功]|转账成功 转账账号:6225881012906292 correct_balance=7635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tr">
        <f>"11582"</f>
        <v>11582</v>
      </c>
      <c r="B16" s="1" t="str">
        <f>"20200325"</f>
        <v>20200325</v>
      </c>
      <c r="C16" s="1" t="str">
        <f>"证券卖出"</f>
        <v>证券卖出</v>
      </c>
      <c r="D16" s="1" t="str">
        <f>"7092.98"</f>
        <v>7092.98</v>
      </c>
      <c r="E16" s="1">
        <v>7092.98</v>
      </c>
      <c r="F16" s="1" t="str">
        <f t="shared" si="1"/>
        <v>人民币</v>
      </c>
      <c r="G16" s="1" t="str">
        <f>"0184500716"</f>
        <v>0184500716</v>
      </c>
      <c r="H16" s="1" t="str">
        <f>"159938"</f>
        <v>159938</v>
      </c>
      <c r="I16" s="1" t="str">
        <f>"医药"</f>
        <v>医药</v>
      </c>
      <c r="J16" s="1" t="str">
        <f t="shared" si="2"/>
        <v>卖出</v>
      </c>
      <c r="K16" s="1">
        <v>1.478</v>
      </c>
      <c r="L16" s="1">
        <v>-4800</v>
      </c>
      <c r="M16" s="1" t="str">
        <f>"证券卖出"</f>
        <v>证券卖出</v>
      </c>
      <c r="N16" s="1">
        <v>1.42</v>
      </c>
      <c r="O16" s="1">
        <v>0</v>
      </c>
      <c r="P16" s="1">
        <v>0</v>
      </c>
      <c r="Q16" s="1">
        <v>0</v>
      </c>
    </row>
    <row r="17" spans="1:17" x14ac:dyDescent="0.2">
      <c r="A17" s="1" t="str">
        <f>"13211"</f>
        <v>13211</v>
      </c>
      <c r="B17" s="1" t="str">
        <f>"20200325"</f>
        <v>20200325</v>
      </c>
      <c r="C17" s="1" t="str">
        <f>"基金资金拨出"</f>
        <v>基金资金拨出</v>
      </c>
      <c r="D17" s="1" t="str">
        <f>"-7091.98"</f>
        <v>-7091.98</v>
      </c>
      <c r="E17" s="1">
        <v>1</v>
      </c>
      <c r="F17" s="1" t="str">
        <f t="shared" si="1"/>
        <v>人民币</v>
      </c>
      <c r="G17" s="1" t="str">
        <f>" "</f>
        <v xml:space="preserve"> </v>
      </c>
      <c r="H17" s="1" t="str">
        <f>" "</f>
        <v xml:space="preserve"> </v>
      </c>
      <c r="I17" s="1" t="str">
        <f>" "</f>
        <v xml:space="preserve"> </v>
      </c>
      <c r="J17" s="1" t="str">
        <f t="shared" si="2"/>
        <v>卖出</v>
      </c>
      <c r="K17" s="1">
        <v>0</v>
      </c>
      <c r="L17" s="1">
        <v>0</v>
      </c>
      <c r="M17" s="1" t="str">
        <f>"122扣除金额 基金代码：940018,发生份额：7091.98"</f>
        <v>122扣除金额 基金代码：940018,发生份额：7091.98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">
      <c r="A18" s="1" t="str">
        <f>"20570"</f>
        <v>20570</v>
      </c>
      <c r="B18" s="1" t="str">
        <f>"20200326"</f>
        <v>20200326</v>
      </c>
      <c r="C18" s="1" t="str">
        <f>"基金资金拨出"</f>
        <v>基金资金拨出</v>
      </c>
      <c r="D18" s="1" t="str">
        <f>"-1.00"</f>
        <v>-1.00</v>
      </c>
      <c r="E18" s="1">
        <v>0</v>
      </c>
      <c r="F18" s="1" t="str">
        <f t="shared" si="1"/>
        <v>人民币</v>
      </c>
      <c r="G18" s="1" t="str">
        <f t="shared" ref="G18:I20" si="5">" "</f>
        <v xml:space="preserve"> </v>
      </c>
      <c r="H18" s="1" t="str">
        <f t="shared" si="5"/>
        <v xml:space="preserve"> </v>
      </c>
      <c r="I18" s="1" t="str">
        <f t="shared" si="5"/>
        <v xml:space="preserve"> </v>
      </c>
      <c r="J18" s="1" t="str">
        <f t="shared" si="2"/>
        <v>卖出</v>
      </c>
      <c r="K18" s="1">
        <v>0</v>
      </c>
      <c r="L18" s="1">
        <v>0</v>
      </c>
      <c r="M18" s="1" t="str">
        <f>"122扣除金额 基金代码：940018,发生份额：1"</f>
        <v>122扣除金额 基金代码：940018,发生份额：1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">
      <c r="A19" s="1" t="str">
        <f>"761"</f>
        <v>761</v>
      </c>
      <c r="B19" s="1" t="str">
        <f>"20200428"</f>
        <v>20200428</v>
      </c>
      <c r="C19" s="1" t="str">
        <f>"资管转让资金上账"</f>
        <v>资管转让资金上账</v>
      </c>
      <c r="D19" s="1" t="str">
        <f>"7093.00"</f>
        <v>7093.00</v>
      </c>
      <c r="E19" s="1">
        <v>7093</v>
      </c>
      <c r="F19" s="1" t="str">
        <f t="shared" si="1"/>
        <v>人民币</v>
      </c>
      <c r="G19" s="1" t="str">
        <f t="shared" si="5"/>
        <v xml:space="preserve"> </v>
      </c>
      <c r="H19" s="1" t="str">
        <f t="shared" si="5"/>
        <v xml:space="preserve"> </v>
      </c>
      <c r="I19" s="1" t="str">
        <f t="shared" si="5"/>
        <v xml:space="preserve"> </v>
      </c>
      <c r="J19" s="1" t="str">
        <f t="shared" si="2"/>
        <v>卖出</v>
      </c>
      <c r="K19" s="1">
        <v>0</v>
      </c>
      <c r="L19" s="1">
        <v>0</v>
      </c>
      <c r="M19" s="1" t="str">
        <f>"快速取现退出资金拨入,产品代码940018,对方资产账户40000545correct_balance=0"</f>
        <v>快速取现退出资金拨入,产品代码940018,对方资产账户40000545correct_balance=0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">
      <c r="A20" s="1" t="str">
        <f>"764"</f>
        <v>764</v>
      </c>
      <c r="B20" s="1" t="str">
        <f>"20200428"</f>
        <v>20200428</v>
      </c>
      <c r="C20" s="1" t="str">
        <f>"银行转取"</f>
        <v>银行转取</v>
      </c>
      <c r="D20" s="1" t="str">
        <f>"-7093.00"</f>
        <v>-7093.00</v>
      </c>
      <c r="E20" s="1">
        <v>0</v>
      </c>
      <c r="F20" s="1" t="str">
        <f t="shared" si="1"/>
        <v>人民币</v>
      </c>
      <c r="G20" s="1" t="str">
        <f t="shared" si="5"/>
        <v xml:space="preserve"> </v>
      </c>
      <c r="H20" s="1" t="str">
        <f t="shared" si="5"/>
        <v xml:space="preserve"> </v>
      </c>
      <c r="I20" s="1" t="str">
        <f t="shared" si="5"/>
        <v xml:space="preserve"> </v>
      </c>
      <c r="J20" s="1" t="str">
        <f t="shared" si="2"/>
        <v>卖出</v>
      </c>
      <c r="K20" s="1">
        <v>0</v>
      </c>
      <c r="L20" s="1">
        <v>0</v>
      </c>
      <c r="M20" s="1" t="str">
        <f>"银行返回码[ ]返回信息[0000 交易成功]|转账成功 转账账号:6225881012906292 correct_balance=7093"</f>
        <v>银行返回码[ ]返回信息[0000 交易成功]|转账成功 转账账号:6225881012906292 correct_balance=7093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">
      <c r="A21" s="1" t="str">
        <f>"5677"</f>
        <v>5677</v>
      </c>
      <c r="B21" s="1" t="str">
        <f>"20200428"</f>
        <v>20200428</v>
      </c>
      <c r="C21" s="1" t="str">
        <f>"证券卖出"</f>
        <v>证券卖出</v>
      </c>
      <c r="D21" s="1" t="str">
        <f>"22865.23"</f>
        <v>22865.23</v>
      </c>
      <c r="E21" s="1">
        <v>22865.23</v>
      </c>
      <c r="F21" s="1" t="str">
        <f t="shared" si="1"/>
        <v>人民币</v>
      </c>
      <c r="G21" s="1" t="str">
        <f>"A280737240"</f>
        <v>A280737240</v>
      </c>
      <c r="H21" s="1" t="str">
        <f>"510500"</f>
        <v>510500</v>
      </c>
      <c r="I21" s="1" t="str">
        <f>"500ETF"</f>
        <v>500ETF</v>
      </c>
      <c r="J21" s="1" t="str">
        <f t="shared" si="2"/>
        <v>卖出</v>
      </c>
      <c r="K21" s="1">
        <v>5.5780000000000003</v>
      </c>
      <c r="L21" s="1">
        <v>-4100</v>
      </c>
      <c r="M21" s="1" t="str">
        <f>"证券卖出"</f>
        <v>证券卖出</v>
      </c>
      <c r="N21" s="1">
        <v>4.57</v>
      </c>
      <c r="O21" s="1">
        <v>0</v>
      </c>
      <c r="P21" s="1">
        <v>0</v>
      </c>
      <c r="Q21" s="1">
        <v>0</v>
      </c>
    </row>
    <row r="22" spans="1:17" x14ac:dyDescent="0.2">
      <c r="A22" s="1" t="str">
        <f>"5678"</f>
        <v>5678</v>
      </c>
      <c r="B22" s="1" t="str">
        <f>"20200428"</f>
        <v>20200428</v>
      </c>
      <c r="C22" s="1" t="str">
        <f>"证券卖出"</f>
        <v>证券卖出</v>
      </c>
      <c r="D22" s="1" t="str">
        <f>"2522.90"</f>
        <v>2522.90</v>
      </c>
      <c r="E22" s="1">
        <v>25388.13</v>
      </c>
      <c r="F22" s="1" t="str">
        <f t="shared" si="1"/>
        <v>人民币</v>
      </c>
      <c r="G22" s="1" t="str">
        <f>"A280737240"</f>
        <v>A280737240</v>
      </c>
      <c r="H22" s="1" t="str">
        <f>"512980"</f>
        <v>512980</v>
      </c>
      <c r="I22" s="1" t="str">
        <f>"传媒ETF"</f>
        <v>传媒ETF</v>
      </c>
      <c r="J22" s="1" t="str">
        <f t="shared" si="2"/>
        <v>卖出</v>
      </c>
      <c r="K22" s="1">
        <v>0.81399999999999995</v>
      </c>
      <c r="L22" s="1">
        <v>-3100</v>
      </c>
      <c r="M22" s="1" t="str">
        <f>"证券卖出"</f>
        <v>证券卖出</v>
      </c>
      <c r="N22" s="1">
        <v>0.5</v>
      </c>
      <c r="O22" s="1">
        <v>0</v>
      </c>
      <c r="P22" s="1">
        <v>0</v>
      </c>
      <c r="Q22" s="1">
        <v>0</v>
      </c>
    </row>
    <row r="23" spans="1:17" x14ac:dyDescent="0.2">
      <c r="A23" s="1" t="str">
        <f>"17368"</f>
        <v>17368</v>
      </c>
      <c r="B23" s="1" t="str">
        <f>"20200428"</f>
        <v>20200428</v>
      </c>
      <c r="C23" s="1" t="str">
        <f>"基金资金拨出"</f>
        <v>基金资金拨出</v>
      </c>
      <c r="D23" s="1" t="str">
        <f>"-25387.13"</f>
        <v>-25387.13</v>
      </c>
      <c r="E23" s="1">
        <v>1</v>
      </c>
      <c r="F23" s="1" t="str">
        <f t="shared" si="1"/>
        <v>人民币</v>
      </c>
      <c r="G23" s="1" t="str">
        <f t="shared" ref="G23:I26" si="6">" "</f>
        <v xml:space="preserve"> </v>
      </c>
      <c r="H23" s="1" t="str">
        <f t="shared" si="6"/>
        <v xml:space="preserve"> </v>
      </c>
      <c r="I23" s="1" t="str">
        <f t="shared" si="6"/>
        <v xml:space="preserve"> </v>
      </c>
      <c r="J23" s="1" t="str">
        <f t="shared" si="2"/>
        <v>卖出</v>
      </c>
      <c r="K23" s="1">
        <v>0</v>
      </c>
      <c r="L23" s="1">
        <v>0</v>
      </c>
      <c r="M23" s="1" t="str">
        <f>"122扣除金额 基金代码：940018,发生份额：25387.13"</f>
        <v>122扣除金额 基金代码：940018,发生份额：25387.13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">
      <c r="A24" s="1" t="str">
        <f>"495"</f>
        <v>495</v>
      </c>
      <c r="B24" s="1" t="str">
        <f>"20200429"</f>
        <v>20200429</v>
      </c>
      <c r="C24" s="1" t="str">
        <f>"资管转让资金上账"</f>
        <v>资管转让资金上账</v>
      </c>
      <c r="D24" s="1" t="str">
        <f>"25397.00"</f>
        <v>25397.00</v>
      </c>
      <c r="E24" s="1">
        <v>25398</v>
      </c>
      <c r="F24" s="1" t="str">
        <f t="shared" si="1"/>
        <v>人民币</v>
      </c>
      <c r="G24" s="1" t="str">
        <f t="shared" si="6"/>
        <v xml:space="preserve"> </v>
      </c>
      <c r="H24" s="1" t="str">
        <f t="shared" si="6"/>
        <v xml:space="preserve"> </v>
      </c>
      <c r="I24" s="1" t="str">
        <f t="shared" si="6"/>
        <v xml:space="preserve"> </v>
      </c>
      <c r="J24" s="1" t="str">
        <f t="shared" si="2"/>
        <v>卖出</v>
      </c>
      <c r="K24" s="1">
        <v>0</v>
      </c>
      <c r="L24" s="1">
        <v>0</v>
      </c>
      <c r="M24" s="1" t="str">
        <f>"快速取现退出资金拨入,产品代码940018,对方资产账户40000545correct_balance=0"</f>
        <v>快速取现退出资金拨入,产品代码940018,对方资产账户40000545correct_balance=0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tr">
        <f>"499"</f>
        <v>499</v>
      </c>
      <c r="B25" s="1" t="str">
        <f>"20200429"</f>
        <v>20200429</v>
      </c>
      <c r="C25" s="1" t="str">
        <f>"银行转取"</f>
        <v>银行转取</v>
      </c>
      <c r="D25" s="1" t="str">
        <f>"-25398.00"</f>
        <v>-25398.00</v>
      </c>
      <c r="E25" s="1">
        <v>0</v>
      </c>
      <c r="F25" s="1" t="str">
        <f t="shared" si="1"/>
        <v>人民币</v>
      </c>
      <c r="G25" s="1" t="str">
        <f t="shared" si="6"/>
        <v xml:space="preserve"> </v>
      </c>
      <c r="H25" s="1" t="str">
        <f t="shared" si="6"/>
        <v xml:space="preserve"> </v>
      </c>
      <c r="I25" s="1" t="str">
        <f t="shared" si="6"/>
        <v xml:space="preserve"> </v>
      </c>
      <c r="J25" s="1" t="str">
        <f t="shared" si="2"/>
        <v>卖出</v>
      </c>
      <c r="K25" s="1">
        <v>0</v>
      </c>
      <c r="L25" s="1">
        <v>0</v>
      </c>
      <c r="M25" s="1" t="str">
        <f>"银行返回码[ ]返回信息[0000 交易成功]|转账成功 转账账号:6225881012906292 correct_balance=25398"</f>
        <v>银行返回码[ ]返回信息[0000 交易成功]|转账成功 转账账号:6225881012906292 correct_balance=25398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">
      <c r="A26" s="1" t="str">
        <f>"14651"</f>
        <v>14651</v>
      </c>
      <c r="B26" s="1" t="str">
        <f>"20200429"</f>
        <v>20200429</v>
      </c>
      <c r="C26" s="1" t="str">
        <f>"基金资金拨入"</f>
        <v>基金资金拨入</v>
      </c>
      <c r="D26" s="1" t="str">
        <f>"0.35"</f>
        <v>0.35</v>
      </c>
      <c r="E26" s="1">
        <v>0.35</v>
      </c>
      <c r="F26" s="1" t="str">
        <f t="shared" si="1"/>
        <v>人民币</v>
      </c>
      <c r="G26" s="1" t="str">
        <f t="shared" si="6"/>
        <v xml:space="preserve"> </v>
      </c>
      <c r="H26" s="1" t="str">
        <f t="shared" si="6"/>
        <v xml:space="preserve"> </v>
      </c>
      <c r="I26" s="1" t="str">
        <f t="shared" si="6"/>
        <v xml:space="preserve"> </v>
      </c>
      <c r="J26" s="1" t="str">
        <f t="shared" si="2"/>
        <v>卖出</v>
      </c>
      <c r="K26" s="1">
        <v>0</v>
      </c>
      <c r="L26" s="1">
        <v>0</v>
      </c>
      <c r="M26" s="1" t="str">
        <f>"124增加金额 基金代码：940018,发生份额：.35"</f>
        <v>124增加金额 基金代码：940018,发生份额：.35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">
      <c r="A27" s="1" t="str">
        <f>"7761"</f>
        <v>7761</v>
      </c>
      <c r="B27" s="1" t="str">
        <f>"20200430"</f>
        <v>20200430</v>
      </c>
      <c r="C27" s="1" t="str">
        <f>"证券卖出"</f>
        <v>证券卖出</v>
      </c>
      <c r="D27" s="1" t="str">
        <f>"50334.73"</f>
        <v>50334.73</v>
      </c>
      <c r="E27" s="1">
        <v>50335.08</v>
      </c>
      <c r="F27" s="1" t="str">
        <f t="shared" si="1"/>
        <v>人民币</v>
      </c>
      <c r="G27" s="1" t="str">
        <f>"A280737240"</f>
        <v>A280737240</v>
      </c>
      <c r="H27" s="1" t="str">
        <f>"510500"</f>
        <v>510500</v>
      </c>
      <c r="I27" s="1" t="str">
        <f>"500ETF"</f>
        <v>500ETF</v>
      </c>
      <c r="J27" s="1" t="str">
        <f t="shared" si="2"/>
        <v>卖出</v>
      </c>
      <c r="K27" s="1">
        <v>5.7210000000000001</v>
      </c>
      <c r="L27" s="1">
        <v>-8800</v>
      </c>
      <c r="M27" s="1" t="str">
        <f>"证券卖出"</f>
        <v>证券卖出</v>
      </c>
      <c r="N27" s="1">
        <v>10.07</v>
      </c>
      <c r="O27" s="1">
        <v>0</v>
      </c>
      <c r="P27" s="1">
        <v>0</v>
      </c>
      <c r="Q27" s="1">
        <v>0</v>
      </c>
    </row>
    <row r="28" spans="1:17" x14ac:dyDescent="0.2">
      <c r="A28" s="1" t="str">
        <f>"7762"</f>
        <v>7762</v>
      </c>
      <c r="B28" s="1" t="str">
        <f>"20200430"</f>
        <v>20200430</v>
      </c>
      <c r="C28" s="1" t="str">
        <f>"证券卖出"</f>
        <v>证券卖出</v>
      </c>
      <c r="D28" s="1" t="str">
        <f>"2527.29"</f>
        <v>2527.29</v>
      </c>
      <c r="E28" s="1">
        <v>52862.37</v>
      </c>
      <c r="F28" s="1" t="str">
        <f t="shared" si="1"/>
        <v>人民币</v>
      </c>
      <c r="G28" s="1" t="str">
        <f>"A280737240"</f>
        <v>A280737240</v>
      </c>
      <c r="H28" s="1" t="str">
        <f>"512580"</f>
        <v>512580</v>
      </c>
      <c r="I28" s="1" t="str">
        <f>"环保ETF"</f>
        <v>环保ETF</v>
      </c>
      <c r="J28" s="1" t="str">
        <f t="shared" si="2"/>
        <v>卖出</v>
      </c>
      <c r="K28" s="1">
        <v>0.76600000000000001</v>
      </c>
      <c r="L28" s="1">
        <v>-3300</v>
      </c>
      <c r="M28" s="1" t="str">
        <f>"证券卖出"</f>
        <v>证券卖出</v>
      </c>
      <c r="N28" s="1">
        <v>0.51</v>
      </c>
      <c r="O28" s="1">
        <v>0</v>
      </c>
      <c r="P28" s="1">
        <v>0</v>
      </c>
      <c r="Q28" s="1">
        <v>0</v>
      </c>
    </row>
    <row r="29" spans="1:17" x14ac:dyDescent="0.2">
      <c r="A29" s="1" t="str">
        <f>"7763"</f>
        <v>7763</v>
      </c>
      <c r="B29" s="1" t="str">
        <f>"20200430"</f>
        <v>20200430</v>
      </c>
      <c r="C29" s="1" t="str">
        <f>"证券卖出"</f>
        <v>证券卖出</v>
      </c>
      <c r="D29" s="1" t="str">
        <f>"10349.73"</f>
        <v>10349.73</v>
      </c>
      <c r="E29" s="1">
        <v>63212.1</v>
      </c>
      <c r="F29" s="1" t="str">
        <f t="shared" si="1"/>
        <v>人民币</v>
      </c>
      <c r="G29" s="1" t="str">
        <f>"A280737240"</f>
        <v>A280737240</v>
      </c>
      <c r="H29" s="1" t="str">
        <f>"510500"</f>
        <v>510500</v>
      </c>
      <c r="I29" s="1" t="str">
        <f>"500ETF"</f>
        <v>500ETF</v>
      </c>
      <c r="J29" s="1" t="str">
        <f t="shared" si="2"/>
        <v>卖出</v>
      </c>
      <c r="K29" s="1">
        <v>5.7510000000000003</v>
      </c>
      <c r="L29" s="1">
        <v>-1800</v>
      </c>
      <c r="M29" s="1" t="str">
        <f>"证券卖出"</f>
        <v>证券卖出</v>
      </c>
      <c r="N29" s="1">
        <v>2.0699999999999998</v>
      </c>
      <c r="O29" s="1">
        <v>0</v>
      </c>
      <c r="P29" s="1">
        <v>0</v>
      </c>
      <c r="Q29" s="1">
        <v>0</v>
      </c>
    </row>
    <row r="30" spans="1:17" x14ac:dyDescent="0.2">
      <c r="A30" s="1" t="str">
        <f>"22535"</f>
        <v>22535</v>
      </c>
      <c r="B30" s="1" t="str">
        <f>"20200430"</f>
        <v>20200430</v>
      </c>
      <c r="C30" s="1" t="str">
        <f>"基金资金拨出"</f>
        <v>基金资金拨出</v>
      </c>
      <c r="D30" s="1" t="str">
        <f>"-63210.75"</f>
        <v>-63210.75</v>
      </c>
      <c r="E30" s="1">
        <v>1.35</v>
      </c>
      <c r="F30" s="1" t="str">
        <f t="shared" si="1"/>
        <v>人民币</v>
      </c>
      <c r="G30" s="1" t="str">
        <f t="shared" ref="G30:I37" si="7">" "</f>
        <v xml:space="preserve"> </v>
      </c>
      <c r="H30" s="1" t="str">
        <f t="shared" si="7"/>
        <v xml:space="preserve"> </v>
      </c>
      <c r="I30" s="1" t="str">
        <f t="shared" si="7"/>
        <v xml:space="preserve"> </v>
      </c>
      <c r="J30" s="1" t="str">
        <f t="shared" si="2"/>
        <v>卖出</v>
      </c>
      <c r="K30" s="1">
        <v>0</v>
      </c>
      <c r="L30" s="1">
        <v>0</v>
      </c>
      <c r="M30" s="1" t="str">
        <f>"122扣除金额 基金代码：940018,发生份额：63210.75"</f>
        <v>122扣除金额 基金代码：940018,发生份额：63210.75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">
      <c r="A31" s="1" t="str">
        <f>"1079"</f>
        <v>1079</v>
      </c>
      <c r="B31" s="1" t="str">
        <f>"20200506"</f>
        <v>20200506</v>
      </c>
      <c r="C31" s="1" t="str">
        <f>"资管转让资金上账"</f>
        <v>资管转让资金上账</v>
      </c>
      <c r="D31" s="1" t="str">
        <f>"63210.00"</f>
        <v>63210.00</v>
      </c>
      <c r="E31" s="1">
        <v>63211.35</v>
      </c>
      <c r="F31" s="1" t="str">
        <f t="shared" si="1"/>
        <v>人民币</v>
      </c>
      <c r="G31" s="1" t="str">
        <f t="shared" si="7"/>
        <v xml:space="preserve"> </v>
      </c>
      <c r="H31" s="1" t="str">
        <f t="shared" si="7"/>
        <v xml:space="preserve"> </v>
      </c>
      <c r="I31" s="1" t="str">
        <f t="shared" si="7"/>
        <v xml:space="preserve"> </v>
      </c>
      <c r="J31" s="1" t="str">
        <f t="shared" si="2"/>
        <v>卖出</v>
      </c>
      <c r="K31" s="1">
        <v>0</v>
      </c>
      <c r="L31" s="1">
        <v>0</v>
      </c>
      <c r="M31" s="1" t="str">
        <f>"快速取现退出资金拨入,产品代码940018,对方资产账户40000545correct_balance=0"</f>
        <v>快速取现退出资金拨入,产品代码940018,对方资产账户40000545correct_balance=0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2">
      <c r="A32" s="1" t="str">
        <f>"1082"</f>
        <v>1082</v>
      </c>
      <c r="B32" s="1" t="str">
        <f>"20200506"</f>
        <v>20200506</v>
      </c>
      <c r="C32" s="1" t="str">
        <f>"银行转取"</f>
        <v>银行转取</v>
      </c>
      <c r="D32" s="1" t="str">
        <f>"-63211.35"</f>
        <v>-63211.35</v>
      </c>
      <c r="E32" s="1">
        <v>0</v>
      </c>
      <c r="F32" s="1" t="str">
        <f t="shared" si="1"/>
        <v>人民币</v>
      </c>
      <c r="G32" s="1" t="str">
        <f t="shared" si="7"/>
        <v xml:space="preserve"> </v>
      </c>
      <c r="H32" s="1" t="str">
        <f t="shared" si="7"/>
        <v xml:space="preserve"> </v>
      </c>
      <c r="I32" s="1" t="str">
        <f t="shared" si="7"/>
        <v xml:space="preserve"> </v>
      </c>
      <c r="J32" s="1" t="str">
        <f t="shared" si="2"/>
        <v>卖出</v>
      </c>
      <c r="K32" s="1">
        <v>0</v>
      </c>
      <c r="L32" s="1">
        <v>0</v>
      </c>
      <c r="M32" s="1" t="str">
        <f>"银行返回码[ ]返回信息[0000 交易成功]|转账成功 转账账号:6225881012906292 correct_balance=63211.35"</f>
        <v>银行返回码[ ]返回信息[0000 交易成功]|转账成功 转账账号:6225881012906292 correct_balance=63211.35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2">
      <c r="A33" s="1" t="str">
        <f>"9617"</f>
        <v>9617</v>
      </c>
      <c r="B33" s="1" t="str">
        <f>"20200506"</f>
        <v>20200506</v>
      </c>
      <c r="C33" s="1" t="str">
        <f>"基金资金拨入"</f>
        <v>基金资金拨入</v>
      </c>
      <c r="D33" s="1" t="str">
        <f>"0.75"</f>
        <v>0.75</v>
      </c>
      <c r="E33" s="1">
        <v>0.75</v>
      </c>
      <c r="F33" s="1" t="str">
        <f t="shared" si="1"/>
        <v>人民币</v>
      </c>
      <c r="G33" s="1" t="str">
        <f t="shared" si="7"/>
        <v xml:space="preserve"> </v>
      </c>
      <c r="H33" s="1" t="str">
        <f t="shared" si="7"/>
        <v xml:space="preserve"> </v>
      </c>
      <c r="I33" s="1" t="str">
        <f t="shared" si="7"/>
        <v xml:space="preserve"> </v>
      </c>
      <c r="J33" s="1" t="str">
        <f t="shared" si="2"/>
        <v>卖出</v>
      </c>
      <c r="K33" s="1">
        <v>0</v>
      </c>
      <c r="L33" s="1">
        <v>0</v>
      </c>
      <c r="M33" s="1" t="str">
        <f>"124增加金额 基金代码：940018,发生份额：.75"</f>
        <v>124增加金额 基金代码：940018,发生份额：.75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2">
      <c r="A34" s="1" t="str">
        <f>"12077"</f>
        <v>12077</v>
      </c>
      <c r="B34" s="1" t="str">
        <f>"20200508"</f>
        <v>20200508</v>
      </c>
      <c r="C34" s="1" t="str">
        <f>"基金资金拨出"</f>
        <v>基金资金拨出</v>
      </c>
      <c r="D34" s="1" t="str">
        <f>"-0.75"</f>
        <v>-0.75</v>
      </c>
      <c r="E34" s="1">
        <v>0</v>
      </c>
      <c r="F34" s="1" t="str">
        <f t="shared" si="1"/>
        <v>人民币</v>
      </c>
      <c r="G34" s="1" t="str">
        <f t="shared" si="7"/>
        <v xml:space="preserve"> </v>
      </c>
      <c r="H34" s="1" t="str">
        <f t="shared" si="7"/>
        <v xml:space="preserve"> </v>
      </c>
      <c r="I34" s="1" t="str">
        <f t="shared" si="7"/>
        <v xml:space="preserve"> </v>
      </c>
      <c r="J34" s="1" t="str">
        <f t="shared" si="2"/>
        <v>卖出</v>
      </c>
      <c r="K34" s="1">
        <v>0</v>
      </c>
      <c r="L34" s="1">
        <v>0</v>
      </c>
      <c r="M34" s="1" t="str">
        <f>"122扣除金额 基金代码：940018,发生份额：.75"</f>
        <v>122扣除金额 基金代码：940018,发生份额：.75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2">
      <c r="A35" s="1" t="str">
        <f>"14794"</f>
        <v>14794</v>
      </c>
      <c r="B35" s="1" t="str">
        <f>"20200511"</f>
        <v>20200511</v>
      </c>
      <c r="C35" s="1" t="str">
        <f>"基金资金拨入"</f>
        <v>基金资金拨入</v>
      </c>
      <c r="D35" s="1" t="str">
        <f>"0.39"</f>
        <v>0.39</v>
      </c>
      <c r="E35" s="1">
        <v>0.39</v>
      </c>
      <c r="F35" s="1" t="str">
        <f t="shared" si="1"/>
        <v>人民币</v>
      </c>
      <c r="G35" s="1" t="str">
        <f t="shared" si="7"/>
        <v xml:space="preserve"> </v>
      </c>
      <c r="H35" s="1" t="str">
        <f t="shared" si="7"/>
        <v xml:space="preserve"> </v>
      </c>
      <c r="I35" s="1" t="str">
        <f t="shared" si="7"/>
        <v xml:space="preserve"> </v>
      </c>
      <c r="J35" s="1" t="str">
        <f t="shared" si="2"/>
        <v>卖出</v>
      </c>
      <c r="K35" s="1">
        <v>0</v>
      </c>
      <c r="L35" s="1">
        <v>0</v>
      </c>
      <c r="M35" s="1" t="str">
        <f>"124增加金额 基金代码：004749,发生份额：.39"</f>
        <v>124增加金额 基金代码：004749,发生份额：.39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2">
      <c r="A36" s="1" t="str">
        <f>"1378"</f>
        <v>1378</v>
      </c>
      <c r="B36" s="1" t="str">
        <f>"20200512"</f>
        <v>20200512</v>
      </c>
      <c r="C36" s="1" t="str">
        <f>"基金资金拨入"</f>
        <v>基金资金拨入</v>
      </c>
      <c r="D36" s="1" t="str">
        <f>"1.80"</f>
        <v>1.80</v>
      </c>
      <c r="E36" s="1">
        <v>2.19</v>
      </c>
      <c r="F36" s="1" t="str">
        <f t="shared" si="1"/>
        <v>人民币</v>
      </c>
      <c r="G36" s="1" t="str">
        <f t="shared" si="7"/>
        <v xml:space="preserve"> </v>
      </c>
      <c r="H36" s="1" t="str">
        <f t="shared" si="7"/>
        <v xml:space="preserve"> </v>
      </c>
      <c r="I36" s="1" t="str">
        <f t="shared" si="7"/>
        <v xml:space="preserve"> </v>
      </c>
      <c r="J36" s="1" t="str">
        <f t="shared" si="2"/>
        <v>卖出</v>
      </c>
      <c r="K36" s="1">
        <v>0</v>
      </c>
      <c r="L36" s="1">
        <v>0</v>
      </c>
      <c r="M36" s="1" t="str">
        <f>"124增加金额 基金代码：003474,发生份额：1.8,基金实时交收入账"</f>
        <v>124增加金额 基金代码：003474,发生份额：1.8,基金实时交收入账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2">
      <c r="A37" s="1" t="str">
        <f>"11557"</f>
        <v>11557</v>
      </c>
      <c r="B37" s="1" t="str">
        <f>"20200512"</f>
        <v>20200512</v>
      </c>
      <c r="C37" s="1" t="str">
        <f>"基金资金拨出"</f>
        <v>基金资金拨出</v>
      </c>
      <c r="D37" s="1" t="str">
        <f>"-2.19"</f>
        <v>-2.19</v>
      </c>
      <c r="E37" s="1">
        <v>0</v>
      </c>
      <c r="F37" s="1" t="str">
        <f t="shared" si="1"/>
        <v>人民币</v>
      </c>
      <c r="G37" s="1" t="str">
        <f t="shared" si="7"/>
        <v xml:space="preserve"> </v>
      </c>
      <c r="H37" s="1" t="str">
        <f t="shared" si="7"/>
        <v xml:space="preserve"> </v>
      </c>
      <c r="I37" s="1" t="str">
        <f t="shared" si="7"/>
        <v xml:space="preserve"> </v>
      </c>
      <c r="J37" s="1" t="str">
        <f t="shared" si="2"/>
        <v>卖出</v>
      </c>
      <c r="K37" s="1">
        <v>0</v>
      </c>
      <c r="L37" s="1">
        <v>0</v>
      </c>
      <c r="M37" s="1" t="str">
        <f>"122扣除金额 基金代码：940018,发生份额：2.19"</f>
        <v>122扣除金额 基金代码：940018,发生份额：2.19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2">
      <c r="A38" s="1" t="str">
        <f>"3923"</f>
        <v>3923</v>
      </c>
      <c r="B38" s="1" t="str">
        <f>"20200519"</f>
        <v>20200519</v>
      </c>
      <c r="C38" s="1" t="str">
        <f>"证券卖出"</f>
        <v>证券卖出</v>
      </c>
      <c r="D38" s="1" t="str">
        <f>"10787.04"</f>
        <v>10787.04</v>
      </c>
      <c r="E38" s="1">
        <v>10787.04</v>
      </c>
      <c r="F38" s="1" t="str">
        <f t="shared" si="1"/>
        <v>人民币</v>
      </c>
      <c r="G38" s="1" t="str">
        <f>"A280737240"</f>
        <v>A280737240</v>
      </c>
      <c r="H38" s="1" t="str">
        <f>"510500"</f>
        <v>510500</v>
      </c>
      <c r="I38" s="1" t="str">
        <f>"500ETF"</f>
        <v>500ETF</v>
      </c>
      <c r="J38" s="1" t="str">
        <f t="shared" si="2"/>
        <v>卖出</v>
      </c>
      <c r="K38" s="1">
        <v>5.9939999999999998</v>
      </c>
      <c r="L38" s="1">
        <v>-1800</v>
      </c>
      <c r="M38" s="1" t="str">
        <f>"证券卖出"</f>
        <v>证券卖出</v>
      </c>
      <c r="N38" s="1">
        <v>2.16</v>
      </c>
      <c r="O38" s="1">
        <v>0</v>
      </c>
      <c r="P38" s="1">
        <v>0</v>
      </c>
      <c r="Q38" s="1">
        <v>0</v>
      </c>
    </row>
    <row r="39" spans="1:17" x14ac:dyDescent="0.2">
      <c r="A39" s="1" t="str">
        <f>"8298"</f>
        <v>8298</v>
      </c>
      <c r="B39" s="1" t="str">
        <f>"20200519"</f>
        <v>20200519</v>
      </c>
      <c r="C39" s="1" t="str">
        <f>"基金资金拨出"</f>
        <v>基金资金拨出</v>
      </c>
      <c r="D39" s="1" t="str">
        <f>"-10786.04"</f>
        <v>-10786.04</v>
      </c>
      <c r="E39" s="1">
        <v>1</v>
      </c>
      <c r="F39" s="1" t="str">
        <f t="shared" si="1"/>
        <v>人民币</v>
      </c>
      <c r="G39" s="1" t="str">
        <f t="shared" ref="G39:I42" si="8">" "</f>
        <v xml:space="preserve"> </v>
      </c>
      <c r="H39" s="1" t="str">
        <f t="shared" si="8"/>
        <v xml:space="preserve"> </v>
      </c>
      <c r="I39" s="1" t="str">
        <f t="shared" si="8"/>
        <v xml:space="preserve"> </v>
      </c>
      <c r="J39" s="1" t="str">
        <f t="shared" si="2"/>
        <v>卖出</v>
      </c>
      <c r="K39" s="1">
        <v>0</v>
      </c>
      <c r="L39" s="1">
        <v>0</v>
      </c>
      <c r="M39" s="1" t="str">
        <f>"122扣除金额 基金代码：940018,发生份额：10786.04"</f>
        <v>122扣除金额 基金代码：940018,发生份额：10786.04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2">
      <c r="A40" s="1" t="str">
        <f>"2579"</f>
        <v>2579</v>
      </c>
      <c r="B40" s="1" t="str">
        <f>"20200520"</f>
        <v>20200520</v>
      </c>
      <c r="C40" s="1" t="str">
        <f>"基金资金拨出"</f>
        <v>基金资金拨出</v>
      </c>
      <c r="D40" s="1" t="str">
        <f>"-1.00"</f>
        <v>-1.00</v>
      </c>
      <c r="E40" s="1">
        <v>0</v>
      </c>
      <c r="F40" s="1" t="str">
        <f t="shared" si="1"/>
        <v>人民币</v>
      </c>
      <c r="G40" s="1" t="str">
        <f t="shared" si="8"/>
        <v xml:space="preserve"> </v>
      </c>
      <c r="H40" s="1" t="str">
        <f t="shared" si="8"/>
        <v xml:space="preserve"> </v>
      </c>
      <c r="I40" s="1" t="str">
        <f t="shared" si="8"/>
        <v xml:space="preserve"> </v>
      </c>
      <c r="J40" s="1" t="str">
        <f t="shared" si="2"/>
        <v>卖出</v>
      </c>
      <c r="K40" s="1">
        <v>0</v>
      </c>
      <c r="L40" s="1">
        <v>0</v>
      </c>
      <c r="M40" s="1" t="str">
        <f>"122扣除金额 基金代码：940018,发生份额：1"</f>
        <v>122扣除金额 基金代码：940018,发生份额：1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2">
      <c r="A41" s="1" t="str">
        <f>"867"</f>
        <v>867</v>
      </c>
      <c r="B41" s="1" t="str">
        <f>"20200522"</f>
        <v>20200522</v>
      </c>
      <c r="C41" s="1" t="str">
        <f>"资管转让资金上账"</f>
        <v>资管转让资金上账</v>
      </c>
      <c r="D41" s="1" t="str">
        <f>"10789.00"</f>
        <v>10789.00</v>
      </c>
      <c r="E41" s="1">
        <v>10789</v>
      </c>
      <c r="F41" s="1" t="str">
        <f t="shared" si="1"/>
        <v>人民币</v>
      </c>
      <c r="G41" s="1" t="str">
        <f t="shared" si="8"/>
        <v xml:space="preserve"> </v>
      </c>
      <c r="H41" s="1" t="str">
        <f t="shared" si="8"/>
        <v xml:space="preserve"> </v>
      </c>
      <c r="I41" s="1" t="str">
        <f t="shared" si="8"/>
        <v xml:space="preserve"> </v>
      </c>
      <c r="J41" s="1" t="str">
        <f t="shared" si="2"/>
        <v>卖出</v>
      </c>
      <c r="K41" s="1">
        <v>0</v>
      </c>
      <c r="L41" s="1">
        <v>0</v>
      </c>
      <c r="M41" s="1" t="str">
        <f>"快速取现退出资金拨入,产品代码940018,对方资产账户40000545correct_balance=0"</f>
        <v>快速取现退出资金拨入,产品代码940018,对方资产账户40000545correct_balance=0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2">
      <c r="A42" s="1" t="str">
        <f>"870"</f>
        <v>870</v>
      </c>
      <c r="B42" s="1" t="str">
        <f>"20200522"</f>
        <v>20200522</v>
      </c>
      <c r="C42" s="1" t="str">
        <f>"银行转取"</f>
        <v>银行转取</v>
      </c>
      <c r="D42" s="1" t="str">
        <f>"-10789.00"</f>
        <v>-10789.00</v>
      </c>
      <c r="E42" s="1">
        <v>0</v>
      </c>
      <c r="F42" s="1" t="str">
        <f t="shared" si="1"/>
        <v>人民币</v>
      </c>
      <c r="G42" s="1" t="str">
        <f t="shared" si="8"/>
        <v xml:space="preserve"> </v>
      </c>
      <c r="H42" s="1" t="str">
        <f t="shared" si="8"/>
        <v xml:space="preserve"> </v>
      </c>
      <c r="I42" s="1" t="str">
        <f t="shared" si="8"/>
        <v xml:space="preserve"> </v>
      </c>
      <c r="J42" s="1" t="str">
        <f t="shared" si="2"/>
        <v>卖出</v>
      </c>
      <c r="K42" s="1">
        <v>0</v>
      </c>
      <c r="L42" s="1">
        <v>0</v>
      </c>
      <c r="M42" s="1" t="str">
        <f>"银行返回码[ ]返回信息[0000 交易成功]|转账成功 转账账号:6225881012906292 correct_balance=10789"</f>
        <v>银行返回码[ ]返回信息[0000 交易成功]|转账成功 转账账号:6225881012906292 correct_balance=10789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2">
      <c r="A43" s="1" t="str">
        <f>"2828"</f>
        <v>2828</v>
      </c>
      <c r="B43" s="1" t="str">
        <f>"20200526"</f>
        <v>20200526</v>
      </c>
      <c r="C43" s="1" t="str">
        <f>"证券卖出"</f>
        <v>证券卖出</v>
      </c>
      <c r="D43" s="1" t="str">
        <f>"10571.09"</f>
        <v>10571.09</v>
      </c>
      <c r="E43" s="1">
        <v>10571.09</v>
      </c>
      <c r="F43" s="1" t="str">
        <f t="shared" si="1"/>
        <v>人民币</v>
      </c>
      <c r="G43" s="1" t="str">
        <f>"A280737240"</f>
        <v>A280737240</v>
      </c>
      <c r="H43" s="1" t="str">
        <f>"510500"</f>
        <v>510500</v>
      </c>
      <c r="I43" s="1" t="str">
        <f>"500ETF"</f>
        <v>500ETF</v>
      </c>
      <c r="J43" s="1" t="str">
        <f t="shared" si="2"/>
        <v>卖出</v>
      </c>
      <c r="K43" s="1">
        <v>5.8739999999999997</v>
      </c>
      <c r="L43" s="1">
        <v>-1800</v>
      </c>
      <c r="M43" s="1" t="str">
        <f>"证券卖出"</f>
        <v>证券卖出</v>
      </c>
      <c r="N43" s="1">
        <v>2.11</v>
      </c>
      <c r="O43" s="1">
        <v>0</v>
      </c>
      <c r="P43" s="1">
        <v>0</v>
      </c>
      <c r="Q43" s="1">
        <v>0</v>
      </c>
    </row>
    <row r="44" spans="1:17" x14ac:dyDescent="0.2">
      <c r="A44" s="1" t="str">
        <f>"8367"</f>
        <v>8367</v>
      </c>
      <c r="B44" s="1" t="str">
        <f>"20200526"</f>
        <v>20200526</v>
      </c>
      <c r="C44" s="1" t="str">
        <f>"基金资金拨出"</f>
        <v>基金资金拨出</v>
      </c>
      <c r="D44" s="1" t="str">
        <f>"-10570.09"</f>
        <v>-10570.09</v>
      </c>
      <c r="E44" s="1">
        <v>1</v>
      </c>
      <c r="F44" s="1" t="str">
        <f t="shared" si="1"/>
        <v>人民币</v>
      </c>
      <c r="G44" s="1" t="str">
        <f t="shared" ref="G44:I48" si="9">" "</f>
        <v xml:space="preserve"> </v>
      </c>
      <c r="H44" s="1" t="str">
        <f t="shared" si="9"/>
        <v xml:space="preserve"> </v>
      </c>
      <c r="I44" s="1" t="str">
        <f t="shared" si="9"/>
        <v xml:space="preserve"> </v>
      </c>
      <c r="J44" s="1" t="str">
        <f t="shared" si="2"/>
        <v>卖出</v>
      </c>
      <c r="K44" s="1">
        <v>0</v>
      </c>
      <c r="L44" s="1">
        <v>0</v>
      </c>
      <c r="M44" s="1" t="str">
        <f>"122扣除金额 基金代码：940018,发生份额：10570.09"</f>
        <v>122扣除金额 基金代码：940018,发生份额：10570.09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">
      <c r="A45" s="1" t="str">
        <f>"617"</f>
        <v>617</v>
      </c>
      <c r="B45" s="1" t="str">
        <f>"20200527"</f>
        <v>20200527</v>
      </c>
      <c r="C45" s="1" t="str">
        <f>"资管转让资金上账"</f>
        <v>资管转让资金上账</v>
      </c>
      <c r="D45" s="1" t="str">
        <f>"10571.00"</f>
        <v>10571.00</v>
      </c>
      <c r="E45" s="1">
        <v>10572</v>
      </c>
      <c r="F45" s="1" t="str">
        <f t="shared" si="1"/>
        <v>人民币</v>
      </c>
      <c r="G45" s="1" t="str">
        <f t="shared" si="9"/>
        <v xml:space="preserve"> </v>
      </c>
      <c r="H45" s="1" t="str">
        <f t="shared" si="9"/>
        <v xml:space="preserve"> </v>
      </c>
      <c r="I45" s="1" t="str">
        <f t="shared" si="9"/>
        <v xml:space="preserve"> </v>
      </c>
      <c r="J45" s="1" t="str">
        <f t="shared" si="2"/>
        <v>卖出</v>
      </c>
      <c r="K45" s="1">
        <v>0</v>
      </c>
      <c r="L45" s="1">
        <v>0</v>
      </c>
      <c r="M45" s="1" t="str">
        <f>"快速取现退出资金拨入,产品代码940018,对方资产账户40000545correct_balance=0"</f>
        <v>快速取现退出资金拨入,产品代码940018,对方资产账户40000545correct_balance=0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2">
      <c r="A46" s="1" t="str">
        <f>"620"</f>
        <v>620</v>
      </c>
      <c r="B46" s="1" t="str">
        <f>"20200527"</f>
        <v>20200527</v>
      </c>
      <c r="C46" s="1" t="str">
        <f>"银行转取"</f>
        <v>银行转取</v>
      </c>
      <c r="D46" s="1" t="str">
        <f>"-10572.00"</f>
        <v>-10572.00</v>
      </c>
      <c r="E46" s="1">
        <v>0</v>
      </c>
      <c r="F46" s="1" t="str">
        <f t="shared" si="1"/>
        <v>人民币</v>
      </c>
      <c r="G46" s="1" t="str">
        <f t="shared" si="9"/>
        <v xml:space="preserve"> </v>
      </c>
      <c r="H46" s="1" t="str">
        <f t="shared" si="9"/>
        <v xml:space="preserve"> </v>
      </c>
      <c r="I46" s="1" t="str">
        <f t="shared" si="9"/>
        <v xml:space="preserve"> </v>
      </c>
      <c r="J46" s="1" t="str">
        <f t="shared" si="2"/>
        <v>卖出</v>
      </c>
      <c r="K46" s="1">
        <v>0</v>
      </c>
      <c r="L46" s="1">
        <v>0</v>
      </c>
      <c r="M46" s="1" t="str">
        <f>"银行返回码[ ]返回信息[0000 交易成功]|转账成功 转账账号:6225881012906292 correct_balance=10572"</f>
        <v>银行返回码[ ]返回信息[0000 交易成功]|转账成功 转账账号:6225881012906292 correct_balance=10572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2">
      <c r="A47" s="1" t="str">
        <f>"9673"</f>
        <v>9673</v>
      </c>
      <c r="B47" s="1" t="str">
        <f>"20200527"</f>
        <v>20200527</v>
      </c>
      <c r="C47" s="1" t="str">
        <f>"基金资金拨入"</f>
        <v>基金资金拨入</v>
      </c>
      <c r="D47" s="1" t="str">
        <f>"0.93"</f>
        <v>0.93</v>
      </c>
      <c r="E47" s="1">
        <v>0.93</v>
      </c>
      <c r="F47" s="1" t="str">
        <f t="shared" si="1"/>
        <v>人民币</v>
      </c>
      <c r="G47" s="1" t="str">
        <f t="shared" si="9"/>
        <v xml:space="preserve"> </v>
      </c>
      <c r="H47" s="1" t="str">
        <f t="shared" si="9"/>
        <v xml:space="preserve"> </v>
      </c>
      <c r="I47" s="1" t="str">
        <f t="shared" si="9"/>
        <v xml:space="preserve"> </v>
      </c>
      <c r="J47" s="1" t="str">
        <f t="shared" si="2"/>
        <v>卖出</v>
      </c>
      <c r="K47" s="1">
        <v>0</v>
      </c>
      <c r="L47" s="1">
        <v>0</v>
      </c>
      <c r="M47" s="1" t="str">
        <f>"124增加金额 基金代码：940018,发生份额：.93"</f>
        <v>124增加金额 基金代码：940018,发生份额：.93</v>
      </c>
      <c r="N47" s="1">
        <v>0</v>
      </c>
      <c r="O47" s="1">
        <v>0</v>
      </c>
      <c r="P47" s="1">
        <v>0</v>
      </c>
      <c r="Q47" s="1">
        <v>0</v>
      </c>
    </row>
    <row r="48" spans="1:17" x14ac:dyDescent="0.2">
      <c r="A48" s="1" t="str">
        <f>"2993"</f>
        <v>2993</v>
      </c>
      <c r="B48" s="1" t="str">
        <f>"20200529"</f>
        <v>20200529</v>
      </c>
      <c r="C48" s="1" t="str">
        <f>"基金资金拨出"</f>
        <v>基金资金拨出</v>
      </c>
      <c r="D48" s="1" t="str">
        <f>"-10549.42"</f>
        <v>-10549.42</v>
      </c>
      <c r="E48" s="1">
        <v>-10548.49</v>
      </c>
      <c r="F48" s="1" t="str">
        <f t="shared" si="1"/>
        <v>人民币</v>
      </c>
      <c r="G48" s="1" t="str">
        <f t="shared" si="9"/>
        <v xml:space="preserve"> </v>
      </c>
      <c r="H48" s="1" t="str">
        <f t="shared" si="9"/>
        <v xml:space="preserve"> </v>
      </c>
      <c r="I48" s="1" t="str">
        <f t="shared" si="9"/>
        <v xml:space="preserve"> </v>
      </c>
      <c r="J48" s="1" t="str">
        <f t="shared" si="2"/>
        <v>卖出</v>
      </c>
      <c r="K48" s="1">
        <v>0</v>
      </c>
      <c r="L48" s="1">
        <v>0</v>
      </c>
      <c r="M48" s="1" t="str">
        <f>"122扣除金额 基金代码：940018,发生份额：10549.42"</f>
        <v>122扣除金额 基金代码：940018,发生份额：10549.42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2">
      <c r="A49" s="1" t="str">
        <f>"5457"</f>
        <v>5457</v>
      </c>
      <c r="B49" s="1" t="str">
        <f>"20200529"</f>
        <v>20200529</v>
      </c>
      <c r="C49" s="1" t="str">
        <f>"证券卖出"</f>
        <v>证券卖出</v>
      </c>
      <c r="D49" s="1" t="str">
        <f>"10549.49"</f>
        <v>10549.49</v>
      </c>
      <c r="E49" s="1">
        <v>1</v>
      </c>
      <c r="F49" s="1" t="str">
        <f t="shared" si="1"/>
        <v>人民币</v>
      </c>
      <c r="G49" s="1" t="str">
        <f>"A280737240"</f>
        <v>A280737240</v>
      </c>
      <c r="H49" s="1" t="str">
        <f>"510500"</f>
        <v>510500</v>
      </c>
      <c r="I49" s="1" t="str">
        <f>"500ETF"</f>
        <v>500ETF</v>
      </c>
      <c r="J49" s="1" t="str">
        <f t="shared" si="2"/>
        <v>卖出</v>
      </c>
      <c r="K49" s="1">
        <v>5.8620000000000001</v>
      </c>
      <c r="L49" s="1">
        <v>-1800</v>
      </c>
      <c r="M49" s="1" t="str">
        <f>"证券卖出"</f>
        <v>证券卖出</v>
      </c>
      <c r="N49" s="1">
        <v>2.11</v>
      </c>
      <c r="O49" s="1">
        <v>0</v>
      </c>
      <c r="P49" s="1">
        <v>0</v>
      </c>
      <c r="Q49" s="1">
        <v>0</v>
      </c>
    </row>
    <row r="50" spans="1:17" x14ac:dyDescent="0.2">
      <c r="A50" s="1" t="str">
        <f>"3172"</f>
        <v>3172</v>
      </c>
      <c r="B50" s="1" t="str">
        <f>"20200601"</f>
        <v>20200601</v>
      </c>
      <c r="C50" s="1" t="str">
        <f>"基金资金拨出"</f>
        <v>基金资金拨出</v>
      </c>
      <c r="D50" s="1" t="str">
        <f>"-10797.84"</f>
        <v>-10797.84</v>
      </c>
      <c r="E50" s="1">
        <v>-10796.84</v>
      </c>
      <c r="F50" s="1" t="str">
        <f t="shared" si="1"/>
        <v>人民币</v>
      </c>
      <c r="G50" s="1" t="str">
        <f>" "</f>
        <v xml:space="preserve"> </v>
      </c>
      <c r="H50" s="1" t="str">
        <f>" "</f>
        <v xml:space="preserve"> </v>
      </c>
      <c r="I50" s="1" t="str">
        <f>" "</f>
        <v xml:space="preserve"> </v>
      </c>
      <c r="J50" s="1" t="str">
        <f t="shared" si="2"/>
        <v>卖出</v>
      </c>
      <c r="K50" s="1">
        <v>0</v>
      </c>
      <c r="L50" s="1">
        <v>0</v>
      </c>
      <c r="M50" s="1" t="str">
        <f>"122扣除金额 基金代码：940018,发生份额：10797.84"</f>
        <v>122扣除金额 基金代码：940018,发生份额：10797.84</v>
      </c>
      <c r="N50" s="1">
        <v>0</v>
      </c>
      <c r="O50" s="1">
        <v>0</v>
      </c>
      <c r="P50" s="1">
        <v>0</v>
      </c>
      <c r="Q50" s="1">
        <v>0</v>
      </c>
    </row>
    <row r="51" spans="1:17" x14ac:dyDescent="0.2">
      <c r="A51" s="1" t="str">
        <f>"6450"</f>
        <v>6450</v>
      </c>
      <c r="B51" s="1" t="str">
        <f>"20200601"</f>
        <v>20200601</v>
      </c>
      <c r="C51" s="1" t="str">
        <f>"证券卖出"</f>
        <v>证券卖出</v>
      </c>
      <c r="D51" s="1" t="str">
        <f>"10797.84"</f>
        <v>10797.84</v>
      </c>
      <c r="E51" s="1">
        <v>1</v>
      </c>
      <c r="F51" s="1" t="str">
        <f t="shared" si="1"/>
        <v>人民币</v>
      </c>
      <c r="G51" s="1" t="str">
        <f>"A280737240"</f>
        <v>A280737240</v>
      </c>
      <c r="H51" s="1" t="str">
        <f>"510500"</f>
        <v>510500</v>
      </c>
      <c r="I51" s="1" t="str">
        <f>"500ETF"</f>
        <v>500ETF</v>
      </c>
      <c r="J51" s="1" t="str">
        <f t="shared" si="2"/>
        <v>卖出</v>
      </c>
      <c r="K51" s="1">
        <v>6</v>
      </c>
      <c r="L51" s="1">
        <v>-1800</v>
      </c>
      <c r="M51" s="1" t="str">
        <f>"证券卖出"</f>
        <v>证券卖出</v>
      </c>
      <c r="N51" s="1">
        <v>2.16</v>
      </c>
      <c r="O51" s="1">
        <v>0</v>
      </c>
      <c r="P51" s="1">
        <v>0</v>
      </c>
      <c r="Q51" s="1">
        <v>0</v>
      </c>
    </row>
    <row r="52" spans="1:17" x14ac:dyDescent="0.2">
      <c r="A52" s="1" t="str">
        <f>"799"</f>
        <v>799</v>
      </c>
      <c r="B52" s="1" t="str">
        <f>"20200602"</f>
        <v>20200602</v>
      </c>
      <c r="C52" s="1" t="str">
        <f>"资管转让资金上账"</f>
        <v>资管转让资金上账</v>
      </c>
      <c r="D52" s="1" t="str">
        <f>"19891.00"</f>
        <v>19891.00</v>
      </c>
      <c r="E52" s="1">
        <v>19892</v>
      </c>
      <c r="F52" s="1" t="str">
        <f t="shared" si="1"/>
        <v>人民币</v>
      </c>
      <c r="G52" s="1" t="str">
        <f t="shared" ref="G52:I55" si="10">" "</f>
        <v xml:space="preserve"> </v>
      </c>
      <c r="H52" s="1" t="str">
        <f t="shared" si="10"/>
        <v xml:space="preserve"> </v>
      </c>
      <c r="I52" s="1" t="str">
        <f t="shared" si="10"/>
        <v xml:space="preserve"> </v>
      </c>
      <c r="J52" s="1" t="str">
        <f t="shared" si="2"/>
        <v>卖出</v>
      </c>
      <c r="K52" s="1">
        <v>0</v>
      </c>
      <c r="L52" s="1">
        <v>0</v>
      </c>
      <c r="M52" s="1" t="str">
        <f>"快速取现退出资金拨入,产品代码940018,对方资产账户40000545correct_balance=0"</f>
        <v>快速取现退出资金拨入,产品代码940018,对方资产账户40000545correct_balance=0</v>
      </c>
      <c r="N52" s="1">
        <v>0</v>
      </c>
      <c r="O52" s="1">
        <v>0</v>
      </c>
      <c r="P52" s="1">
        <v>0</v>
      </c>
      <c r="Q52" s="1">
        <v>0</v>
      </c>
    </row>
    <row r="53" spans="1:17" x14ac:dyDescent="0.2">
      <c r="A53" s="1" t="str">
        <f>"803"</f>
        <v>803</v>
      </c>
      <c r="B53" s="1" t="str">
        <f>"20200602"</f>
        <v>20200602</v>
      </c>
      <c r="C53" s="1" t="str">
        <f>"银行转取"</f>
        <v>银行转取</v>
      </c>
      <c r="D53" s="1" t="str">
        <f>"-19892.00"</f>
        <v>-19892.00</v>
      </c>
      <c r="E53" s="1">
        <v>0</v>
      </c>
      <c r="F53" s="1" t="str">
        <f t="shared" si="1"/>
        <v>人民币</v>
      </c>
      <c r="G53" s="1" t="str">
        <f t="shared" si="10"/>
        <v xml:space="preserve"> </v>
      </c>
      <c r="H53" s="1" t="str">
        <f t="shared" si="10"/>
        <v xml:space="preserve"> </v>
      </c>
      <c r="I53" s="1" t="str">
        <f t="shared" si="10"/>
        <v xml:space="preserve"> </v>
      </c>
      <c r="J53" s="1" t="str">
        <f t="shared" si="2"/>
        <v>卖出</v>
      </c>
      <c r="K53" s="1">
        <v>0</v>
      </c>
      <c r="L53" s="1">
        <v>0</v>
      </c>
      <c r="M53" s="1" t="str">
        <f>"银行返回码[ ]返回信息[0000 交易成功]|转账成功 转账账号:6225881012906292 correct_balance=19892"</f>
        <v>银行返回码[ ]返回信息[0000 交易成功]|转账成功 转账账号:6225881012906292 correct_balance=19892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2">
      <c r="A54" s="1" t="str">
        <f>"807"</f>
        <v>807</v>
      </c>
      <c r="B54" s="1" t="str">
        <f>"20200602"</f>
        <v>20200602</v>
      </c>
      <c r="C54" s="1" t="str">
        <f>"资管转让资金上账"</f>
        <v>资管转让资金上账</v>
      </c>
      <c r="D54" s="1" t="str">
        <f>"1456.00"</f>
        <v>1456.00</v>
      </c>
      <c r="E54" s="1">
        <v>1456</v>
      </c>
      <c r="F54" s="1" t="str">
        <f t="shared" si="1"/>
        <v>人民币</v>
      </c>
      <c r="G54" s="1" t="str">
        <f t="shared" si="10"/>
        <v xml:space="preserve"> </v>
      </c>
      <c r="H54" s="1" t="str">
        <f t="shared" si="10"/>
        <v xml:space="preserve"> </v>
      </c>
      <c r="I54" s="1" t="str">
        <f t="shared" si="10"/>
        <v xml:space="preserve"> </v>
      </c>
      <c r="J54" s="1" t="str">
        <f t="shared" si="2"/>
        <v>卖出</v>
      </c>
      <c r="K54" s="1">
        <v>0</v>
      </c>
      <c r="L54" s="1">
        <v>0</v>
      </c>
      <c r="M54" s="1" t="str">
        <f>"快速取现退出资金拨入,产品代码940018,对方资产账户40000545correct_balance=0"</f>
        <v>快速取现退出资金拨入,产品代码940018,对方资产账户40000545correct_balance=0</v>
      </c>
      <c r="N54" s="1">
        <v>0</v>
      </c>
      <c r="O54" s="1">
        <v>0</v>
      </c>
      <c r="P54" s="1">
        <v>0</v>
      </c>
      <c r="Q54" s="1">
        <v>0</v>
      </c>
    </row>
    <row r="55" spans="1:17" x14ac:dyDescent="0.2">
      <c r="A55" s="1" t="str">
        <f>"811"</f>
        <v>811</v>
      </c>
      <c r="B55" s="1" t="str">
        <f>"20200602"</f>
        <v>20200602</v>
      </c>
      <c r="C55" s="1" t="str">
        <f>"银行转取"</f>
        <v>银行转取</v>
      </c>
      <c r="D55" s="1" t="str">
        <f>"-1456.00"</f>
        <v>-1456.00</v>
      </c>
      <c r="E55" s="1">
        <v>0</v>
      </c>
      <c r="F55" s="1" t="str">
        <f t="shared" si="1"/>
        <v>人民币</v>
      </c>
      <c r="G55" s="1" t="str">
        <f t="shared" si="10"/>
        <v xml:space="preserve"> </v>
      </c>
      <c r="H55" s="1" t="str">
        <f t="shared" si="10"/>
        <v xml:space="preserve"> </v>
      </c>
      <c r="I55" s="1" t="str">
        <f t="shared" si="10"/>
        <v xml:space="preserve"> </v>
      </c>
      <c r="J55" s="1" t="str">
        <f t="shared" si="2"/>
        <v>卖出</v>
      </c>
      <c r="K55" s="1">
        <v>0</v>
      </c>
      <c r="L55" s="1">
        <v>0</v>
      </c>
      <c r="M55" s="1" t="str">
        <f>"银行返回码[ ]返回信息[0000 交易成功]|转账成功 转账账号:6225881012906292 correct_balance=1456"</f>
        <v>银行返回码[ ]返回信息[0000 交易成功]|转账成功 转账账号:6225881012906292 correct_balance=1456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">
      <c r="A56" t="s">
        <v>17</v>
      </c>
      <c r="B56" t="s">
        <v>18</v>
      </c>
      <c r="C56" t="s">
        <v>19</v>
      </c>
      <c r="D56" t="s">
        <v>20</v>
      </c>
      <c r="E56">
        <v>1</v>
      </c>
      <c r="F56" t="s">
        <v>21</v>
      </c>
      <c r="G56" t="s">
        <v>22</v>
      </c>
      <c r="H56" t="s">
        <v>23</v>
      </c>
      <c r="I56" t="s">
        <v>24</v>
      </c>
      <c r="J56" t="s">
        <v>25</v>
      </c>
      <c r="K56">
        <v>2.1030000000000002</v>
      </c>
      <c r="L56">
        <v>-4800</v>
      </c>
      <c r="M56" t="s">
        <v>19</v>
      </c>
      <c r="N56">
        <v>2.02</v>
      </c>
      <c r="O56">
        <v>0</v>
      </c>
      <c r="P56">
        <v>0</v>
      </c>
      <c r="Q56">
        <v>0</v>
      </c>
    </row>
    <row r="57" spans="1:17" x14ac:dyDescent="0.2">
      <c r="A57" t="s">
        <v>26</v>
      </c>
      <c r="B57" t="s">
        <v>18</v>
      </c>
      <c r="C57" t="s">
        <v>27</v>
      </c>
      <c r="D57" t="s">
        <v>28</v>
      </c>
      <c r="E57">
        <v>-10091.379999999999</v>
      </c>
      <c r="F57" t="s">
        <v>21</v>
      </c>
      <c r="G57" t="s">
        <v>29</v>
      </c>
      <c r="H57" t="s">
        <v>29</v>
      </c>
      <c r="I57" t="s">
        <v>29</v>
      </c>
      <c r="J57" t="s">
        <v>25</v>
      </c>
      <c r="K57">
        <v>0</v>
      </c>
      <c r="L57">
        <v>0</v>
      </c>
      <c r="M57" t="s">
        <v>30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t="s">
        <v>31</v>
      </c>
      <c r="B58" t="s">
        <v>32</v>
      </c>
      <c r="C58" t="s">
        <v>33</v>
      </c>
      <c r="D58" t="s">
        <v>34</v>
      </c>
      <c r="E58">
        <v>10093</v>
      </c>
      <c r="F58" t="s">
        <v>21</v>
      </c>
      <c r="G58" t="s">
        <v>29</v>
      </c>
      <c r="H58" t="s">
        <v>29</v>
      </c>
      <c r="I58" t="s">
        <v>29</v>
      </c>
      <c r="J58" t="s">
        <v>25</v>
      </c>
      <c r="K58">
        <v>0</v>
      </c>
      <c r="L58">
        <v>0</v>
      </c>
      <c r="M58" t="s">
        <v>35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36</v>
      </c>
      <c r="B59" t="s">
        <v>32</v>
      </c>
      <c r="C59" t="s">
        <v>37</v>
      </c>
      <c r="D59" t="s">
        <v>38</v>
      </c>
      <c r="E59">
        <v>0</v>
      </c>
      <c r="F59" t="s">
        <v>21</v>
      </c>
      <c r="G59" t="s">
        <v>29</v>
      </c>
      <c r="H59" t="s">
        <v>29</v>
      </c>
      <c r="I59" t="s">
        <v>29</v>
      </c>
      <c r="J59" t="s">
        <v>25</v>
      </c>
      <c r="K59">
        <v>0</v>
      </c>
      <c r="L59">
        <v>0</v>
      </c>
      <c r="M59" t="s">
        <v>39</v>
      </c>
      <c r="N59">
        <v>0</v>
      </c>
      <c r="O59">
        <v>0</v>
      </c>
      <c r="P59">
        <v>0</v>
      </c>
      <c r="Q5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2020-07-20T23:44:59Z</dcterms:modified>
</cp:coreProperties>
</file>