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hub\deal-record\spider\huabao\input\"/>
    </mc:Choice>
  </mc:AlternateContent>
  <xr:revisionPtr revIDLastSave="0" documentId="13_ncr:1_{22394E90-4FFC-4309-818D-50492BC5AA48}" xr6:coauthVersionLast="45" xr6:coauthVersionMax="45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O38" i="1"/>
  <c r="F38" i="1"/>
  <c r="E38" i="1"/>
  <c r="D38" i="1"/>
  <c r="C38" i="1"/>
  <c r="B38" i="1"/>
  <c r="A38" i="1"/>
  <c r="P37" i="1" l="1"/>
  <c r="O37" i="1"/>
  <c r="F37" i="1"/>
  <c r="E37" i="1"/>
  <c r="D37" i="1"/>
  <c r="C37" i="1"/>
  <c r="B37" i="1"/>
  <c r="A37" i="1"/>
  <c r="P36" i="1"/>
  <c r="O36" i="1"/>
  <c r="F36" i="1"/>
  <c r="E36" i="1"/>
  <c r="D36" i="1"/>
  <c r="C36" i="1"/>
  <c r="B36" i="1"/>
  <c r="A36" i="1"/>
  <c r="P35" i="1"/>
  <c r="O35" i="1"/>
  <c r="F35" i="1"/>
  <c r="E35" i="1"/>
  <c r="D35" i="1"/>
  <c r="C35" i="1"/>
  <c r="B35" i="1"/>
  <c r="A35" i="1"/>
  <c r="P34" i="1"/>
  <c r="O34" i="1"/>
  <c r="F34" i="1"/>
  <c r="E34" i="1"/>
  <c r="D34" i="1"/>
  <c r="C34" i="1"/>
  <c r="B34" i="1"/>
  <c r="A34" i="1"/>
  <c r="P33" i="1"/>
  <c r="O33" i="1"/>
  <c r="F33" i="1"/>
  <c r="E33" i="1"/>
  <c r="D33" i="1"/>
  <c r="C33" i="1"/>
  <c r="B33" i="1"/>
  <c r="A33" i="1"/>
  <c r="P32" i="1"/>
  <c r="O32" i="1"/>
  <c r="F32" i="1"/>
  <c r="E32" i="1"/>
  <c r="D32" i="1"/>
  <c r="C32" i="1"/>
  <c r="B32" i="1"/>
  <c r="A32" i="1"/>
  <c r="P31" i="1"/>
  <c r="O31" i="1"/>
  <c r="F31" i="1"/>
  <c r="E31" i="1"/>
  <c r="D31" i="1"/>
  <c r="C31" i="1"/>
  <c r="B31" i="1"/>
  <c r="A31" i="1"/>
  <c r="P30" i="1" l="1"/>
  <c r="O30" i="1"/>
  <c r="F30" i="1"/>
  <c r="E30" i="1"/>
  <c r="D30" i="1"/>
  <c r="C30" i="1"/>
  <c r="B30" i="1"/>
  <c r="A30" i="1"/>
  <c r="P29" i="1"/>
  <c r="O29" i="1"/>
  <c r="F29" i="1"/>
  <c r="E29" i="1"/>
  <c r="D29" i="1"/>
  <c r="C29" i="1"/>
  <c r="B29" i="1"/>
  <c r="A29" i="1"/>
  <c r="P28" i="1"/>
  <c r="O28" i="1"/>
  <c r="F28" i="1"/>
  <c r="E28" i="1"/>
  <c r="D28" i="1"/>
  <c r="C28" i="1"/>
  <c r="B28" i="1"/>
  <c r="A28" i="1"/>
  <c r="P27" i="1"/>
  <c r="O27" i="1"/>
  <c r="F27" i="1"/>
  <c r="E27" i="1"/>
  <c r="D27" i="1"/>
  <c r="C27" i="1"/>
  <c r="B27" i="1"/>
  <c r="A27" i="1"/>
  <c r="P26" i="1"/>
  <c r="O26" i="1"/>
  <c r="F26" i="1"/>
  <c r="E26" i="1"/>
  <c r="D26" i="1"/>
  <c r="C26" i="1"/>
  <c r="B26" i="1"/>
  <c r="A26" i="1"/>
  <c r="P25" i="1"/>
  <c r="O25" i="1"/>
  <c r="F25" i="1"/>
  <c r="E25" i="1"/>
  <c r="D25" i="1"/>
  <c r="C25" i="1"/>
  <c r="B25" i="1"/>
  <c r="A25" i="1"/>
  <c r="P24" i="1"/>
  <c r="O24" i="1"/>
  <c r="F24" i="1"/>
  <c r="E24" i="1"/>
  <c r="D24" i="1"/>
  <c r="C24" i="1"/>
  <c r="B24" i="1"/>
  <c r="A24" i="1"/>
  <c r="P23" i="1"/>
  <c r="O23" i="1"/>
  <c r="F23" i="1"/>
  <c r="E23" i="1"/>
  <c r="D23" i="1"/>
  <c r="C23" i="1"/>
  <c r="B23" i="1"/>
  <c r="A23" i="1"/>
  <c r="P22" i="1"/>
  <c r="O22" i="1"/>
  <c r="F22" i="1"/>
  <c r="E22" i="1"/>
  <c r="D22" i="1"/>
  <c r="C22" i="1"/>
  <c r="B22" i="1"/>
  <c r="A22" i="1"/>
  <c r="P20" i="1" l="1"/>
  <c r="O20" i="1"/>
  <c r="F20" i="1"/>
  <c r="E20" i="1"/>
  <c r="D20" i="1"/>
  <c r="C20" i="1"/>
  <c r="B20" i="1"/>
  <c r="A20" i="1"/>
  <c r="P19" i="1"/>
  <c r="O19" i="1"/>
  <c r="F19" i="1"/>
  <c r="E19" i="1"/>
  <c r="D19" i="1"/>
  <c r="C19" i="1"/>
  <c r="B19" i="1"/>
  <c r="A19" i="1"/>
  <c r="P18" i="1"/>
  <c r="O18" i="1"/>
  <c r="F18" i="1"/>
  <c r="E18" i="1"/>
  <c r="D18" i="1"/>
  <c r="C18" i="1"/>
  <c r="B18" i="1"/>
  <c r="A18" i="1"/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<sst xmlns="http://schemas.openxmlformats.org/spreadsheetml/2006/main" count="8" uniqueCount="8">
  <si>
    <t>20200417</t>
  </si>
  <si>
    <t>09:46:31</t>
  </si>
  <si>
    <t>A634757556</t>
  </si>
  <si>
    <t>512980</t>
  </si>
  <si>
    <t>传媒ETF</t>
  </si>
  <si>
    <t>卖出</t>
  </si>
  <si>
    <t>3045170</t>
  </si>
  <si>
    <t>20741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</si>
</sst>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A39" sqref="A39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 x14ac:dyDescent="0.2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0.92300000000000004</v>
      </c>
      <c r="H18" s="1">
        <v>3000</v>
      </c>
      <c r="I18" s="1">
        <v>2769</v>
      </c>
      <c r="J18" s="1">
        <v>2768.72</v>
      </c>
      <c r="K18" s="1">
        <v>0.28000000000000003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 x14ac:dyDescent="0.2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2488.1999999999998</v>
      </c>
      <c r="J19" s="1">
        <v>-2488.4499999999998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 x14ac:dyDescent="0.2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0.80800000000000005</v>
      </c>
      <c r="H20" s="1">
        <v>3100</v>
      </c>
      <c r="I20" s="1">
        <v>2504.8000000000002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0.83299999999999996</v>
      </c>
      <c r="H21">
        <v>2900</v>
      </c>
      <c r="I21">
        <v>2415.6999999999998</v>
      </c>
      <c r="J21">
        <v>2415.46</v>
      </c>
      <c r="K21">
        <v>0.24</v>
      </c>
      <c r="L21">
        <v>0</v>
      </c>
      <c r="M21">
        <v>0</v>
      </c>
      <c r="N21">
        <v>0</v>
      </c>
      <c r="O21" t="s">
        <v>6</v>
      </c>
      <c r="P21" t="s">
        <v>7</v>
      </c>
    </row>
    <row r="22" spans="1:16" x14ac:dyDescent="0.2">
      <c r="A22" s="1" t="str">
        <f>"20200427"</f>
        <v>20200427</v>
      </c>
      <c r="B22" s="1" t="str">
        <f>"14:47:32"</f>
        <v>14:47:32</v>
      </c>
      <c r="C22" s="1" t="str">
        <f>"0184500716"</f>
        <v>0184500716</v>
      </c>
      <c r="D22" s="1" t="str">
        <f>"159920"</f>
        <v>159920</v>
      </c>
      <c r="E22" s="1" t="str">
        <f>"恒生ETF"</f>
        <v>恒生ETF</v>
      </c>
      <c r="F22" s="1" t="str">
        <f>"卖出"</f>
        <v>卖出</v>
      </c>
      <c r="G22" s="1">
        <v>1.3580000000000001</v>
      </c>
      <c r="H22" s="1">
        <v>6100</v>
      </c>
      <c r="I22" s="1">
        <v>8283.7999999999993</v>
      </c>
      <c r="J22" s="1">
        <v>8282.9699999999993</v>
      </c>
      <c r="K22" s="1">
        <v>0.83</v>
      </c>
      <c r="L22" s="1">
        <v>0</v>
      </c>
      <c r="M22" s="1">
        <v>0</v>
      </c>
      <c r="N22" s="1">
        <v>0</v>
      </c>
      <c r="O22" s="1" t="str">
        <f>"0104000024106259"</f>
        <v>0104000024106259</v>
      </c>
      <c r="P22" s="1" t="str">
        <f>"178130"</f>
        <v>178130</v>
      </c>
    </row>
    <row r="23" spans="1:16" x14ac:dyDescent="0.2">
      <c r="A23" s="1" t="str">
        <f>"20200427"</f>
        <v>20200427</v>
      </c>
      <c r="B23" s="1" t="str">
        <f>"14:57:57"</f>
        <v>14:57:57</v>
      </c>
      <c r="C23" s="1" t="str">
        <f t="shared" ref="C23:C30" si="1">"A634757556"</f>
        <v>A634757556</v>
      </c>
      <c r="D23" s="1" t="str">
        <f>"513520"</f>
        <v>513520</v>
      </c>
      <c r="E23" s="1" t="str">
        <f>"日经ETF"</f>
        <v>日经ETF</v>
      </c>
      <c r="F23" s="1" t="str">
        <f>"卖出"</f>
        <v>卖出</v>
      </c>
      <c r="G23" s="1">
        <v>0.95499999999999996</v>
      </c>
      <c r="H23" s="1">
        <v>6000</v>
      </c>
      <c r="I23" s="1">
        <v>5730</v>
      </c>
      <c r="J23" s="1">
        <v>14012.4</v>
      </c>
      <c r="K23" s="1">
        <v>0.56999999999999995</v>
      </c>
      <c r="L23" s="1">
        <v>0</v>
      </c>
      <c r="M23" s="1">
        <v>0</v>
      </c>
      <c r="N23" s="1">
        <v>0</v>
      </c>
      <c r="O23" s="1" t="str">
        <f>"15839211"</f>
        <v>15839211</v>
      </c>
      <c r="P23" s="1" t="str">
        <f>"180834"</f>
        <v>180834</v>
      </c>
    </row>
    <row r="24" spans="1:16" x14ac:dyDescent="0.2">
      <c r="A24" s="1" t="str">
        <f>"20200428"</f>
        <v>20200428</v>
      </c>
      <c r="B24" s="1" t="str">
        <f>"09:30:52"</f>
        <v>09:30:52</v>
      </c>
      <c r="C24" s="1" t="str">
        <f t="shared" si="1"/>
        <v>A634757556</v>
      </c>
      <c r="D24" s="1" t="str">
        <f>"510500"</f>
        <v>510500</v>
      </c>
      <c r="E24" s="1" t="str">
        <f>"500ETF"</f>
        <v>500ETF</v>
      </c>
      <c r="F24" s="1" t="str">
        <f>"买入"</f>
        <v>买入</v>
      </c>
      <c r="G24" s="1">
        <v>5.6970000000000001</v>
      </c>
      <c r="H24" s="1">
        <v>8800</v>
      </c>
      <c r="I24" s="1">
        <v>50133.599999999999</v>
      </c>
      <c r="J24" s="1">
        <v>-50138.41</v>
      </c>
      <c r="K24" s="1">
        <v>5.01</v>
      </c>
      <c r="L24" s="1">
        <v>0</v>
      </c>
      <c r="M24" s="1">
        <v>0</v>
      </c>
      <c r="N24" s="1">
        <v>0</v>
      </c>
      <c r="O24" s="1" t="str">
        <f>"456296"</f>
        <v>456296</v>
      </c>
      <c r="P24" s="1" t="str">
        <f>"19518"</f>
        <v>19518</v>
      </c>
    </row>
    <row r="25" spans="1:16" x14ac:dyDescent="0.2">
      <c r="A25" s="1" t="str">
        <f>"20200428"</f>
        <v>20200428</v>
      </c>
      <c r="B25" s="1" t="str">
        <f>"09:57:07"</f>
        <v>09:57:07</v>
      </c>
      <c r="C25" s="1" t="str">
        <f t="shared" si="1"/>
        <v>A634757556</v>
      </c>
      <c r="D25" s="1" t="str">
        <f>"512980"</f>
        <v>512980</v>
      </c>
      <c r="E25" s="1" t="str">
        <f>"传媒ETF"</f>
        <v>传媒ETF</v>
      </c>
      <c r="F25" s="1" t="str">
        <f>"买入"</f>
        <v>买入</v>
      </c>
      <c r="G25" s="1">
        <v>0.78800000000000003</v>
      </c>
      <c r="H25" s="1">
        <v>3100</v>
      </c>
      <c r="I25" s="1">
        <v>2442.8000000000002</v>
      </c>
      <c r="J25" s="1">
        <v>-52581.45</v>
      </c>
      <c r="K25" s="1">
        <v>0.24</v>
      </c>
      <c r="L25" s="1">
        <v>0</v>
      </c>
      <c r="M25" s="1">
        <v>0</v>
      </c>
      <c r="N25" s="1">
        <v>0</v>
      </c>
      <c r="O25" s="1" t="str">
        <f>"5360453"</f>
        <v>5360453</v>
      </c>
      <c r="P25" s="1" t="str">
        <f>"69933"</f>
        <v>69933</v>
      </c>
    </row>
    <row r="26" spans="1:16" x14ac:dyDescent="0.2">
      <c r="A26" s="1" t="str">
        <f>"20200428"</f>
        <v>20200428</v>
      </c>
      <c r="B26" s="1" t="str">
        <f>"10:02:11"</f>
        <v>10:02:11</v>
      </c>
      <c r="C26" s="1" t="str">
        <f t="shared" si="1"/>
        <v>A634757556</v>
      </c>
      <c r="D26" s="1" t="str">
        <f>"510500"</f>
        <v>510500</v>
      </c>
      <c r="E26" s="1" t="str">
        <f>"500ETF"</f>
        <v>500ETF</v>
      </c>
      <c r="F26" s="1" t="str">
        <f>"买入"</f>
        <v>买入</v>
      </c>
      <c r="G26" s="1">
        <v>5.556</v>
      </c>
      <c r="H26" s="1">
        <v>4100</v>
      </c>
      <c r="I26" s="1">
        <v>22779.599999999999</v>
      </c>
      <c r="J26" s="1">
        <v>-75363.33</v>
      </c>
      <c r="K26" s="1">
        <v>2.2799999999999998</v>
      </c>
      <c r="L26" s="1">
        <v>0</v>
      </c>
      <c r="M26" s="1">
        <v>0</v>
      </c>
      <c r="N26" s="1">
        <v>0</v>
      </c>
      <c r="O26" s="1" t="str">
        <f>"6590954"</f>
        <v>6590954</v>
      </c>
      <c r="P26" s="1" t="str">
        <f>"83953"</f>
        <v>83953</v>
      </c>
    </row>
    <row r="27" spans="1:16" x14ac:dyDescent="0.2">
      <c r="A27" s="1" t="str">
        <f>"20200429"</f>
        <v>20200429</v>
      </c>
      <c r="B27" s="1" t="str">
        <f>"00:00:00"</f>
        <v>00:00:00</v>
      </c>
      <c r="C27" s="1" t="str">
        <f t="shared" si="1"/>
        <v>A634757556</v>
      </c>
      <c r="D27" s="1" t="str">
        <f>"501018"</f>
        <v>501018</v>
      </c>
      <c r="E27" s="1" t="str">
        <f>"南方原油"</f>
        <v>南方原油</v>
      </c>
      <c r="F27" s="1" t="str">
        <f>"托管转入"</f>
        <v>托管转入</v>
      </c>
      <c r="G27" s="2">
        <v>0.71619999999999995</v>
      </c>
      <c r="H27" s="1">
        <v>8925</v>
      </c>
      <c r="I27" s="3">
        <v>6392.09</v>
      </c>
      <c r="J27" s="1">
        <v>32499.5</v>
      </c>
      <c r="K27" s="1">
        <v>0</v>
      </c>
      <c r="L27" s="1">
        <v>0</v>
      </c>
      <c r="M27" s="1">
        <v>0</v>
      </c>
      <c r="N27" s="1">
        <v>0</v>
      </c>
      <c r="O27" s="1" t="str">
        <f>"份额变动"</f>
        <v>份额变动</v>
      </c>
      <c r="P27" s="1" t="str">
        <f>"0"</f>
        <v>0</v>
      </c>
    </row>
    <row r="28" spans="1:16" x14ac:dyDescent="0.2">
      <c r="A28" s="1" t="str">
        <f>"20200429"</f>
        <v>20200429</v>
      </c>
      <c r="B28" s="1" t="str">
        <f>"00:00:00"</f>
        <v>00:00:00</v>
      </c>
      <c r="C28" s="1" t="str">
        <f t="shared" si="1"/>
        <v>A634757556</v>
      </c>
      <c r="D28" s="1" t="str">
        <f>"501018"</f>
        <v>501018</v>
      </c>
      <c r="E28" s="1" t="str">
        <f>"南方原油"</f>
        <v>南方原油</v>
      </c>
      <c r="F28" s="1" t="str">
        <f>"托管转入"</f>
        <v>托管转入</v>
      </c>
      <c r="G28" s="2">
        <v>0.71619999999999995</v>
      </c>
      <c r="H28" s="1">
        <v>2324.77</v>
      </c>
      <c r="I28" s="4">
        <v>1665</v>
      </c>
      <c r="J28" s="1">
        <v>32499.5</v>
      </c>
      <c r="K28" s="1">
        <v>0</v>
      </c>
      <c r="L28" s="1">
        <v>0</v>
      </c>
      <c r="M28" s="1">
        <v>0</v>
      </c>
      <c r="N28" s="1">
        <v>0</v>
      </c>
      <c r="O28" s="1" t="str">
        <f>"份额变动"</f>
        <v>份额变动</v>
      </c>
      <c r="P28" s="1" t="str">
        <f>"0"</f>
        <v>0</v>
      </c>
    </row>
    <row r="29" spans="1:16" x14ac:dyDescent="0.2">
      <c r="A29" s="1" t="str">
        <f>"20200430"</f>
        <v>20200430</v>
      </c>
      <c r="B29" s="1" t="str">
        <f>"09:53:05"</f>
        <v>09:53:05</v>
      </c>
      <c r="C29" s="1" t="str">
        <f t="shared" si="1"/>
        <v>A634757556</v>
      </c>
      <c r="D29" s="1" t="str">
        <f>"515180"</f>
        <v>515180</v>
      </c>
      <c r="E29" s="1" t="str">
        <f>"100红利"</f>
        <v>100红利</v>
      </c>
      <c r="F29" s="1" t="str">
        <f>"卖出"</f>
        <v>卖出</v>
      </c>
      <c r="G29" s="1">
        <v>0.95399999999999996</v>
      </c>
      <c r="H29" s="1">
        <v>2600</v>
      </c>
      <c r="I29" s="1">
        <v>2480.4</v>
      </c>
      <c r="J29" s="1">
        <v>6980.15</v>
      </c>
      <c r="K29" s="1">
        <v>0.25</v>
      </c>
      <c r="L29" s="1">
        <v>0</v>
      </c>
      <c r="M29" s="1">
        <v>0</v>
      </c>
      <c r="N29" s="1">
        <v>0</v>
      </c>
      <c r="O29" s="1" t="str">
        <f>"3735874"</f>
        <v>3735874</v>
      </c>
      <c r="P29" s="1" t="str">
        <f>"51961"</f>
        <v>51961</v>
      </c>
    </row>
    <row r="30" spans="1:16" x14ac:dyDescent="0.2">
      <c r="A30" s="1" t="str">
        <f>"20200506"</f>
        <v>20200506</v>
      </c>
      <c r="B30" s="1" t="str">
        <f>"11:16:20"</f>
        <v>11:16:20</v>
      </c>
      <c r="C30" s="1" t="str">
        <f t="shared" si="1"/>
        <v>A634757556</v>
      </c>
      <c r="D30" s="1" t="str">
        <f>"501018"</f>
        <v>501018</v>
      </c>
      <c r="E30" s="1" t="str">
        <f>"南方原油"</f>
        <v>南方原油</v>
      </c>
      <c r="F30" s="1" t="str">
        <f>"卖出"</f>
        <v>卖出</v>
      </c>
      <c r="G30" s="1">
        <v>0.69099999999999995</v>
      </c>
      <c r="H30" s="1">
        <v>11249</v>
      </c>
      <c r="I30" s="1">
        <v>7773.06</v>
      </c>
      <c r="J30" s="1">
        <v>70772.320000000007</v>
      </c>
      <c r="K30" s="1">
        <v>0.78</v>
      </c>
      <c r="L30" s="1">
        <v>0</v>
      </c>
      <c r="M30" s="1">
        <v>0</v>
      </c>
      <c r="N30" s="1">
        <v>0</v>
      </c>
      <c r="O30" s="1" t="str">
        <f>"10323131"</f>
        <v>10323131</v>
      </c>
      <c r="P30" s="1" t="str">
        <f>"140684"</f>
        <v>140684</v>
      </c>
    </row>
    <row r="31" spans="1:16" x14ac:dyDescent="0.2">
      <c r="A31" s="1" t="str">
        <f>"20200519"</f>
        <v>20200519</v>
      </c>
      <c r="B31" s="1" t="str">
        <f>"09:31:36"</f>
        <v>09:31:36</v>
      </c>
      <c r="C31" s="1" t="str">
        <f>"A634757556"</f>
        <v>A634757556</v>
      </c>
      <c r="D31" s="1" t="str">
        <f>"510500"</f>
        <v>510500</v>
      </c>
      <c r="E31" s="1" t="str">
        <f>"500ETF"</f>
        <v>500ETF</v>
      </c>
      <c r="F31" s="1" t="str">
        <f>"买入"</f>
        <v>买入</v>
      </c>
      <c r="G31" s="1">
        <v>5.9770000000000003</v>
      </c>
      <c r="H31" s="1">
        <v>1800</v>
      </c>
      <c r="I31" s="1">
        <v>10758.6</v>
      </c>
      <c r="J31" s="1">
        <v>-10759.68</v>
      </c>
      <c r="K31" s="1">
        <v>1.08</v>
      </c>
      <c r="L31" s="1">
        <v>0</v>
      </c>
      <c r="M31" s="1">
        <v>0</v>
      </c>
      <c r="N31" s="1">
        <v>0</v>
      </c>
      <c r="O31" s="1" t="str">
        <f>"650664"</f>
        <v>650664</v>
      </c>
      <c r="P31" s="1" t="str">
        <f>"21491"</f>
        <v>21491</v>
      </c>
    </row>
    <row r="32" spans="1:16" x14ac:dyDescent="0.2">
      <c r="A32" s="1" t="str">
        <f>"20200522"</f>
        <v>20200522</v>
      </c>
      <c r="B32" s="1" t="str">
        <f>"10:35:46"</f>
        <v>10:35:46</v>
      </c>
      <c r="C32" s="1" t="str">
        <f>"A634757556"</f>
        <v>A634757556</v>
      </c>
      <c r="D32" s="1" t="str">
        <f>"510500"</f>
        <v>510500</v>
      </c>
      <c r="E32" s="1" t="str">
        <f>"500ETF"</f>
        <v>500ETF</v>
      </c>
      <c r="F32" s="1" t="str">
        <f>"买入"</f>
        <v>买入</v>
      </c>
      <c r="G32" s="1">
        <v>5.85</v>
      </c>
      <c r="H32" s="1">
        <v>1800</v>
      </c>
      <c r="I32" s="1">
        <v>10530</v>
      </c>
      <c r="J32" s="1">
        <v>257.95</v>
      </c>
      <c r="K32" s="1">
        <v>1.05</v>
      </c>
      <c r="L32" s="1">
        <v>0</v>
      </c>
      <c r="M32" s="1">
        <v>0</v>
      </c>
      <c r="N32" s="1">
        <v>0</v>
      </c>
      <c r="O32" s="1" t="str">
        <f>"6575351"</f>
        <v>6575351</v>
      </c>
      <c r="P32" s="1" t="str">
        <f>"90024"</f>
        <v>90024</v>
      </c>
    </row>
    <row r="33" spans="1:16" x14ac:dyDescent="0.2">
      <c r="A33" s="1" t="str">
        <f>"20200522"</f>
        <v>20200522</v>
      </c>
      <c r="B33" s="1" t="str">
        <f>"13:03:48"</f>
        <v>13:03:48</v>
      </c>
      <c r="C33" s="1" t="str">
        <f>"0184500716"</f>
        <v>0184500716</v>
      </c>
      <c r="D33" s="1" t="str">
        <f>"159920"</f>
        <v>159920</v>
      </c>
      <c r="E33" s="1" t="str">
        <f>"恒生ETF"</f>
        <v>恒生ETF</v>
      </c>
      <c r="F33" s="1" t="str">
        <f>"买入"</f>
        <v>买入</v>
      </c>
      <c r="G33" s="1">
        <v>1.3140000000000001</v>
      </c>
      <c r="H33" s="1">
        <v>1800</v>
      </c>
      <c r="I33" s="1">
        <v>2365.1999999999998</v>
      </c>
      <c r="J33" s="1">
        <v>-2107.4899999999998</v>
      </c>
      <c r="K33" s="1">
        <v>0.24</v>
      </c>
      <c r="L33" s="1">
        <v>0</v>
      </c>
      <c r="M33" s="1">
        <v>0</v>
      </c>
      <c r="N33" s="1">
        <v>0</v>
      </c>
      <c r="O33" s="1" t="str">
        <f>"0104000016030225"</f>
        <v>0104000016030225</v>
      </c>
      <c r="P33" s="1" t="str">
        <f>"129818"</f>
        <v>129818</v>
      </c>
    </row>
    <row r="34" spans="1:16" x14ac:dyDescent="0.2">
      <c r="A34" s="1" t="str">
        <f>"20200526"</f>
        <v>20200526</v>
      </c>
      <c r="B34" s="1" t="str">
        <f>"09:31:18"</f>
        <v>09:31:18</v>
      </c>
      <c r="C34" s="1" t="str">
        <f>"A634757556"</f>
        <v>A634757556</v>
      </c>
      <c r="D34" s="1" t="str">
        <f>"513520"</f>
        <v>513520</v>
      </c>
      <c r="E34" s="1" t="str">
        <f>"日经ETF"</f>
        <v>日经ETF</v>
      </c>
      <c r="F34" s="1" t="str">
        <f>"卖出"</f>
        <v>卖出</v>
      </c>
      <c r="G34" s="1">
        <v>1.02</v>
      </c>
      <c r="H34" s="1">
        <v>2400</v>
      </c>
      <c r="I34" s="1">
        <v>2448</v>
      </c>
      <c r="J34" s="1">
        <v>2447.7600000000002</v>
      </c>
      <c r="K34" s="1">
        <v>0.24</v>
      </c>
      <c r="L34" s="1">
        <v>0</v>
      </c>
      <c r="M34" s="1">
        <v>0</v>
      </c>
      <c r="N34" s="1">
        <v>0</v>
      </c>
      <c r="O34" s="1" t="str">
        <f>"471565"</f>
        <v>471565</v>
      </c>
      <c r="P34" s="1" t="str">
        <f>"15455"</f>
        <v>15455</v>
      </c>
    </row>
    <row r="35" spans="1:16" x14ac:dyDescent="0.2">
      <c r="A35" s="1" t="str">
        <f>"20200527"</f>
        <v>20200527</v>
      </c>
      <c r="B35" s="1" t="str">
        <f>"10:18:41"</f>
        <v>10:18:41</v>
      </c>
      <c r="C35" s="1" t="str">
        <f>"A634757556"</f>
        <v>A634757556</v>
      </c>
      <c r="D35" s="1" t="str">
        <f>"510500"</f>
        <v>510500</v>
      </c>
      <c r="E35" s="1" t="str">
        <f>"500ETF"</f>
        <v>500ETF</v>
      </c>
      <c r="F35" s="1" t="str">
        <f>"买入"</f>
        <v>买入</v>
      </c>
      <c r="G35" s="1">
        <v>5.8390000000000004</v>
      </c>
      <c r="H35" s="1">
        <v>900</v>
      </c>
      <c r="I35" s="1">
        <v>5255.1</v>
      </c>
      <c r="J35" s="1">
        <v>8744.4699999999993</v>
      </c>
      <c r="K35" s="1">
        <v>0.53</v>
      </c>
      <c r="L35" s="1">
        <v>0</v>
      </c>
      <c r="M35" s="1">
        <v>0</v>
      </c>
      <c r="N35" s="1">
        <v>0</v>
      </c>
      <c r="O35" s="1" t="str">
        <f>"5454024"</f>
        <v>5454024</v>
      </c>
      <c r="P35" s="1" t="str">
        <f>"108154"</f>
        <v>108154</v>
      </c>
    </row>
    <row r="36" spans="1:16" x14ac:dyDescent="0.2">
      <c r="A36" s="1" t="str">
        <f>"20200527"</f>
        <v>20200527</v>
      </c>
      <c r="B36" s="1" t="str">
        <f>"14:28:35"</f>
        <v>14:28:35</v>
      </c>
      <c r="C36" s="1" t="str">
        <f>"A634757556"</f>
        <v>A634757556</v>
      </c>
      <c r="D36" s="1" t="str">
        <f>"510500"</f>
        <v>510500</v>
      </c>
      <c r="E36" s="1" t="str">
        <f>"500ETF"</f>
        <v>500ETF</v>
      </c>
      <c r="F36" s="1" t="str">
        <f>"买入"</f>
        <v>买入</v>
      </c>
      <c r="G36" s="1">
        <v>5.81</v>
      </c>
      <c r="H36" s="1">
        <v>900</v>
      </c>
      <c r="I36" s="1">
        <v>5229</v>
      </c>
      <c r="J36" s="1">
        <v>3514.95</v>
      </c>
      <c r="K36" s="1">
        <v>0.52</v>
      </c>
      <c r="L36" s="1">
        <v>0</v>
      </c>
      <c r="M36" s="1">
        <v>0</v>
      </c>
      <c r="N36" s="1">
        <v>0</v>
      </c>
      <c r="O36" s="1" t="str">
        <f>"13491803"</f>
        <v>13491803</v>
      </c>
      <c r="P36" s="1" t="str">
        <f>"122969"</f>
        <v>122969</v>
      </c>
    </row>
    <row r="37" spans="1:16" x14ac:dyDescent="0.2">
      <c r="A37" s="1" t="str">
        <f>"20200604"</f>
        <v>20200604</v>
      </c>
      <c r="B37" s="1" t="str">
        <f>"09:30:15"</f>
        <v>09:30:15</v>
      </c>
      <c r="C37" s="1" t="str">
        <f>"0184500716"</f>
        <v>0184500716</v>
      </c>
      <c r="D37" s="1" t="str">
        <f>"159920"</f>
        <v>159920</v>
      </c>
      <c r="E37" s="1" t="str">
        <f>"恒生ETF"</f>
        <v>恒生ETF</v>
      </c>
      <c r="F37" s="1" t="str">
        <f>"卖出"</f>
        <v>卖出</v>
      </c>
      <c r="G37" s="1">
        <v>1.387</v>
      </c>
      <c r="H37" s="1">
        <v>1800</v>
      </c>
      <c r="I37" s="1">
        <v>2496.6</v>
      </c>
      <c r="J37" s="1">
        <v>2496.35</v>
      </c>
      <c r="K37" s="1">
        <v>0.25</v>
      </c>
      <c r="L37" s="1">
        <v>0</v>
      </c>
      <c r="M37" s="1">
        <v>0</v>
      </c>
      <c r="N37" s="1">
        <v>0</v>
      </c>
      <c r="O37" s="1" t="str">
        <f>"0103000000823336"</f>
        <v>0103000000823336</v>
      </c>
      <c r="P37" s="1" t="str">
        <f>"21089"</f>
        <v>21089</v>
      </c>
    </row>
    <row r="38" spans="1:16" x14ac:dyDescent="0.2">
      <c r="A38" s="1" t="str">
        <f>"20200724"</f>
        <v>20200724</v>
      </c>
      <c r="B38" s="1" t="str">
        <f>"13:49:40"</f>
        <v>13:49:40</v>
      </c>
      <c r="C38" s="1" t="str">
        <f>"0184500716"</f>
        <v>0184500716</v>
      </c>
      <c r="D38" s="1" t="str">
        <f>"159920"</f>
        <v>159920</v>
      </c>
      <c r="E38" s="1" t="str">
        <f>"恒生ETF"</f>
        <v>恒生ETF</v>
      </c>
      <c r="F38" s="1" t="str">
        <f>"买入"</f>
        <v>买入</v>
      </c>
      <c r="G38" s="1">
        <v>1.3839999999999999</v>
      </c>
      <c r="H38" s="1">
        <v>1800</v>
      </c>
      <c r="I38" s="1">
        <v>2491.1999999999998</v>
      </c>
      <c r="J38" s="1">
        <v>-2491.4499999999998</v>
      </c>
      <c r="K38" s="1">
        <v>0.25</v>
      </c>
      <c r="L38" s="1">
        <v>0</v>
      </c>
      <c r="M38" s="1">
        <v>0</v>
      </c>
      <c r="N38" s="1">
        <v>0</v>
      </c>
      <c r="O38" s="1" t="str">
        <f>"0103000032353952"</f>
        <v>0103000032353952</v>
      </c>
      <c r="P38" s="1" t="str">
        <f>"297249"</f>
        <v>297249</v>
      </c>
    </row>
    <row r="39" spans="1:16" x14ac:dyDescent="0.2">
      <c r="A39" s="1"/>
      <c r="B39" s="1"/>
      <c r="C39" s="1"/>
      <c r="D39" s="1"/>
      <c r="E39" s="1"/>
      <c r="F39" s="1"/>
      <c r="G39" s="1"/>
    </row>
    <row r="40" spans="1:16" x14ac:dyDescent="0.2">
      <c r="A40" s="1"/>
      <c r="B40" s="1"/>
      <c r="C40" s="1"/>
      <c r="D40" s="1"/>
      <c r="E40" s="1"/>
      <c r="F40" s="1"/>
      <c r="G40" s="1"/>
    </row>
    <row r="41" spans="1:16" x14ac:dyDescent="0.2">
      <c r="A41" s="1"/>
      <c r="B41" s="1"/>
      <c r="C41" s="1"/>
      <c r="D41" s="1"/>
      <c r="E41" s="1"/>
      <c r="F41" s="1"/>
      <c r="G41" s="1"/>
    </row>
    <row r="42" spans="1:16" x14ac:dyDescent="0.2">
      <c r="A42" s="1"/>
      <c r="B42" s="1"/>
      <c r="C42" s="1"/>
      <c r="D42" s="1"/>
      <c r="E42" s="1"/>
      <c r="F42" s="1"/>
      <c r="G42" s="1"/>
    </row>
    <row r="43" spans="1:16" x14ac:dyDescent="0.2">
      <c r="A43" s="1"/>
      <c r="B43" s="1"/>
      <c r="C43" s="1"/>
      <c r="D43" s="1"/>
      <c r="E43" s="1"/>
      <c r="F43" s="1"/>
      <c r="G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2020-08-04T00:21:55Z</dcterms:modified>
</cp:coreProperties>
</file>