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github\deal-record\spider\huabao\input\"/>
    </mc:Choice>
  </mc:AlternateContent>
  <xr:revisionPtr revIDLastSave="0" documentId="13_ncr:1_{573B73BA-0A80-41A0-9529-DA3D4FF1BD63}" xr6:coauthVersionLast="45" xr6:coauthVersionMax="45" xr10:uidLastSave="{00000000-0000-0000-0000-000000000000}"/>
  <bookViews>
    <workbookView xWindow="35340" yWindow="2745" windowWidth="5295" windowHeight="130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0" i="1" l="1"/>
  <c r="O20" i="1"/>
  <c r="F20" i="1"/>
  <c r="E20" i="1"/>
  <c r="D20" i="1"/>
  <c r="C20" i="1"/>
  <c r="B20" i="1"/>
  <c r="A20" i="1"/>
  <c r="P19" i="1"/>
  <c r="O19" i="1"/>
  <c r="F19" i="1"/>
  <c r="E19" i="1"/>
  <c r="D19" i="1"/>
  <c r="C19" i="1"/>
  <c r="B19" i="1"/>
  <c r="A19" i="1"/>
  <c r="P18" i="1"/>
  <c r="O18" i="1"/>
  <c r="F18" i="1"/>
  <c r="E18" i="1"/>
  <c r="D18" i="1"/>
  <c r="C18" i="1"/>
  <c r="B18" i="1"/>
  <c r="A18" i="1"/>
  <c r="P17" i="1" l="1"/>
  <c r="O17" i="1"/>
  <c r="F17" i="1"/>
  <c r="E17" i="1"/>
  <c r="D17" i="1"/>
  <c r="C17" i="1"/>
  <c r="B17" i="1"/>
  <c r="A17" i="1"/>
  <c r="P16" i="1"/>
  <c r="O16" i="1"/>
  <c r="F16" i="1"/>
  <c r="E16" i="1"/>
  <c r="D16" i="1"/>
  <c r="C16" i="1"/>
  <c r="B16" i="1"/>
  <c r="A16" i="1"/>
  <c r="P15" i="1"/>
  <c r="O15" i="1"/>
  <c r="F15" i="1"/>
  <c r="E15" i="1"/>
  <c r="D15" i="1"/>
  <c r="C15" i="1"/>
  <c r="B15" i="1"/>
  <c r="A15" i="1"/>
  <c r="P14" i="1"/>
  <c r="O14" i="1"/>
  <c r="F14" i="1"/>
  <c r="E14" i="1"/>
  <c r="D14" i="1"/>
  <c r="C14" i="1"/>
  <c r="B14" i="1"/>
  <c r="A14" i="1"/>
  <c r="P13" i="1"/>
  <c r="O13" i="1"/>
  <c r="F13" i="1"/>
  <c r="E13" i="1"/>
  <c r="D13" i="1"/>
  <c r="C13" i="1"/>
  <c r="B13" i="1"/>
  <c r="A13" i="1"/>
  <c r="P12" i="1"/>
  <c r="O12" i="1"/>
  <c r="F12" i="1"/>
  <c r="E12" i="1"/>
  <c r="D12" i="1"/>
  <c r="C12" i="1"/>
  <c r="B12" i="1"/>
  <c r="A12" i="1"/>
  <c r="P11" i="1"/>
  <c r="O11" i="1"/>
  <c r="F11" i="1"/>
  <c r="E11" i="1"/>
  <c r="D11" i="1"/>
  <c r="C11" i="1"/>
  <c r="B11" i="1"/>
  <c r="A11" i="1"/>
  <c r="P10" i="1"/>
  <c r="O10" i="1"/>
  <c r="F10" i="1"/>
  <c r="E10" i="1"/>
  <c r="D10" i="1"/>
  <c r="C10" i="1"/>
  <c r="B10" i="1"/>
  <c r="A10" i="1"/>
  <c r="P9" i="1"/>
  <c r="O9" i="1"/>
  <c r="F9" i="1"/>
  <c r="E9" i="1"/>
  <c r="D9" i="1"/>
  <c r="C9" i="1"/>
  <c r="B9" i="1"/>
  <c r="A9" i="1"/>
  <c r="P8" i="1"/>
  <c r="O8" i="1"/>
  <c r="F8" i="1"/>
  <c r="E8" i="1"/>
  <c r="D8" i="1"/>
  <c r="C8" i="1"/>
  <c r="B8" i="1"/>
  <c r="A8" i="1"/>
  <c r="P7" i="1"/>
  <c r="O7" i="1"/>
  <c r="F7" i="1"/>
  <c r="E7" i="1"/>
  <c r="D7" i="1"/>
  <c r="C7" i="1"/>
  <c r="B7" i="1"/>
  <c r="A7" i="1"/>
  <c r="P6" i="1"/>
  <c r="O6" i="1"/>
  <c r="F6" i="1"/>
  <c r="E6" i="1"/>
  <c r="D6" i="1"/>
  <c r="C6" i="1"/>
  <c r="B6" i="1"/>
  <c r="A6" i="1"/>
  <c r="P5" i="1"/>
  <c r="O5" i="1"/>
  <c r="F5" i="1"/>
  <c r="E5" i="1"/>
  <c r="D5" i="1"/>
  <c r="C5" i="1"/>
  <c r="B5" i="1"/>
  <c r="A5" i="1"/>
  <c r="P4" i="1"/>
  <c r="O4" i="1"/>
  <c r="F4" i="1"/>
  <c r="E4" i="1"/>
  <c r="D4" i="1"/>
  <c r="C4" i="1"/>
  <c r="B4" i="1"/>
  <c r="A4" i="1"/>
  <c r="P3" i="1"/>
  <c r="O3" i="1"/>
  <c r="F3" i="1"/>
  <c r="E3" i="1"/>
  <c r="D3" i="1"/>
  <c r="C3" i="1"/>
  <c r="B3" i="1"/>
  <c r="A3" i="1"/>
  <c r="P2" i="1"/>
  <c r="O2" i="1"/>
  <c r="F2" i="1"/>
  <c r="E2" i="1"/>
  <c r="D2" i="1"/>
  <c r="C2" i="1"/>
  <c r="B2" i="1"/>
  <c r="A2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D33" sqref="D33"/>
    </sheetView>
  </sheetViews>
  <sheetFormatPr defaultRowHeight="14.25" x14ac:dyDescent="0.2"/>
  <cols>
    <col min="1" max="1" width="9.5" bestFit="1" customWidth="1"/>
    <col min="3" max="3" width="11.875" bestFit="1" customWidth="1"/>
    <col min="10" max="10" width="9.5" bestFit="1" customWidth="1"/>
    <col min="11" max="11" width="5.5" bestFit="1" customWidth="1"/>
    <col min="12" max="14" width="7.125" bestFit="1" customWidth="1"/>
    <col min="15" max="15" width="18.375" bestFit="1" customWidth="1"/>
  </cols>
  <sheetData>
    <row r="1" spans="1:16" x14ac:dyDescent="0.2">
      <c r="A1" s="1" t="str">
        <f>"成交日期"</f>
        <v>成交日期</v>
      </c>
      <c r="B1" s="1" t="str">
        <f>"成交时间"</f>
        <v>成交时间</v>
      </c>
      <c r="C1" s="1" t="str">
        <f>"股东代码"</f>
        <v>股东代码</v>
      </c>
      <c r="D1" s="1" t="str">
        <f>"证券代码"</f>
        <v>证券代码</v>
      </c>
      <c r="E1" s="1" t="str">
        <f>"证券名称"</f>
        <v>证券名称</v>
      </c>
      <c r="F1" s="1" t="str">
        <f>"委托类别"</f>
        <v>委托类别</v>
      </c>
      <c r="G1" s="1" t="str">
        <f>"成交价格"</f>
        <v>成交价格</v>
      </c>
      <c r="H1" s="1" t="str">
        <f>"成交数量"</f>
        <v>成交数量</v>
      </c>
      <c r="I1" s="1" t="str">
        <f>"发生金额"</f>
        <v>发生金额</v>
      </c>
      <c r="J1" s="1" t="str">
        <f>"剩余金额"</f>
        <v>剩余金额</v>
      </c>
      <c r="K1" s="1" t="str">
        <f>"佣金"</f>
        <v>佣金</v>
      </c>
      <c r="L1" s="1" t="str">
        <f>"印花税"</f>
        <v>印花税</v>
      </c>
      <c r="M1" s="1" t="str">
        <f>"过户费"</f>
        <v>过户费</v>
      </c>
      <c r="N1" s="1" t="str">
        <f>"成交费"</f>
        <v>成交费</v>
      </c>
      <c r="O1" s="1" t="str">
        <f>"成交编号"</f>
        <v>成交编号</v>
      </c>
      <c r="P1" s="1" t="str">
        <f>"委托编号"</f>
        <v>委托编号</v>
      </c>
    </row>
    <row r="2" spans="1:16" x14ac:dyDescent="0.2">
      <c r="A2" s="1" t="str">
        <f>"20200121"</f>
        <v>20200121</v>
      </c>
      <c r="B2" s="1" t="str">
        <f>"09:16:15"</f>
        <v>09:16:15</v>
      </c>
      <c r="C2" s="1" t="str">
        <f>"A634757556"</f>
        <v>A634757556</v>
      </c>
      <c r="D2" s="1" t="str">
        <f>"799999"</f>
        <v>799999</v>
      </c>
      <c r="E2" s="1" t="str">
        <f>"登记指定"</f>
        <v>登记指定</v>
      </c>
      <c r="F2" s="1" t="str">
        <f>"指定"</f>
        <v>指定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 t="str">
        <f>"17207186"</f>
        <v>17207186</v>
      </c>
      <c r="P2" s="1" t="str">
        <f>"4478"</f>
        <v>4478</v>
      </c>
    </row>
    <row r="3" spans="1:16" x14ac:dyDescent="0.2">
      <c r="A3" s="1" t="str">
        <f>"20200203"</f>
        <v>20200203</v>
      </c>
      <c r="B3" s="1" t="str">
        <f>"09:53:57"</f>
        <v>09:53:57</v>
      </c>
      <c r="C3" s="1" t="str">
        <f>"0184500716"</f>
        <v>0184500716</v>
      </c>
      <c r="D3" s="1" t="str">
        <f>"162411"</f>
        <v>162411</v>
      </c>
      <c r="E3" s="1" t="str">
        <f>"华宝油气"</f>
        <v>华宝油气</v>
      </c>
      <c r="F3" s="1" t="str">
        <f>"买入"</f>
        <v>买入</v>
      </c>
      <c r="G3" s="1">
        <v>0.36</v>
      </c>
      <c r="H3" s="1">
        <v>35500</v>
      </c>
      <c r="I3" s="1">
        <v>12780</v>
      </c>
      <c r="J3" s="1">
        <v>37218.720000000001</v>
      </c>
      <c r="K3" s="1">
        <v>1.28</v>
      </c>
      <c r="L3" s="1">
        <v>0</v>
      </c>
      <c r="M3" s="1">
        <v>0</v>
      </c>
      <c r="N3" s="1">
        <v>0</v>
      </c>
      <c r="O3" s="1" t="str">
        <f>"0101000004266802"</f>
        <v>0101000004266802</v>
      </c>
      <c r="P3" s="1" t="str">
        <f>"56251"</f>
        <v>56251</v>
      </c>
    </row>
    <row r="4" spans="1:16" x14ac:dyDescent="0.2">
      <c r="A4" s="1" t="str">
        <f>"20200203"</f>
        <v>20200203</v>
      </c>
      <c r="B4" s="1" t="str">
        <f>"11:26:14"</f>
        <v>11:26:14</v>
      </c>
      <c r="C4" s="1" t="str">
        <f>"A634757556"</f>
        <v>A634757556</v>
      </c>
      <c r="D4" s="1" t="str">
        <f>"515180"</f>
        <v>515180</v>
      </c>
      <c r="E4" s="1" t="str">
        <f>"100红利"</f>
        <v>100红利</v>
      </c>
      <c r="F4" s="1" t="str">
        <f>"买入"</f>
        <v>买入</v>
      </c>
      <c r="G4" s="1">
        <v>0.90600000000000003</v>
      </c>
      <c r="H4" s="1">
        <v>2700</v>
      </c>
      <c r="I4" s="1">
        <v>2446.1999999999998</v>
      </c>
      <c r="J4" s="1">
        <v>34772.28</v>
      </c>
      <c r="K4" s="1">
        <v>0.24</v>
      </c>
      <c r="L4" s="1">
        <v>0</v>
      </c>
      <c r="M4" s="1">
        <v>0</v>
      </c>
      <c r="N4" s="1">
        <v>0</v>
      </c>
      <c r="O4" s="1" t="str">
        <f>"8752202"</f>
        <v>8752202</v>
      </c>
      <c r="P4" s="1" t="str">
        <f>"101419"</f>
        <v>101419</v>
      </c>
    </row>
    <row r="5" spans="1:16" x14ac:dyDescent="0.2">
      <c r="A5" s="1" t="str">
        <f>"20200210"</f>
        <v>20200210</v>
      </c>
      <c r="B5" s="1" t="str">
        <f>"09:59:08"</f>
        <v>09:59:08</v>
      </c>
      <c r="C5" s="1" t="str">
        <f>"A634757556"</f>
        <v>A634757556</v>
      </c>
      <c r="D5" s="1" t="str">
        <f>"515180"</f>
        <v>515180</v>
      </c>
      <c r="E5" s="1" t="str">
        <f>"100红利"</f>
        <v>100红利</v>
      </c>
      <c r="F5" s="1" t="str">
        <f>"卖出"</f>
        <v>卖出</v>
      </c>
      <c r="G5" s="1">
        <v>0.95699999999999996</v>
      </c>
      <c r="H5" s="1">
        <v>2400</v>
      </c>
      <c r="I5" s="1">
        <v>2296.8000000000002</v>
      </c>
      <c r="J5" s="1">
        <v>2296.5700000000002</v>
      </c>
      <c r="K5" s="1">
        <v>0.23</v>
      </c>
      <c r="L5" s="1">
        <v>0</v>
      </c>
      <c r="M5" s="1">
        <v>0</v>
      </c>
      <c r="N5" s="1">
        <v>0</v>
      </c>
      <c r="O5" s="1" t="str">
        <f>"5337883"</f>
        <v>5337883</v>
      </c>
      <c r="P5" s="1" t="str">
        <f>"46648"</f>
        <v>46648</v>
      </c>
    </row>
    <row r="6" spans="1:16" x14ac:dyDescent="0.2">
      <c r="A6" s="1" t="str">
        <f>"20200228"</f>
        <v>20200228</v>
      </c>
      <c r="B6" s="1" t="str">
        <f>"09:30:40"</f>
        <v>09:30:40</v>
      </c>
      <c r="C6" s="1" t="str">
        <f>"0184500716"</f>
        <v>0184500716</v>
      </c>
      <c r="D6" s="1" t="str">
        <f>"159920"</f>
        <v>159920</v>
      </c>
      <c r="E6" s="1" t="str">
        <f>"恒生ETF"</f>
        <v>恒生ETF</v>
      </c>
      <c r="F6" s="1" t="str">
        <f>"买入"</f>
        <v>买入</v>
      </c>
      <c r="G6" s="1">
        <v>1.446</v>
      </c>
      <c r="H6" s="1">
        <v>1700</v>
      </c>
      <c r="I6" s="1">
        <v>2458.1999999999998</v>
      </c>
      <c r="J6" s="1">
        <v>-2458.4499999999998</v>
      </c>
      <c r="K6" s="1">
        <v>0.25</v>
      </c>
      <c r="L6" s="1">
        <v>0</v>
      </c>
      <c r="M6" s="1">
        <v>0</v>
      </c>
      <c r="N6" s="1">
        <v>0</v>
      </c>
      <c r="O6" s="1" t="str">
        <f>"0101000001836999"</f>
        <v>0101000001836999</v>
      </c>
      <c r="P6" s="1" t="str">
        <f>"39105"</f>
        <v>39105</v>
      </c>
    </row>
    <row r="7" spans="1:16" x14ac:dyDescent="0.2">
      <c r="A7" s="1" t="str">
        <f>"20200309"</f>
        <v>20200309</v>
      </c>
      <c r="B7" s="1" t="str">
        <f>"09:39:44"</f>
        <v>09:39:44</v>
      </c>
      <c r="C7" s="1" t="str">
        <f>"0184500716"</f>
        <v>0184500716</v>
      </c>
      <c r="D7" s="1" t="str">
        <f>"159920"</f>
        <v>159920</v>
      </c>
      <c r="E7" s="1" t="str">
        <f>"恒生ETF"</f>
        <v>恒生ETF</v>
      </c>
      <c r="F7" s="1" t="str">
        <f>"买入"</f>
        <v>买入</v>
      </c>
      <c r="G7" s="1">
        <v>1.3839999999999999</v>
      </c>
      <c r="H7" s="1">
        <v>1800</v>
      </c>
      <c r="I7" s="1">
        <v>2491.1999999999998</v>
      </c>
      <c r="J7" s="1">
        <v>-2491.4499999999998</v>
      </c>
      <c r="K7" s="1">
        <v>0.25</v>
      </c>
      <c r="L7" s="1">
        <v>0</v>
      </c>
      <c r="M7" s="1">
        <v>0</v>
      </c>
      <c r="N7" s="1">
        <v>0</v>
      </c>
      <c r="O7" s="1" t="str">
        <f>"0102000005358551"</f>
        <v>0102000005358551</v>
      </c>
      <c r="P7" s="1" t="str">
        <f>"68903"</f>
        <v>68903</v>
      </c>
    </row>
    <row r="8" spans="1:16" x14ac:dyDescent="0.2">
      <c r="A8" s="1" t="str">
        <f>"20200311"</f>
        <v>20200311</v>
      </c>
      <c r="B8" s="1" t="str">
        <f>"13:41:39"</f>
        <v>13:41:39</v>
      </c>
      <c r="C8" s="1" t="str">
        <f>"A634757556"</f>
        <v>A634757556</v>
      </c>
      <c r="D8" s="1" t="str">
        <f>"513520"</f>
        <v>513520</v>
      </c>
      <c r="E8" s="1" t="str">
        <f>"日经ETF"</f>
        <v>日经ETF</v>
      </c>
      <c r="F8" s="1" t="str">
        <f>"买入"</f>
        <v>买入</v>
      </c>
      <c r="G8" s="1">
        <v>0.96899999999999997</v>
      </c>
      <c r="H8" s="1">
        <v>2600</v>
      </c>
      <c r="I8" s="1">
        <v>2519.4</v>
      </c>
      <c r="J8" s="1">
        <v>-2519.65</v>
      </c>
      <c r="K8" s="1">
        <v>0.25</v>
      </c>
      <c r="L8" s="1">
        <v>0</v>
      </c>
      <c r="M8" s="1">
        <v>0</v>
      </c>
      <c r="N8" s="1">
        <v>0</v>
      </c>
      <c r="O8" s="1" t="str">
        <f>"17094625"</f>
        <v>17094625</v>
      </c>
      <c r="P8" s="1" t="str">
        <f>"204748"</f>
        <v>204748</v>
      </c>
    </row>
    <row r="9" spans="1:16" x14ac:dyDescent="0.2">
      <c r="A9" s="1" t="str">
        <f>"20200312"</f>
        <v>20200312</v>
      </c>
      <c r="B9" s="1" t="str">
        <f>"10:05:12"</f>
        <v>10:05:12</v>
      </c>
      <c r="C9" s="1" t="str">
        <f>"0184500716"</f>
        <v>0184500716</v>
      </c>
      <c r="D9" s="1" t="str">
        <f>"162411"</f>
        <v>162411</v>
      </c>
      <c r="E9" s="1" t="str">
        <f>"华宝油气"</f>
        <v>华宝油气</v>
      </c>
      <c r="F9" s="1" t="str">
        <f>"卖出"</f>
        <v>卖出</v>
      </c>
      <c r="G9" s="1">
        <v>0.23799999999999999</v>
      </c>
      <c r="H9" s="1">
        <v>35500</v>
      </c>
      <c r="I9" s="1">
        <v>8449</v>
      </c>
      <c r="J9" s="1">
        <v>8448.26</v>
      </c>
      <c r="K9" s="1">
        <v>0.84</v>
      </c>
      <c r="L9" s="1">
        <v>0</v>
      </c>
      <c r="M9" s="1">
        <v>0</v>
      </c>
      <c r="N9" s="1">
        <v>0</v>
      </c>
      <c r="O9" s="1" t="str">
        <f>"0101000010883522"</f>
        <v>0101000010883522</v>
      </c>
      <c r="P9" s="1" t="str">
        <f>"148802"</f>
        <v>148802</v>
      </c>
    </row>
    <row r="10" spans="1:16" x14ac:dyDescent="0.2">
      <c r="A10" s="1" t="str">
        <f>"20200316"</f>
        <v>20200316</v>
      </c>
      <c r="B10" s="1" t="str">
        <f>"00:00:00"</f>
        <v>00:00:00</v>
      </c>
      <c r="C10" s="1" t="str">
        <f>"0184500716"</f>
        <v>0184500716</v>
      </c>
      <c r="D10" s="1" t="str">
        <f>"160416"</f>
        <v>160416</v>
      </c>
      <c r="E10" s="1" t="str">
        <f>"石油基金"</f>
        <v>石油基金</v>
      </c>
      <c r="F10" s="1" t="str">
        <f>"基金申购"</f>
        <v>基金申购</v>
      </c>
      <c r="G10" s="1">
        <v>0.60799999999999998</v>
      </c>
      <c r="H10" s="1">
        <v>13896</v>
      </c>
      <c r="I10" s="1">
        <v>8448.77</v>
      </c>
      <c r="J10" s="1">
        <v>0.23</v>
      </c>
      <c r="K10" s="1">
        <v>0</v>
      </c>
      <c r="L10" s="1">
        <v>0</v>
      </c>
      <c r="M10" s="1">
        <v>0</v>
      </c>
      <c r="N10" s="1">
        <v>0</v>
      </c>
      <c r="O10" s="1" t="str">
        <f>"申购确认"</f>
        <v>申购确认</v>
      </c>
      <c r="P10" s="1" t="str">
        <f>"151719"</f>
        <v>151719</v>
      </c>
    </row>
    <row r="11" spans="1:16" x14ac:dyDescent="0.2">
      <c r="A11" s="1" t="str">
        <f>"20200317"</f>
        <v>20200317</v>
      </c>
      <c r="B11" s="1" t="str">
        <f>"09:59:01"</f>
        <v>09:59:01</v>
      </c>
      <c r="C11" s="1" t="str">
        <f>"A634757556"</f>
        <v>A634757556</v>
      </c>
      <c r="D11" s="1" t="str">
        <f>"513520"</f>
        <v>513520</v>
      </c>
      <c r="E11" s="1" t="str">
        <f>"日经ETF"</f>
        <v>日经ETF</v>
      </c>
      <c r="F11" s="1" t="str">
        <f t="shared" ref="F11:F16" si="0">"买入"</f>
        <v>买入</v>
      </c>
      <c r="G11" s="1">
        <v>0.82499999999999996</v>
      </c>
      <c r="H11" s="1">
        <v>3000</v>
      </c>
      <c r="I11" s="1">
        <v>2475</v>
      </c>
      <c r="J11" s="1">
        <v>-2475.02</v>
      </c>
      <c r="K11" s="1">
        <v>0.25</v>
      </c>
      <c r="L11" s="1">
        <v>0</v>
      </c>
      <c r="M11" s="1">
        <v>0</v>
      </c>
      <c r="N11" s="1">
        <v>0</v>
      </c>
      <c r="O11" s="1" t="str">
        <f>"6294394"</f>
        <v>6294394</v>
      </c>
      <c r="P11" s="1" t="str">
        <f>"73422"</f>
        <v>73422</v>
      </c>
    </row>
    <row r="12" spans="1:16" x14ac:dyDescent="0.2">
      <c r="A12" s="1" t="str">
        <f>"20200319"</f>
        <v>20200319</v>
      </c>
      <c r="B12" s="1" t="str">
        <f>"09:53:52"</f>
        <v>09:53:52</v>
      </c>
      <c r="C12" s="1" t="str">
        <f>"0184500716"</f>
        <v>0184500716</v>
      </c>
      <c r="D12" s="1" t="str">
        <f>"159920"</f>
        <v>159920</v>
      </c>
      <c r="E12" s="1" t="str">
        <f>"恒生ETF"</f>
        <v>恒生ETF</v>
      </c>
      <c r="F12" s="1" t="str">
        <f t="shared" si="0"/>
        <v>买入</v>
      </c>
      <c r="G12" s="1">
        <v>1.2430000000000001</v>
      </c>
      <c r="H12" s="1">
        <v>2000</v>
      </c>
      <c r="I12" s="1">
        <v>2486</v>
      </c>
      <c r="J12" s="1">
        <v>15013.75</v>
      </c>
      <c r="K12" s="1">
        <v>0.25</v>
      </c>
      <c r="L12" s="1">
        <v>0</v>
      </c>
      <c r="M12" s="1">
        <v>0</v>
      </c>
      <c r="N12" s="1">
        <v>0</v>
      </c>
      <c r="O12" s="1" t="str">
        <f>"0104000007327435"</f>
        <v>0104000007327435</v>
      </c>
      <c r="P12" s="1" t="str">
        <f>"73514"</f>
        <v>73514</v>
      </c>
    </row>
    <row r="13" spans="1:16" x14ac:dyDescent="0.2">
      <c r="A13" s="1" t="str">
        <f>"20200319"</f>
        <v>20200319</v>
      </c>
      <c r="B13" s="1" t="str">
        <f>"09:55:44"</f>
        <v>09:55:44</v>
      </c>
      <c r="C13" s="1" t="str">
        <f>"A634757556"</f>
        <v>A634757556</v>
      </c>
      <c r="D13" s="1" t="str">
        <f>"513520"</f>
        <v>513520</v>
      </c>
      <c r="E13" s="1" t="str">
        <f>"日经ETF"</f>
        <v>日经ETF</v>
      </c>
      <c r="F13" s="1" t="str">
        <f t="shared" si="0"/>
        <v>买入</v>
      </c>
      <c r="G13" s="1">
        <v>0.81299999999999994</v>
      </c>
      <c r="H13" s="1">
        <v>3100</v>
      </c>
      <c r="I13" s="1">
        <v>2520.3000000000002</v>
      </c>
      <c r="J13" s="1">
        <v>12493.2</v>
      </c>
      <c r="K13" s="1">
        <v>0.25</v>
      </c>
      <c r="L13" s="1">
        <v>0</v>
      </c>
      <c r="M13" s="1">
        <v>0</v>
      </c>
      <c r="N13" s="1">
        <v>0</v>
      </c>
      <c r="O13" s="1" t="str">
        <f>"4778233"</f>
        <v>4778233</v>
      </c>
      <c r="P13" s="1" t="str">
        <f>"76386"</f>
        <v>76386</v>
      </c>
    </row>
    <row r="14" spans="1:16" x14ac:dyDescent="0.2">
      <c r="A14" s="1" t="str">
        <f>"20200319"</f>
        <v>20200319</v>
      </c>
      <c r="B14" s="1" t="str">
        <f>"10:10:37"</f>
        <v>10:10:37</v>
      </c>
      <c r="C14" s="1" t="str">
        <f>"A634757556"</f>
        <v>A634757556</v>
      </c>
      <c r="D14" s="1" t="str">
        <f>"513520"</f>
        <v>513520</v>
      </c>
      <c r="E14" s="1" t="str">
        <f>"日经ETF"</f>
        <v>日经ETF</v>
      </c>
      <c r="F14" s="1" t="str">
        <f t="shared" si="0"/>
        <v>买入</v>
      </c>
      <c r="G14" s="1">
        <v>0.80700000000000005</v>
      </c>
      <c r="H14" s="1">
        <v>6200</v>
      </c>
      <c r="I14" s="1">
        <v>5003.3999999999996</v>
      </c>
      <c r="J14" s="1">
        <v>7489.3</v>
      </c>
      <c r="K14" s="1">
        <v>0.5</v>
      </c>
      <c r="L14" s="1">
        <v>0</v>
      </c>
      <c r="M14" s="1">
        <v>0</v>
      </c>
      <c r="N14" s="1">
        <v>0</v>
      </c>
      <c r="O14" s="1" t="str">
        <f>"5936767"</f>
        <v>5936767</v>
      </c>
      <c r="P14" s="1" t="str">
        <f>"92410"</f>
        <v>92410</v>
      </c>
    </row>
    <row r="15" spans="1:16" x14ac:dyDescent="0.2">
      <c r="A15" s="1" t="str">
        <f>"20200319"</f>
        <v>20200319</v>
      </c>
      <c r="B15" s="1" t="str">
        <f>"10:19:06"</f>
        <v>10:19:06</v>
      </c>
      <c r="C15" s="1" t="str">
        <f>"0184500716"</f>
        <v>0184500716</v>
      </c>
      <c r="D15" s="1" t="str">
        <f>"159920"</f>
        <v>159920</v>
      </c>
      <c r="E15" s="1" t="str">
        <f>"恒生ETF"</f>
        <v>恒生ETF</v>
      </c>
      <c r="F15" s="1" t="str">
        <f t="shared" si="0"/>
        <v>买入</v>
      </c>
      <c r="G15" s="1">
        <v>1.234</v>
      </c>
      <c r="H15" s="1">
        <v>4100</v>
      </c>
      <c r="I15" s="1">
        <v>5059.3999999999996</v>
      </c>
      <c r="J15" s="1">
        <v>2429.39</v>
      </c>
      <c r="K15" s="1">
        <v>0.51</v>
      </c>
      <c r="L15" s="1">
        <v>0</v>
      </c>
      <c r="M15" s="1">
        <v>0</v>
      </c>
      <c r="N15" s="1">
        <v>0</v>
      </c>
      <c r="O15" s="1" t="str">
        <f>"0104000011223662"</f>
        <v>0104000011223662</v>
      </c>
      <c r="P15" s="1" t="str">
        <f>"110137"</f>
        <v>110137</v>
      </c>
    </row>
    <row r="16" spans="1:16" x14ac:dyDescent="0.2">
      <c r="A16" s="1" t="str">
        <f>"20200319"</f>
        <v>20200319</v>
      </c>
      <c r="B16" s="1" t="str">
        <f>"10:58:35"</f>
        <v>10:58:35</v>
      </c>
      <c r="C16" s="1" t="str">
        <f>"A634757556"</f>
        <v>A634757556</v>
      </c>
      <c r="D16" s="1" t="str">
        <f>"515180"</f>
        <v>515180</v>
      </c>
      <c r="E16" s="1" t="str">
        <f>"100红利"</f>
        <v>100红利</v>
      </c>
      <c r="F16" s="1" t="str">
        <f t="shared" si="0"/>
        <v>买入</v>
      </c>
      <c r="G16" s="1">
        <v>0.90600000000000003</v>
      </c>
      <c r="H16" s="1">
        <v>2700</v>
      </c>
      <c r="I16" s="1">
        <v>2446.1999999999998</v>
      </c>
      <c r="J16" s="1">
        <v>-17.05</v>
      </c>
      <c r="K16" s="1">
        <v>0.24</v>
      </c>
      <c r="L16" s="1">
        <v>0</v>
      </c>
      <c r="M16" s="1">
        <v>0</v>
      </c>
      <c r="N16" s="1">
        <v>0</v>
      </c>
      <c r="O16" s="1" t="str">
        <f>"10557894"</f>
        <v>10557894</v>
      </c>
      <c r="P16" s="1" t="str">
        <f>"148498"</f>
        <v>148498</v>
      </c>
    </row>
    <row r="17" spans="1:16" x14ac:dyDescent="0.2">
      <c r="A17" s="1" t="str">
        <f>"20200325"</f>
        <v>20200325</v>
      </c>
      <c r="B17" s="1" t="str">
        <f>"09:31:15"</f>
        <v>09:31:15</v>
      </c>
      <c r="C17" s="1" t="str">
        <f>"A634757556"</f>
        <v>A634757556</v>
      </c>
      <c r="D17" s="1" t="str">
        <f>"513520"</f>
        <v>513520</v>
      </c>
      <c r="E17" s="1" t="str">
        <f>"日经ETF"</f>
        <v>日经ETF</v>
      </c>
      <c r="F17" s="1" t="str">
        <f>"卖出"</f>
        <v>卖出</v>
      </c>
      <c r="G17" s="1">
        <v>0.874</v>
      </c>
      <c r="H17" s="1">
        <v>2900</v>
      </c>
      <c r="I17" s="1">
        <v>2534.6</v>
      </c>
      <c r="J17" s="1">
        <v>2534.35</v>
      </c>
      <c r="K17" s="1">
        <v>0.25</v>
      </c>
      <c r="L17" s="1">
        <v>0</v>
      </c>
      <c r="M17" s="1">
        <v>0</v>
      </c>
      <c r="N17" s="1">
        <v>0</v>
      </c>
      <c r="O17" s="1" t="str">
        <f>"977029"</f>
        <v>977029</v>
      </c>
      <c r="P17" s="1" t="str">
        <f>"33804"</f>
        <v>33804</v>
      </c>
    </row>
    <row r="18" spans="1:16" x14ac:dyDescent="0.2">
      <c r="A18" s="1" t="str">
        <f>"20200408"</f>
        <v>20200408</v>
      </c>
      <c r="B18" s="1" t="str">
        <f>"13:18:53"</f>
        <v>13:18:53</v>
      </c>
      <c r="C18" s="1" t="str">
        <f>"A634757556"</f>
        <v>A634757556</v>
      </c>
      <c r="D18" s="1" t="str">
        <f>"513520"</f>
        <v>513520</v>
      </c>
      <c r="E18" s="1" t="str">
        <f>"日经ETF"</f>
        <v>日经ETF</v>
      </c>
      <c r="F18" s="1" t="str">
        <f>"卖出"</f>
        <v>卖出</v>
      </c>
      <c r="G18" s="1">
        <v>0.92300000000000004</v>
      </c>
      <c r="H18" s="1">
        <v>3000</v>
      </c>
      <c r="I18" s="1">
        <v>2769</v>
      </c>
      <c r="J18" s="1">
        <v>2768.72</v>
      </c>
      <c r="K18" s="1">
        <v>0.28000000000000003</v>
      </c>
      <c r="L18" s="1">
        <v>0</v>
      </c>
      <c r="M18" s="1">
        <v>0</v>
      </c>
      <c r="N18" s="1">
        <v>0</v>
      </c>
      <c r="O18" s="1" t="str">
        <f>"11578780"</f>
        <v>11578780</v>
      </c>
      <c r="P18" s="1" t="str">
        <f>"159187"</f>
        <v>159187</v>
      </c>
    </row>
    <row r="19" spans="1:16" x14ac:dyDescent="0.2">
      <c r="A19" s="1" t="str">
        <f>"20200410"</f>
        <v>20200410</v>
      </c>
      <c r="B19" s="1" t="str">
        <f>"14:56:23"</f>
        <v>14:56:23</v>
      </c>
      <c r="C19" s="1" t="str">
        <f>"A634757556"</f>
        <v>A634757556</v>
      </c>
      <c r="D19" s="1" t="str">
        <f>"512580"</f>
        <v>512580</v>
      </c>
      <c r="E19" s="1" t="str">
        <f>"环保ETF"</f>
        <v>环保ETF</v>
      </c>
      <c r="F19" s="1" t="str">
        <f>"买入"</f>
        <v>买入</v>
      </c>
      <c r="G19" s="1">
        <v>0.754</v>
      </c>
      <c r="H19" s="1">
        <v>3300</v>
      </c>
      <c r="I19" s="1">
        <v>2488.1999999999998</v>
      </c>
      <c r="J19" s="1">
        <v>-2488.4499999999998</v>
      </c>
      <c r="K19" s="1">
        <v>0.25</v>
      </c>
      <c r="L19" s="1">
        <v>0</v>
      </c>
      <c r="M19" s="1">
        <v>0</v>
      </c>
      <c r="N19" s="1">
        <v>0</v>
      </c>
      <c r="O19" s="1" t="str">
        <f>"16823495"</f>
        <v>16823495</v>
      </c>
      <c r="P19" s="1" t="str">
        <f>"352561"</f>
        <v>352561</v>
      </c>
    </row>
    <row r="20" spans="1:16" x14ac:dyDescent="0.2">
      <c r="A20" s="1" t="str">
        <f>"20200410"</f>
        <v>20200410</v>
      </c>
      <c r="B20" s="1" t="str">
        <f>"14:54:07"</f>
        <v>14:54:07</v>
      </c>
      <c r="C20" s="1" t="str">
        <f>"A634757556"</f>
        <v>A634757556</v>
      </c>
      <c r="D20" s="1" t="str">
        <f>"512980"</f>
        <v>512980</v>
      </c>
      <c r="E20" s="1" t="str">
        <f>"传媒ETF"</f>
        <v>传媒ETF</v>
      </c>
      <c r="F20" s="1" t="str">
        <f>"买入"</f>
        <v>买入</v>
      </c>
      <c r="G20" s="1">
        <v>0.80800000000000005</v>
      </c>
      <c r="H20" s="1">
        <v>3100</v>
      </c>
      <c r="I20" s="1">
        <v>2504.8000000000002</v>
      </c>
      <c r="J20" s="1">
        <v>-4993.5</v>
      </c>
      <c r="K20" s="1">
        <v>0.25</v>
      </c>
      <c r="L20" s="1">
        <v>0</v>
      </c>
      <c r="M20" s="1">
        <v>0</v>
      </c>
      <c r="N20" s="1">
        <v>0</v>
      </c>
      <c r="O20" s="1" t="str">
        <f>"16798477"</f>
        <v>16798477</v>
      </c>
      <c r="P20" s="1" t="str">
        <f>"353394"</f>
        <v>353394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kangliquan</cp:lastModifiedBy>
  <dcterms:created xsi:type="dcterms:W3CDTF">2015-06-05T18:19:34Z</dcterms:created>
  <dcterms:modified xsi:type="dcterms:W3CDTF">2020-04-11T22:22:16Z</dcterms:modified>
</cp:coreProperties>
</file>