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/>
  <mc:AlternateContent xmlns:mc="http://schemas.openxmlformats.org/markup-compatibility/2006">
    <mc:Choice Requires="x15">
      <x15ac:absPath xmlns:x15ac="http://schemas.microsoft.com/office/spreadsheetml/2010/11/ac" url="/Users/klq26/github/finance-data/Portfolio/"/>
    </mc:Choice>
  </mc:AlternateContent>
  <xr:revisionPtr revIDLastSave="0" documentId="13_ncr:1_{3B1D6794-DA32-0C4B-860B-29E7556FFF4C}" xr6:coauthVersionLast="40" xr6:coauthVersionMax="43" xr10:uidLastSave="{00000000-0000-0000-0000-000000000000}"/>
  <bookViews>
    <workbookView xWindow="28800" yWindow="-8860" windowWidth="21600" windowHeight="37940" tabRatio="711" xr2:uid="{00000000-000D-0000-FFFF-FFFF00000000}"/>
  </bookViews>
  <sheets>
    <sheet name="资产配置情况" sheetId="11" r:id="rId1"/>
  </sheets>
  <calcPr calcId="191029"/>
</workbook>
</file>

<file path=xl/calcChain.xml><?xml version="1.0" encoding="utf-8"?>
<calcChain xmlns="http://schemas.openxmlformats.org/spreadsheetml/2006/main">
  <c r="C27" i="11" l="1"/>
  <c r="I26" i="11" l="1"/>
  <c r="I27" i="11"/>
  <c r="I21" i="11"/>
  <c r="I19" i="11"/>
  <c r="I22" i="11"/>
  <c r="I28" i="11"/>
  <c r="I23" i="11"/>
  <c r="I25" i="11"/>
  <c r="I24" i="11"/>
  <c r="I20" i="11"/>
  <c r="K8" i="11"/>
  <c r="H21" i="11"/>
  <c r="K6" i="11"/>
  <c r="H19" i="11" s="1"/>
  <c r="H27" i="11" l="1"/>
  <c r="F27" i="11" s="1"/>
  <c r="H20" i="11"/>
  <c r="H25" i="11"/>
  <c r="H28" i="11"/>
  <c r="H24" i="11"/>
  <c r="H23" i="11"/>
  <c r="H22" i="11"/>
  <c r="F6" i="11"/>
  <c r="F7" i="11"/>
  <c r="H26" i="11" l="1"/>
  <c r="F3" i="11"/>
  <c r="F4" i="11"/>
  <c r="F5" i="11"/>
  <c r="F8" i="11"/>
  <c r="F9" i="11"/>
  <c r="F10" i="11"/>
  <c r="F11" i="11"/>
  <c r="F12" i="11"/>
  <c r="F13" i="11"/>
  <c r="F14" i="11"/>
  <c r="F15" i="11"/>
  <c r="F16" i="11"/>
  <c r="F17" i="11"/>
  <c r="F18" i="11"/>
  <c r="F29" i="11"/>
  <c r="F30" i="11"/>
  <c r="F31" i="11"/>
  <c r="F32" i="11"/>
  <c r="F33" i="11"/>
  <c r="F34" i="11"/>
  <c r="F35" i="11"/>
  <c r="F36" i="11"/>
  <c r="F37" i="11"/>
  <c r="F22" i="11" l="1"/>
  <c r="L2" i="11" l="1"/>
  <c r="K2" i="11"/>
  <c r="L17" i="11" s="1"/>
  <c r="F24" i="11"/>
  <c r="F23" i="11"/>
  <c r="F21" i="11"/>
  <c r="F20" i="11"/>
  <c r="F19" i="11"/>
  <c r="F28" i="11"/>
  <c r="F2" i="11"/>
  <c r="F26" i="11" l="1"/>
  <c r="F25" i="11"/>
  <c r="L16" i="11"/>
  <c r="L15" i="11" l="1"/>
  <c r="F38" i="11"/>
  <c r="E39" i="11" l="1"/>
  <c r="E27" i="11"/>
  <c r="E17" i="11"/>
  <c r="C17" i="11" s="1"/>
  <c r="E10" i="11"/>
  <c r="E5" i="11"/>
  <c r="E14" i="11"/>
  <c r="C14" i="11" s="1"/>
  <c r="E12" i="11"/>
  <c r="C12" i="11" s="1"/>
  <c r="E29" i="11"/>
  <c r="C29" i="11" s="1"/>
  <c r="E7" i="11"/>
  <c r="E3" i="11"/>
  <c r="E30" i="11"/>
  <c r="C30" i="11" s="1"/>
  <c r="E26" i="11"/>
  <c r="E37" i="11"/>
  <c r="E36" i="11"/>
  <c r="E35" i="11"/>
  <c r="E19" i="11"/>
  <c r="C19" i="11" s="1"/>
  <c r="E31" i="11"/>
  <c r="C31" i="11" s="1"/>
  <c r="E18" i="11"/>
  <c r="C18" i="11" s="1"/>
  <c r="E15" i="11"/>
  <c r="C15" i="11" s="1"/>
  <c r="E33" i="11"/>
  <c r="E11" i="11"/>
  <c r="E8" i="11"/>
  <c r="C8" i="11" s="1"/>
  <c r="E13" i="11"/>
  <c r="E2" i="11"/>
  <c r="E9" i="11"/>
  <c r="E34" i="11"/>
  <c r="E16" i="11"/>
  <c r="C16" i="11" s="1"/>
  <c r="E32" i="11"/>
  <c r="E24" i="11"/>
  <c r="C24" i="11" s="1"/>
  <c r="E23" i="11"/>
  <c r="E20" i="11"/>
  <c r="C20" i="11" s="1"/>
  <c r="E28" i="11"/>
  <c r="C28" i="11" s="1"/>
  <c r="L4" i="11"/>
  <c r="E4" i="11"/>
  <c r="C3" i="11" s="1"/>
  <c r="E6" i="11"/>
  <c r="E21" i="11"/>
  <c r="C21" i="11" s="1"/>
  <c r="E25" i="11"/>
  <c r="E22" i="11"/>
  <c r="C22" i="11" s="1"/>
  <c r="C33" i="11"/>
  <c r="B33" i="11"/>
  <c r="C11" i="11"/>
  <c r="B11" i="11"/>
  <c r="C13" i="11"/>
  <c r="B32" i="11"/>
  <c r="A32" i="11"/>
  <c r="C32" i="11"/>
  <c r="C37" i="11"/>
  <c r="B37" i="11"/>
  <c r="A37" i="11"/>
  <c r="B29" i="11" l="1"/>
  <c r="C25" i="11"/>
  <c r="A29" i="11"/>
  <c r="A34" i="11"/>
  <c r="C9" i="11"/>
  <c r="A31" i="11"/>
  <c r="B31" i="11"/>
  <c r="B30" i="11"/>
  <c r="E38" i="11"/>
  <c r="B2" i="11"/>
  <c r="C34" i="11"/>
  <c r="B12" i="11"/>
  <c r="C2" i="11"/>
  <c r="B34" i="11"/>
  <c r="B5" i="11"/>
  <c r="C5" i="11"/>
  <c r="B19" i="11"/>
  <c r="A2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</author>
  </authors>
  <commentList>
    <comment ref="G37" authorId="0" shapeId="0" xr:uid="{8772274C-E21A-48BF-A1A4-3076D8BD35AA}">
      <text>
        <r>
          <rPr>
            <b/>
            <sz val="9"/>
            <color indexed="81"/>
            <rFont val="宋体"/>
            <family val="3"/>
            <charset val="134"/>
          </rPr>
          <t>还剩多少本金，可以通过“计划收益”和天天基金APP里面的收益对比后，近似得出。</t>
        </r>
      </text>
    </comment>
  </commentList>
</comments>
</file>

<file path=xl/sharedStrings.xml><?xml version="1.0" encoding="utf-8"?>
<sst xmlns="http://schemas.openxmlformats.org/spreadsheetml/2006/main" count="64" uniqueCount="62">
  <si>
    <t>大类目</t>
    <rPh sb="0" eb="1">
      <t>da'lei'm</t>
    </rPh>
    <phoneticPr fontId="2" type="noConversion"/>
  </si>
  <si>
    <t>二级类目</t>
    <rPh sb="0" eb="1">
      <t>er'ji</t>
    </rPh>
    <rPh sb="2" eb="3">
      <t>lei'mu</t>
    </rPh>
    <phoneticPr fontId="2" type="noConversion"/>
  </si>
  <si>
    <t>品种</t>
    <rPh sb="0" eb="1">
      <t>pin'z</t>
    </rPh>
    <rPh sb="1" eb="2">
      <t>zhong</t>
    </rPh>
    <phoneticPr fontId="2" type="noConversion"/>
  </si>
  <si>
    <t>天天基金</t>
    <rPh sb="0" eb="1">
      <t>tian't'j'j</t>
    </rPh>
    <phoneticPr fontId="2" type="noConversion"/>
  </si>
  <si>
    <t>总市值</t>
    <rPh sb="0" eb="1">
      <t>zong'shi'zhi</t>
    </rPh>
    <phoneticPr fontId="2" type="noConversion"/>
  </si>
  <si>
    <t>总收益率</t>
    <rPh sb="0" eb="1">
      <t>zong</t>
    </rPh>
    <rPh sb="1" eb="2">
      <t>shou'yi'l</t>
    </rPh>
    <phoneticPr fontId="2" type="noConversion"/>
  </si>
  <si>
    <t>市值占比</t>
    <rPh sb="0" eb="1">
      <t>zui'x</t>
    </rPh>
    <rPh sb="2" eb="3">
      <t>zhan'bi</t>
    </rPh>
    <phoneticPr fontId="2" type="noConversion"/>
  </si>
  <si>
    <t>广发医药</t>
    <phoneticPr fontId="2" type="noConversion"/>
  </si>
  <si>
    <t>基金</t>
    <phoneticPr fontId="2" type="noConversion"/>
  </si>
  <si>
    <t>易方达创业板</t>
    <phoneticPr fontId="2" type="noConversion"/>
  </si>
  <si>
    <t>富国中证红利</t>
    <phoneticPr fontId="2" type="noConversion"/>
  </si>
  <si>
    <t>广发养老</t>
    <phoneticPr fontId="2" type="noConversion"/>
  </si>
  <si>
    <t>易方达消费</t>
    <phoneticPr fontId="2" type="noConversion"/>
  </si>
  <si>
    <t>广发金融地产</t>
    <phoneticPr fontId="2" type="noConversion"/>
  </si>
  <si>
    <t>华夏恒生</t>
    <phoneticPr fontId="2" type="noConversion"/>
  </si>
  <si>
    <t>交银海外互联网</t>
    <phoneticPr fontId="2" type="noConversion"/>
  </si>
  <si>
    <t>华安德国</t>
    <phoneticPr fontId="2" type="noConversion"/>
  </si>
  <si>
    <t>华宝油气</t>
    <phoneticPr fontId="2" type="noConversion"/>
  </si>
  <si>
    <t>兴全可转债</t>
    <phoneticPr fontId="2" type="noConversion"/>
  </si>
  <si>
    <t>长信可转债</t>
    <phoneticPr fontId="2" type="noConversion"/>
  </si>
  <si>
    <t>易方达安心债</t>
    <phoneticPr fontId="2" type="noConversion"/>
  </si>
  <si>
    <t>南方天天利</t>
    <phoneticPr fontId="2" type="noConversion"/>
  </si>
  <si>
    <t>华夏上证50</t>
    <phoneticPr fontId="2" type="noConversion"/>
  </si>
  <si>
    <t>养老金计划本金</t>
    <rPh sb="0" eb="1">
      <t>di'san'ci</t>
    </rPh>
    <rPh sb="2" eb="3">
      <t>lun</t>
    </rPh>
    <rPh sb="3" eb="4">
      <t>ji'h</t>
    </rPh>
    <phoneticPr fontId="2" type="noConversion"/>
  </si>
  <si>
    <t>富国沪深300</t>
    <phoneticPr fontId="2" type="noConversion"/>
  </si>
  <si>
    <t>富国中证500</t>
    <phoneticPr fontId="2" type="noConversion"/>
  </si>
  <si>
    <t>华宝中证1000</t>
    <phoneticPr fontId="2" type="noConversion"/>
  </si>
  <si>
    <t>广发创业板</t>
    <phoneticPr fontId="2" type="noConversion"/>
  </si>
  <si>
    <t>广发中证传媒</t>
    <phoneticPr fontId="2" type="noConversion"/>
  </si>
  <si>
    <t>广发中证环保</t>
    <phoneticPr fontId="2" type="noConversion"/>
  </si>
  <si>
    <t>易方达证券公司</t>
    <phoneticPr fontId="2" type="noConversion"/>
  </si>
  <si>
    <t>华安黄金</t>
    <phoneticPr fontId="2" type="noConversion"/>
  </si>
  <si>
    <t>老爸蛋卷</t>
    <phoneticPr fontId="2" type="noConversion"/>
  </si>
  <si>
    <t>老妈蛋卷</t>
    <rPh sb="0" eb="1">
      <t>tian't'j'j</t>
    </rPh>
    <phoneticPr fontId="2" type="noConversion"/>
  </si>
  <si>
    <t>华宝香港中小</t>
    <phoneticPr fontId="2" type="noConversion"/>
  </si>
  <si>
    <t>华夏上证50AH优选</t>
    <phoneticPr fontId="2" type="noConversion"/>
  </si>
  <si>
    <t>大成中证红利指数</t>
    <phoneticPr fontId="2" type="noConversion"/>
  </si>
  <si>
    <t>景顺长城中证500低波动</t>
    <phoneticPr fontId="2" type="noConversion"/>
  </si>
  <si>
    <t>申万菱信沪深300价值</t>
    <phoneticPr fontId="2" type="noConversion"/>
  </si>
  <si>
    <t>银河沪深300价值</t>
    <phoneticPr fontId="2" type="noConversion"/>
  </si>
  <si>
    <t>嘉实深证基本面120</t>
    <phoneticPr fontId="2" type="noConversion"/>
  </si>
  <si>
    <t>老妈蛋卷投入</t>
    <phoneticPr fontId="2" type="noConversion"/>
  </si>
  <si>
    <t>老爸蛋卷投入</t>
    <phoneticPr fontId="2" type="noConversion"/>
  </si>
  <si>
    <t>老妈货币基金</t>
    <phoneticPr fontId="2" type="noConversion"/>
  </si>
  <si>
    <t>老爸货币基金</t>
    <phoneticPr fontId="2" type="noConversion"/>
  </si>
  <si>
    <t>货基收益</t>
    <phoneticPr fontId="2" type="noConversion"/>
  </si>
  <si>
    <t>权益类资金综合</t>
    <rPh sb="0" eb="1">
      <t>zi'j</t>
    </rPh>
    <rPh sb="2" eb="3">
      <t>ji'shu</t>
    </rPh>
    <phoneticPr fontId="2" type="noConversion"/>
  </si>
  <si>
    <t>总资金</t>
    <phoneticPr fontId="2" type="noConversion"/>
  </si>
  <si>
    <t>权益类</t>
    <phoneticPr fontId="2" type="noConversion"/>
  </si>
  <si>
    <t>低风险</t>
    <phoneticPr fontId="2" type="noConversion"/>
  </si>
  <si>
    <t>债券类</t>
    <phoneticPr fontId="2" type="noConversion"/>
  </si>
  <si>
    <t>占比</t>
    <phoneticPr fontId="2" type="noConversion"/>
  </si>
  <si>
    <t>资产分类</t>
    <phoneticPr fontId="2" type="noConversion"/>
  </si>
  <si>
    <t>老妈蛋卷收益</t>
    <phoneticPr fontId="2" type="noConversion"/>
  </si>
  <si>
    <t>老爸蛋卷收益益</t>
    <phoneticPr fontId="2" type="noConversion"/>
  </si>
  <si>
    <t>计划收益</t>
    <phoneticPr fontId="2" type="noConversion"/>
  </si>
  <si>
    <t>华夏沪深300</t>
    <phoneticPr fontId="2" type="noConversion"/>
  </si>
  <si>
    <t>华宝红利基金</t>
    <phoneticPr fontId="2" type="noConversion"/>
  </si>
  <si>
    <t>天弘中证医药100A</t>
    <phoneticPr fontId="2" type="noConversion"/>
  </si>
  <si>
    <t>广发中证500C</t>
    <phoneticPr fontId="2" type="noConversion"/>
  </si>
  <si>
    <t>广发中证500A</t>
    <phoneticPr fontId="2" type="noConversion"/>
  </si>
  <si>
    <t>建信深证基本面60ETF联接A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</si>
</sst>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1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  <font>
      <b/>
      <sz val="11"/>
      <color rgb="FFFF0000"/>
      <name val="DengXian"/>
      <family val="4"/>
      <charset val="134"/>
      <scheme val="minor"/>
    </font>
    <font>
      <b/>
      <sz val="11"/>
      <color theme="1"/>
      <name val="DengXian"/>
      <family val="4"/>
      <charset val="134"/>
      <scheme val="minor"/>
    </font>
    <font>
      <sz val="11"/>
      <color rgb="FFFF0000"/>
      <name val="DengXian"/>
      <family val="4"/>
      <charset val="134"/>
      <scheme val="minor"/>
    </font>
    <font>
      <sz val="11"/>
      <color theme="1"/>
      <name val="DengXian"/>
      <family val="4"/>
      <charset val="134"/>
      <scheme val="minor"/>
    </font>
    <font>
      <b/>
      <sz val="11"/>
      <color rgb="FFFF0000"/>
      <name val="DengXian"/>
      <family val="4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00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10" fontId="0" fillId="0" borderId="0" xfId="1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0" fontId="5" fillId="0" borderId="0" xfId="1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10" fontId="0" fillId="0" borderId="0" xfId="1" applyNumberFormat="1" applyFont="1" applyAlignment="1">
      <alignment vertical="center"/>
    </xf>
    <xf numFmtId="4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  <xf numFmtId="2" fontId="0" fillId="0" borderId="0" xfId="0" applyNumberFormat="1" applyFill="1" applyAlignment="1">
      <alignment horizontal="center" vertical="center"/>
    </xf>
    <xf numFmtId="10" fontId="9" fillId="0" borderId="0" xfId="1" applyNumberFormat="1" applyFont="1" applyAlignment="1">
      <alignment horizontal="right"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500">
    <cellStyle name="百分比" xfId="1" builtinId="5"/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  <cellStyle name="已访问的超链接" xfId="103" builtinId="9" hidden="1"/>
    <cellStyle name="已访问的超链接" xfId="105" builtinId="9" hidden="1"/>
    <cellStyle name="已访问的超链接" xfId="107" builtinId="9" hidden="1"/>
    <cellStyle name="已访问的超链接" xfId="109" builtinId="9" hidden="1"/>
    <cellStyle name="已访问的超链接" xfId="111" builtinId="9" hidden="1"/>
    <cellStyle name="已访问的超链接" xfId="113" builtinId="9" hidden="1"/>
    <cellStyle name="已访问的超链接" xfId="115" builtinId="9" hidden="1"/>
    <cellStyle name="已访问的超链接" xfId="117" builtinId="9" hidden="1"/>
    <cellStyle name="已访问的超链接" xfId="119" builtinId="9" hidden="1"/>
    <cellStyle name="已访问的超链接" xfId="121" builtinId="9" hidden="1"/>
    <cellStyle name="已访问的超链接" xfId="123" builtinId="9" hidden="1"/>
    <cellStyle name="已访问的超链接" xfId="125" builtinId="9" hidden="1"/>
    <cellStyle name="已访问的超链接" xfId="127" builtinId="9" hidden="1"/>
    <cellStyle name="已访问的超链接" xfId="129" builtinId="9" hidden="1"/>
    <cellStyle name="已访问的超链接" xfId="131" builtinId="9" hidden="1"/>
    <cellStyle name="已访问的超链接" xfId="133" builtinId="9" hidden="1"/>
    <cellStyle name="已访问的超链接" xfId="135" builtinId="9" hidden="1"/>
    <cellStyle name="已访问的超链接" xfId="137" builtinId="9" hidden="1"/>
    <cellStyle name="已访问的超链接" xfId="139" builtinId="9" hidden="1"/>
    <cellStyle name="已访问的超链接" xfId="141" builtinId="9" hidden="1"/>
    <cellStyle name="已访问的超链接" xfId="143" builtinId="9" hidden="1"/>
    <cellStyle name="已访问的超链接" xfId="145" builtinId="9" hidden="1"/>
    <cellStyle name="已访问的超链接" xfId="147" builtinId="9" hidden="1"/>
    <cellStyle name="已访问的超链接" xfId="149" builtinId="9" hidden="1"/>
    <cellStyle name="已访问的超链接" xfId="151" builtinId="9" hidden="1"/>
    <cellStyle name="已访问的超链接" xfId="153" builtinId="9" hidden="1"/>
    <cellStyle name="已访问的超链接" xfId="155" builtinId="9" hidden="1"/>
    <cellStyle name="已访问的超链接" xfId="157" builtinId="9" hidden="1"/>
    <cellStyle name="已访问的超链接" xfId="159" builtinId="9" hidden="1"/>
    <cellStyle name="已访问的超链接" xfId="161" builtinId="9" hidden="1"/>
    <cellStyle name="已访问的超链接" xfId="163" builtinId="9" hidden="1"/>
    <cellStyle name="已访问的超链接" xfId="165" builtinId="9" hidden="1"/>
    <cellStyle name="已访问的超链接" xfId="167" builtinId="9" hidden="1"/>
    <cellStyle name="已访问的超链接" xfId="169" builtinId="9" hidden="1"/>
    <cellStyle name="已访问的超链接" xfId="171" builtinId="9" hidden="1"/>
    <cellStyle name="已访问的超链接" xfId="173" builtinId="9" hidden="1"/>
    <cellStyle name="已访问的超链接" xfId="175" builtinId="9" hidden="1"/>
    <cellStyle name="已访问的超链接" xfId="177" builtinId="9" hidden="1"/>
    <cellStyle name="已访问的超链接" xfId="179" builtinId="9" hidden="1"/>
    <cellStyle name="已访问的超链接" xfId="181" builtinId="9" hidden="1"/>
    <cellStyle name="已访问的超链接" xfId="183" builtinId="9" hidden="1"/>
    <cellStyle name="已访问的超链接" xfId="185" builtinId="9" hidden="1"/>
    <cellStyle name="已访问的超链接" xfId="187" builtinId="9" hidden="1"/>
    <cellStyle name="已访问的超链接" xfId="189" builtinId="9" hidden="1"/>
    <cellStyle name="已访问的超链接" xfId="191" builtinId="9" hidden="1"/>
    <cellStyle name="已访问的超链接" xfId="193" builtinId="9" hidden="1"/>
    <cellStyle name="已访问的超链接" xfId="195" builtinId="9" hidden="1"/>
    <cellStyle name="已访问的超链接" xfId="197" builtinId="9" hidden="1"/>
    <cellStyle name="已访问的超链接" xfId="199" builtinId="9" hidden="1"/>
    <cellStyle name="已访问的超链接" xfId="201" builtinId="9" hidden="1"/>
    <cellStyle name="已访问的超链接" xfId="203" builtinId="9" hidden="1"/>
    <cellStyle name="已访问的超链接" xfId="205" builtinId="9" hidden="1"/>
    <cellStyle name="已访问的超链接" xfId="207" builtinId="9" hidden="1"/>
    <cellStyle name="已访问的超链接" xfId="209" builtinId="9" hidden="1"/>
    <cellStyle name="已访问的超链接" xfId="211" builtinId="9" hidden="1"/>
    <cellStyle name="已访问的超链接" xfId="213" builtinId="9" hidden="1"/>
    <cellStyle name="已访问的超链接" xfId="215" builtinId="9" hidden="1"/>
    <cellStyle name="已访问的超链接" xfId="217" builtinId="9" hidden="1"/>
    <cellStyle name="已访问的超链接" xfId="219" builtinId="9" hidden="1"/>
    <cellStyle name="已访问的超链接" xfId="221" builtinId="9" hidden="1"/>
    <cellStyle name="已访问的超链接" xfId="223" builtinId="9" hidden="1"/>
    <cellStyle name="已访问的超链接" xfId="225" builtinId="9" hidden="1"/>
    <cellStyle name="已访问的超链接" xfId="227" builtinId="9" hidden="1"/>
    <cellStyle name="已访问的超链接" xfId="229" builtinId="9" hidden="1"/>
    <cellStyle name="已访问的超链接" xfId="231" builtinId="9" hidden="1"/>
    <cellStyle name="已访问的超链接" xfId="233" builtinId="9" hidden="1"/>
    <cellStyle name="已访问的超链接" xfId="235" builtinId="9" hidden="1"/>
    <cellStyle name="已访问的超链接" xfId="237" builtinId="9" hidden="1"/>
    <cellStyle name="已访问的超链接" xfId="239" builtinId="9" hidden="1"/>
    <cellStyle name="已访问的超链接" xfId="241" builtinId="9" hidden="1"/>
    <cellStyle name="已访问的超链接" xfId="243" builtinId="9" hidden="1"/>
    <cellStyle name="已访问的超链接" xfId="245" builtinId="9" hidden="1"/>
    <cellStyle name="已访问的超链接" xfId="247" builtinId="9" hidden="1"/>
    <cellStyle name="已访问的超链接" xfId="249" builtinId="9" hidden="1"/>
    <cellStyle name="已访问的超链接" xfId="251" builtinId="9" hidden="1"/>
    <cellStyle name="已访问的超链接" xfId="253" builtinId="9" hidden="1"/>
    <cellStyle name="已访问的超链接" xfId="255" builtinId="9" hidden="1"/>
    <cellStyle name="已访问的超链接" xfId="257" builtinId="9" hidden="1"/>
    <cellStyle name="已访问的超链接" xfId="259" builtinId="9" hidden="1"/>
    <cellStyle name="已访问的超链接" xfId="261" builtinId="9" hidden="1"/>
    <cellStyle name="已访问的超链接" xfId="263" builtinId="9" hidden="1"/>
    <cellStyle name="已访问的超链接" xfId="265" builtinId="9" hidden="1"/>
    <cellStyle name="已访问的超链接" xfId="267" builtinId="9" hidden="1"/>
    <cellStyle name="已访问的超链接" xfId="269" builtinId="9" hidden="1"/>
    <cellStyle name="已访问的超链接" xfId="271" builtinId="9" hidden="1"/>
    <cellStyle name="已访问的超链接" xfId="273" builtinId="9" hidden="1"/>
    <cellStyle name="已访问的超链接" xfId="275" builtinId="9" hidden="1"/>
    <cellStyle name="已访问的超链接" xfId="277" builtinId="9" hidden="1"/>
    <cellStyle name="已访问的超链接" xfId="279" builtinId="9" hidden="1"/>
    <cellStyle name="已访问的超链接" xfId="281" builtinId="9" hidden="1"/>
    <cellStyle name="已访问的超链接" xfId="283" builtinId="9" hidden="1"/>
    <cellStyle name="已访问的超链接" xfId="285" builtinId="9" hidden="1"/>
    <cellStyle name="已访问的超链接" xfId="287" builtinId="9" hidden="1"/>
    <cellStyle name="已访问的超链接" xfId="289" builtinId="9" hidden="1"/>
    <cellStyle name="已访问的超链接" xfId="291" builtinId="9" hidden="1"/>
    <cellStyle name="已访问的超链接" xfId="293" builtinId="9" hidden="1"/>
    <cellStyle name="已访问的超链接" xfId="295" builtinId="9" hidden="1"/>
    <cellStyle name="已访问的超链接" xfId="297" builtinId="9" hidden="1"/>
    <cellStyle name="已访问的超链接" xfId="299" builtinId="9" hidden="1"/>
    <cellStyle name="已访问的超链接" xfId="301" builtinId="9" hidden="1"/>
    <cellStyle name="已访问的超链接" xfId="303" builtinId="9" hidden="1"/>
    <cellStyle name="已访问的超链接" xfId="305" builtinId="9" hidden="1"/>
    <cellStyle name="已访问的超链接" xfId="307" builtinId="9" hidden="1"/>
    <cellStyle name="已访问的超链接" xfId="309" builtinId="9" hidden="1"/>
    <cellStyle name="已访问的超链接" xfId="311" builtinId="9" hidden="1"/>
    <cellStyle name="已访问的超链接" xfId="313" builtinId="9" hidden="1"/>
    <cellStyle name="已访问的超链接" xfId="315" builtinId="9" hidden="1"/>
    <cellStyle name="已访问的超链接" xfId="317" builtinId="9" hidden="1"/>
    <cellStyle name="已访问的超链接" xfId="319" builtinId="9" hidden="1"/>
    <cellStyle name="已访问的超链接" xfId="321" builtinId="9" hidden="1"/>
    <cellStyle name="已访问的超链接" xfId="323" builtinId="9" hidden="1"/>
    <cellStyle name="已访问的超链接" xfId="325" builtinId="9" hidden="1"/>
    <cellStyle name="已访问的超链接" xfId="327" builtinId="9" hidden="1"/>
    <cellStyle name="已访问的超链接" xfId="329" builtinId="9" hidden="1"/>
    <cellStyle name="已访问的超链接" xfId="331" builtinId="9" hidden="1"/>
    <cellStyle name="已访问的超链接" xfId="333" builtinId="9" hidden="1"/>
    <cellStyle name="已访问的超链接" xfId="335" builtinId="9" hidden="1"/>
    <cellStyle name="已访问的超链接" xfId="337" builtinId="9" hidden="1"/>
    <cellStyle name="已访问的超链接" xfId="339" builtinId="9" hidden="1"/>
    <cellStyle name="已访问的超链接" xfId="341" builtinId="9" hidden="1"/>
    <cellStyle name="已访问的超链接" xfId="343" builtinId="9" hidden="1"/>
    <cellStyle name="已访问的超链接" xfId="345" builtinId="9" hidden="1"/>
    <cellStyle name="已访问的超链接" xfId="347" builtinId="9" hidden="1"/>
    <cellStyle name="已访问的超链接" xfId="349" builtinId="9" hidden="1"/>
    <cellStyle name="已访问的超链接" xfId="351" builtinId="9" hidden="1"/>
    <cellStyle name="已访问的超链接" xfId="353" builtinId="9" hidden="1"/>
    <cellStyle name="已访问的超链接" xfId="355" builtinId="9" hidden="1"/>
    <cellStyle name="已访问的超链接" xfId="357" builtinId="9" hidden="1"/>
    <cellStyle name="已访问的超链接" xfId="359" builtinId="9" hidden="1"/>
    <cellStyle name="已访问的超链接" xfId="361" builtinId="9" hidden="1"/>
    <cellStyle name="已访问的超链接" xfId="363" builtinId="9" hidden="1"/>
    <cellStyle name="已访问的超链接" xfId="365" builtinId="9" hidden="1"/>
    <cellStyle name="已访问的超链接" xfId="367" builtinId="9" hidden="1"/>
    <cellStyle name="已访问的超链接" xfId="369" builtinId="9" hidden="1"/>
    <cellStyle name="已访问的超链接" xfId="371" builtinId="9" hidden="1"/>
    <cellStyle name="已访问的超链接" xfId="373" builtinId="9" hidden="1"/>
    <cellStyle name="已访问的超链接" xfId="375" builtinId="9" hidden="1"/>
    <cellStyle name="已访问的超链接" xfId="377" builtinId="9" hidden="1"/>
    <cellStyle name="已访问的超链接" xfId="379" builtinId="9" hidden="1"/>
    <cellStyle name="已访问的超链接" xfId="381" builtinId="9" hidden="1"/>
    <cellStyle name="已访问的超链接" xfId="383" builtinId="9" hidden="1"/>
    <cellStyle name="已访问的超链接" xfId="385" builtinId="9" hidden="1"/>
    <cellStyle name="已访问的超链接" xfId="387" builtinId="9" hidden="1"/>
    <cellStyle name="已访问的超链接" xfId="389" builtinId="9" hidden="1"/>
    <cellStyle name="已访问的超链接" xfId="391" builtinId="9" hidden="1"/>
    <cellStyle name="已访问的超链接" xfId="393" builtinId="9" hidden="1"/>
    <cellStyle name="已访问的超链接" xfId="395" builtinId="9" hidden="1"/>
    <cellStyle name="已访问的超链接" xfId="397" builtinId="9" hidden="1"/>
    <cellStyle name="已访问的超链接" xfId="399" builtinId="9" hidden="1"/>
    <cellStyle name="已访问的超链接" xfId="401" builtinId="9" hidden="1"/>
    <cellStyle name="已访问的超链接" xfId="403" builtinId="9" hidden="1"/>
    <cellStyle name="已访问的超链接" xfId="405" builtinId="9" hidden="1"/>
    <cellStyle name="已访问的超链接" xfId="407" builtinId="9" hidden="1"/>
    <cellStyle name="已访问的超链接" xfId="409" builtinId="9" hidden="1"/>
    <cellStyle name="已访问的超链接" xfId="411" builtinId="9" hidden="1"/>
    <cellStyle name="已访问的超链接" xfId="413" builtinId="9" hidden="1"/>
    <cellStyle name="已访问的超链接" xfId="415" builtinId="9" hidden="1"/>
    <cellStyle name="已访问的超链接" xfId="417" builtinId="9" hidden="1"/>
    <cellStyle name="已访问的超链接" xfId="419" builtinId="9" hidden="1"/>
    <cellStyle name="已访问的超链接" xfId="421" builtinId="9" hidden="1"/>
    <cellStyle name="已访问的超链接" xfId="423" builtinId="9" hidden="1"/>
    <cellStyle name="已访问的超链接" xfId="425" builtinId="9" hidden="1"/>
    <cellStyle name="已访问的超链接" xfId="427" builtinId="9" hidden="1"/>
    <cellStyle name="已访问的超链接" xfId="429" builtinId="9" hidden="1"/>
    <cellStyle name="已访问的超链接" xfId="431" builtinId="9" hidden="1"/>
    <cellStyle name="已访问的超链接" xfId="433" builtinId="9" hidden="1"/>
    <cellStyle name="已访问的超链接" xfId="435" builtinId="9" hidden="1"/>
    <cellStyle name="已访问的超链接" xfId="437" builtinId="9" hidden="1"/>
    <cellStyle name="已访问的超链接" xfId="439" builtinId="9" hidden="1"/>
    <cellStyle name="已访问的超链接" xfId="441" builtinId="9" hidden="1"/>
    <cellStyle name="已访问的超链接" xfId="443" builtinId="9" hidden="1"/>
    <cellStyle name="已访问的超链接" xfId="445" builtinId="9" hidden="1"/>
    <cellStyle name="已访问的超链接" xfId="447" builtinId="9" hidden="1"/>
    <cellStyle name="已访问的超链接" xfId="449" builtinId="9" hidden="1"/>
    <cellStyle name="已访问的超链接" xfId="451" builtinId="9" hidden="1"/>
    <cellStyle name="已访问的超链接" xfId="453" builtinId="9" hidden="1"/>
    <cellStyle name="已访问的超链接" xfId="455" builtinId="9" hidden="1"/>
    <cellStyle name="已访问的超链接" xfId="457" builtinId="9" hidden="1"/>
    <cellStyle name="已访问的超链接" xfId="459" builtinId="9" hidden="1"/>
    <cellStyle name="已访问的超链接" xfId="461" builtinId="9" hidden="1"/>
    <cellStyle name="已访问的超链接" xfId="463" builtinId="9" hidden="1"/>
    <cellStyle name="已访问的超链接" xfId="465" builtinId="9" hidden="1"/>
    <cellStyle name="已访问的超链接" xfId="467" builtinId="9" hidden="1"/>
    <cellStyle name="已访问的超链接" xfId="469" builtinId="9" hidden="1"/>
    <cellStyle name="已访问的超链接" xfId="471" builtinId="9" hidden="1"/>
    <cellStyle name="已访问的超链接" xfId="473" builtinId="9" hidden="1"/>
    <cellStyle name="已访问的超链接" xfId="475" builtinId="9" hidden="1"/>
    <cellStyle name="已访问的超链接" xfId="477" builtinId="9" hidden="1"/>
    <cellStyle name="已访问的超链接" xfId="479" builtinId="9" hidden="1"/>
    <cellStyle name="已访问的超链接" xfId="481" builtinId="9" hidden="1"/>
    <cellStyle name="已访问的超链接" xfId="483" builtinId="9" hidden="1"/>
    <cellStyle name="已访问的超链接" xfId="485" builtinId="9" hidden="1"/>
    <cellStyle name="已访问的超链接" xfId="487" builtinId="9" hidden="1"/>
    <cellStyle name="已访问的超链接" xfId="489" builtinId="9" hidden="1"/>
    <cellStyle name="已访问的超链接" xfId="491" builtinId="9" hidden="1"/>
    <cellStyle name="已访问的超链接" xfId="493" builtinId="9" hidden="1"/>
    <cellStyle name="已访问的超链接" xfId="495" builtinId="9" hidden="1"/>
    <cellStyle name="已访问的超链接" xfId="497" builtinId="9" hidden="1"/>
    <cellStyle name="已访问的超链接" xfId="499" builtinId="9" hidden="1"/>
  </cellStyles>
  <dxfs count="0"/>
  <tableStyles count="0" defaultTableStyle="TableStyleMedium2" defaultPivotStyle="PivotStyleLight16"/>
  <colors>
    <mruColors>
      <color rgb="FFFF6600"/>
      <color rgb="FFFF9933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资产配置情况!$L$14</c:f>
              <c:strCache>
                <c:ptCount val="1"/>
                <c:pt idx="0">
                  <c:v>占比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3F4-49C2-A4D3-A8345C29EC0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968-41B3-BFE2-9C3E04C8E34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3F4-49C2-A4D3-A8345C29EC0E}"/>
              </c:ext>
            </c:extLst>
          </c:dPt>
          <c:dLbls>
            <c:dLbl>
              <c:idx val="1"/>
              <c:layout>
                <c:manualLayout>
                  <c:x val="2.110795961099814E-2"/>
                  <c:y val="2.960255111035869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968-41B3-BFE2-9C3E04C8E34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资产配置情况!$K$15:$K$17</c:f>
              <c:strCache>
                <c:ptCount val="3"/>
                <c:pt idx="0">
                  <c:v>权益类</c:v>
                </c:pt>
                <c:pt idx="1">
                  <c:v>债券类</c:v>
                </c:pt>
                <c:pt idx="2">
                  <c:v>低风险</c:v>
                </c:pt>
              </c:strCache>
            </c:strRef>
          </c:cat>
          <c:val>
            <c:numRef>
              <c:f>资产配置情况!$L$15:$L$17</c:f>
              <c:numCache>
                <c:formatCode>0.00%</c:formatCode>
                <c:ptCount val="3"/>
                <c:pt idx="0">
                  <c:v>7.8995008948898063E-2</c:v>
                </c:pt>
                <c:pt idx="1">
                  <c:v>5.1693580025106833E-3</c:v>
                </c:pt>
                <c:pt idx="2">
                  <c:v>0.92330973220628765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68-41B3-BFE2-9C3E04C8E3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33337</xdr:colOff>
      <xdr:row>17</xdr:row>
      <xdr:rowOff>52387</xdr:rowOff>
    </xdr:from>
    <xdr:to>
      <xdr:col>11</xdr:col>
      <xdr:colOff>933450</xdr:colOff>
      <xdr:row>29</xdr:row>
      <xdr:rowOff>19050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F47BABB-C731-4315-83CB-6EBDFF6139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1"/>
  <sheetViews>
    <sheetView tabSelected="1" zoomScaleNormal="100" workbookViewId="0">
      <pane ySplit="1" topLeftCell="A2" activePane="bottomLeft" state="frozen"/>
      <selection pane="bottomLeft" activeCell="C28" sqref="C28"/>
    </sheetView>
  </sheetViews>
  <sheetFormatPr baseColWidth="10" defaultColWidth="21.1640625" defaultRowHeight="15"/>
  <cols>
    <col min="1" max="1" width="15.1640625" style="9" bestFit="1" customWidth="1"/>
    <col min="2" max="3" width="17.33203125" style="9" bestFit="1" customWidth="1"/>
    <col min="4" max="4" width="24" style="9" customWidth="1"/>
    <col min="5" max="5" width="9" style="9" bestFit="1" customWidth="1"/>
    <col min="6" max="6" width="8.83203125" style="9" bestFit="1" customWidth="1"/>
    <col min="7" max="7" width="9.33203125" style="9" bestFit="1" customWidth="1"/>
    <col min="8" max="9" width="9" style="9" bestFit="1" customWidth="1"/>
    <col min="10" max="10" width="21.1640625" style="9"/>
    <col min="11" max="12" width="15.1640625" style="9" bestFit="1" customWidth="1"/>
    <col min="13" max="16384" width="21.1640625" style="9"/>
  </cols>
  <sheetData>
    <row r="1" spans="1:15">
      <c r="A1" s="8" t="s">
        <v>0</v>
      </c>
      <c r="B1" s="8" t="s">
        <v>1</v>
      </c>
      <c r="C1" s="8" t="s">
        <v>2</v>
      </c>
      <c r="D1" s="8" t="s">
        <v>8</v>
      </c>
      <c r="E1" s="8" t="s">
        <v>6</v>
      </c>
      <c r="F1" s="8" t="s">
        <v>4</v>
      </c>
      <c r="G1" s="18" t="s">
        <v>3</v>
      </c>
      <c r="H1" s="8" t="s">
        <v>33</v>
      </c>
      <c r="I1" s="8" t="s">
        <v>32</v>
      </c>
      <c r="K1" s="18" t="s">
        <v>46</v>
      </c>
      <c r="L1" s="18" t="s">
        <v>47</v>
      </c>
      <c r="M1" s="17"/>
      <c r="N1" s="8"/>
    </row>
    <row r="2" spans="1:15" ht="16">
      <c r="A2" s="26" t="str">
        <f>"A股"&amp;" , "&amp;TEXT(SUM(E2:E28),"0.00%")</f>
        <v>A股 , 70.14%</v>
      </c>
      <c r="B2" s="26" t="str">
        <f>"大盘股"&amp;" , "&amp;TEXT(SUM(E2:E4),"0.00%")</f>
        <v>大盘股 , 7.35%</v>
      </c>
      <c r="C2" s="20" t="str">
        <f>"上证50"&amp;" , "&amp;TEXT(SUM(E2:E2),"0.00%")</f>
        <v>上证50 , 1.61%</v>
      </c>
      <c r="D2" s="10" t="s">
        <v>22</v>
      </c>
      <c r="E2" s="11">
        <f t="shared" ref="E2:E28" si="0">F2/$F$38</f>
        <v>1.6113617673926089E-2</v>
      </c>
      <c r="F2" s="2">
        <f>SUM(G2:I2)</f>
        <v>1362.55</v>
      </c>
      <c r="G2" s="2">
        <v>1362.55</v>
      </c>
      <c r="H2" s="2"/>
      <c r="I2" s="2"/>
      <c r="K2" s="18">
        <f>K4+K6+K8</f>
        <v>78355.189999999988</v>
      </c>
      <c r="L2" s="18">
        <f>$K$4+$K$6+$K$8+$K$10+$K$12</f>
        <v>830029.56999999983</v>
      </c>
      <c r="M2" s="17"/>
      <c r="N2" s="8"/>
    </row>
    <row r="3" spans="1:15" ht="16">
      <c r="A3" s="26"/>
      <c r="B3" s="26"/>
      <c r="C3" s="26" t="str">
        <f>"沪深300"&amp;" , "&amp;TEXT(SUM(E3:E4),"0.00%")</f>
        <v>沪深300 , 5.74%</v>
      </c>
      <c r="D3" s="10" t="s">
        <v>24</v>
      </c>
      <c r="E3" s="11">
        <f t="shared" si="0"/>
        <v>5.2343151381021462E-2</v>
      </c>
      <c r="F3" s="2">
        <f t="shared" ref="F3:F37" si="1">SUM(G3:I3)</f>
        <v>4426.08</v>
      </c>
      <c r="G3" s="2">
        <v>4426.08</v>
      </c>
      <c r="I3" s="2"/>
      <c r="K3" s="18" t="s">
        <v>23</v>
      </c>
      <c r="L3" s="18" t="s">
        <v>55</v>
      </c>
      <c r="M3" s="8"/>
      <c r="N3" s="1"/>
    </row>
    <row r="4" spans="1:15" ht="16">
      <c r="A4" s="26"/>
      <c r="B4" s="26"/>
      <c r="C4" s="26"/>
      <c r="D4" s="22" t="s">
        <v>56</v>
      </c>
      <c r="E4" s="11">
        <f t="shared" si="0"/>
        <v>5.0251355341122709E-3</v>
      </c>
      <c r="F4" s="2">
        <f t="shared" si="1"/>
        <v>424.92</v>
      </c>
      <c r="G4" s="2">
        <v>424.92</v>
      </c>
      <c r="K4" s="18">
        <v>72000</v>
      </c>
      <c r="L4" s="18">
        <f>F38-SUM(F19:F28)-K4</f>
        <v>6050.7099999999919</v>
      </c>
      <c r="M4" s="8"/>
      <c r="N4" s="1"/>
    </row>
    <row r="5" spans="1:15" ht="16">
      <c r="A5" s="26"/>
      <c r="B5" s="26" t="str">
        <f>"中小盘股"&amp;" , "&amp;TEXT(SUM(E5:E10),"0.00%")</f>
        <v>中小盘股 , 20.94%</v>
      </c>
      <c r="C5" s="26" t="str">
        <f>"中证500"&amp;" , "&amp;TEXT(SUM(E5:E7),"0.00%")</f>
        <v>中证500 , 16.61%</v>
      </c>
      <c r="D5" s="10" t="s">
        <v>60</v>
      </c>
      <c r="E5" s="11">
        <f t="shared" si="0"/>
        <v>0.12259961243818403</v>
      </c>
      <c r="F5" s="2">
        <f t="shared" si="1"/>
        <v>10366.89</v>
      </c>
      <c r="G5" s="2">
        <v>10366.89</v>
      </c>
      <c r="H5" s="2"/>
      <c r="I5" s="2"/>
      <c r="K5" s="18" t="s">
        <v>41</v>
      </c>
      <c r="L5" s="18" t="s">
        <v>53</v>
      </c>
    </row>
    <row r="6" spans="1:15" ht="16">
      <c r="A6" s="26"/>
      <c r="B6" s="26"/>
      <c r="C6" s="26"/>
      <c r="D6" s="23" t="s">
        <v>59</v>
      </c>
      <c r="E6" s="11">
        <f t="shared" si="0"/>
        <v>5.0005372993599563E-3</v>
      </c>
      <c r="F6" s="2">
        <f t="shared" si="1"/>
        <v>422.84</v>
      </c>
      <c r="G6" s="2">
        <v>422.84</v>
      </c>
      <c r="H6" s="2"/>
      <c r="I6" s="2"/>
      <c r="K6" s="18">
        <f>3484.3-L6</f>
        <v>3411.51</v>
      </c>
      <c r="L6" s="18">
        <v>72.790000000000006</v>
      </c>
      <c r="N6" s="12"/>
      <c r="O6" s="12"/>
    </row>
    <row r="7" spans="1:15" ht="16">
      <c r="A7" s="26"/>
      <c r="B7" s="26"/>
      <c r="C7" s="26"/>
      <c r="D7" s="10" t="s">
        <v>25</v>
      </c>
      <c r="E7" s="11">
        <f t="shared" si="0"/>
        <v>3.8542240816788954E-2</v>
      </c>
      <c r="F7" s="2">
        <f>SUM(G7:I7)</f>
        <v>3259.09</v>
      </c>
      <c r="G7" s="2">
        <v>3259.09</v>
      </c>
      <c r="H7" s="2"/>
      <c r="I7" s="2"/>
      <c r="K7" s="18" t="s">
        <v>42</v>
      </c>
      <c r="L7" s="18" t="s">
        <v>54</v>
      </c>
      <c r="O7" s="13"/>
    </row>
    <row r="8" spans="1:15" ht="16">
      <c r="A8" s="26"/>
      <c r="B8" s="26"/>
      <c r="C8" s="20" t="str">
        <f>"中证1000"&amp;" , "&amp;TEXT(SUM(E8:E8),"0.00%")</f>
        <v>中证1000 , 1.47%</v>
      </c>
      <c r="D8" s="10" t="s">
        <v>26</v>
      </c>
      <c r="E8" s="11">
        <f t="shared" si="0"/>
        <v>1.4681716585555777E-2</v>
      </c>
      <c r="F8" s="2">
        <f t="shared" si="1"/>
        <v>1241.47</v>
      </c>
      <c r="G8" s="2">
        <v>1241.47</v>
      </c>
      <c r="I8" s="2"/>
      <c r="K8" s="18">
        <f>3017.98-L8</f>
        <v>2943.68</v>
      </c>
      <c r="L8" s="18">
        <v>74.3</v>
      </c>
      <c r="N8" s="12"/>
      <c r="O8" s="12"/>
    </row>
    <row r="9" spans="1:15" ht="16">
      <c r="A9" s="26"/>
      <c r="B9" s="26"/>
      <c r="C9" s="26" t="str">
        <f>"创业板"&amp;" , "&amp;TEXT(SUM(E9:E10),"0.00%")</f>
        <v>创业板 , 2.86%</v>
      </c>
      <c r="D9" s="10" t="s">
        <v>27</v>
      </c>
      <c r="E9" s="11">
        <f t="shared" si="0"/>
        <v>5.1901092719943811E-3</v>
      </c>
      <c r="F9" s="2">
        <f t="shared" si="1"/>
        <v>438.87</v>
      </c>
      <c r="G9" s="2">
        <v>438.87</v>
      </c>
      <c r="H9" s="14"/>
      <c r="I9" s="2"/>
      <c r="K9" s="18" t="s">
        <v>43</v>
      </c>
      <c r="L9" s="18" t="s">
        <v>45</v>
      </c>
      <c r="O9" s="13"/>
    </row>
    <row r="10" spans="1:15" ht="16">
      <c r="A10" s="26"/>
      <c r="B10" s="26"/>
      <c r="C10" s="26"/>
      <c r="D10" s="10" t="s">
        <v>9</v>
      </c>
      <c r="E10" s="11">
        <f t="shared" si="0"/>
        <v>2.3418465570155519E-2</v>
      </c>
      <c r="F10" s="2">
        <f t="shared" si="1"/>
        <v>1980.24</v>
      </c>
      <c r="G10" s="2">
        <v>1980.24</v>
      </c>
      <c r="H10" s="2"/>
      <c r="I10" s="2"/>
      <c r="K10" s="18">
        <v>615045.06999999995</v>
      </c>
      <c r="L10" s="25">
        <v>22981.68</v>
      </c>
      <c r="N10" s="12"/>
      <c r="O10" s="12"/>
    </row>
    <row r="11" spans="1:15" ht="16">
      <c r="A11" s="26"/>
      <c r="B11" s="23" t="str">
        <f>"红利价值"&amp;" , "&amp;TEXT(SUM(E11:E11),"0.00%")</f>
        <v>红利价值 , 11.19%</v>
      </c>
      <c r="C11" s="20" t="str">
        <f>"中证红利"&amp;" , "&amp;TEXT(SUM(E11:E11),"0.00%")</f>
        <v>中证红利 , 11.19%</v>
      </c>
      <c r="D11" s="10" t="s">
        <v>10</v>
      </c>
      <c r="E11" s="11">
        <f t="shared" si="0"/>
        <v>0.11185160298035056</v>
      </c>
      <c r="F11" s="2">
        <f t="shared" si="1"/>
        <v>9458.0499999999993</v>
      </c>
      <c r="G11" s="2">
        <v>9458.0499999999993</v>
      </c>
      <c r="H11" s="2"/>
      <c r="I11" s="2"/>
      <c r="K11" s="18" t="s">
        <v>44</v>
      </c>
      <c r="L11" s="18" t="s">
        <v>45</v>
      </c>
      <c r="O11" s="13"/>
    </row>
    <row r="12" spans="1:15" ht="16">
      <c r="A12" s="26"/>
      <c r="B12" s="26" t="str">
        <f>"行业股"&amp;" , "&amp;TEXT(SUM(E12:E18),"0.00%")</f>
        <v>行业股 , 22.97%</v>
      </c>
      <c r="C12" s="20" t="str">
        <f>"养老产业"&amp;" , "&amp;TEXT(SUM(E12:E12),"0.00%")</f>
        <v>养老产业 , 6.89%</v>
      </c>
      <c r="D12" s="10" t="s">
        <v>11</v>
      </c>
      <c r="E12" s="11">
        <f t="shared" si="0"/>
        <v>6.8885937294929048E-2</v>
      </c>
      <c r="F12" s="2">
        <f t="shared" si="1"/>
        <v>5824.92</v>
      </c>
      <c r="G12" s="2">
        <v>5824.92</v>
      </c>
      <c r="I12" s="2"/>
      <c r="K12" s="18">
        <v>136629.31</v>
      </c>
      <c r="L12" s="25">
        <v>3406.66</v>
      </c>
      <c r="N12" s="12"/>
      <c r="O12" s="12"/>
    </row>
    <row r="13" spans="1:15" ht="16">
      <c r="A13" s="26"/>
      <c r="B13" s="26"/>
      <c r="C13" s="20" t="str">
        <f>"全指医药"&amp;" , "&amp;TEXT(SUM(E13:E13),"0.00%")</f>
        <v>全指医药 , 6.38%</v>
      </c>
      <c r="D13" s="20" t="s">
        <v>7</v>
      </c>
      <c r="E13" s="11">
        <f t="shared" si="0"/>
        <v>6.3775535764391683E-2</v>
      </c>
      <c r="F13" s="2">
        <f t="shared" si="1"/>
        <v>5392.79</v>
      </c>
      <c r="G13" s="2">
        <v>5392.79</v>
      </c>
      <c r="H13" s="2"/>
      <c r="I13" s="2"/>
      <c r="O13" s="13"/>
    </row>
    <row r="14" spans="1:15" ht="16">
      <c r="A14" s="26"/>
      <c r="B14" s="26"/>
      <c r="C14" s="20" t="str">
        <f>"中证传媒"&amp;" , "&amp;TEXT(SUM(E14:E14),"0.00%")</f>
        <v>中证传媒 , 3.91%</v>
      </c>
      <c r="D14" s="10" t="s">
        <v>28</v>
      </c>
      <c r="E14" s="11">
        <f t="shared" si="0"/>
        <v>3.9140048877716598E-2</v>
      </c>
      <c r="F14" s="2">
        <f t="shared" si="1"/>
        <v>3309.64</v>
      </c>
      <c r="G14" s="2">
        <v>3309.64</v>
      </c>
      <c r="H14" s="2"/>
      <c r="K14" s="18" t="s">
        <v>52</v>
      </c>
      <c r="L14" s="18" t="s">
        <v>51</v>
      </c>
      <c r="N14" s="12"/>
      <c r="O14" s="12"/>
    </row>
    <row r="15" spans="1:15" ht="16">
      <c r="A15" s="26"/>
      <c r="B15" s="26"/>
      <c r="C15" s="20" t="str">
        <f>"中证环保"&amp;" , "&amp;TEXT(SUM(E15:E15),"0.00%")</f>
        <v>中证环保 , 3.99%</v>
      </c>
      <c r="D15" s="10" t="s">
        <v>29</v>
      </c>
      <c r="E15" s="11">
        <f t="shared" si="0"/>
        <v>3.991654892283053E-2</v>
      </c>
      <c r="F15" s="2">
        <f t="shared" si="1"/>
        <v>3375.3</v>
      </c>
      <c r="G15" s="2">
        <v>3375.3</v>
      </c>
      <c r="I15" s="2"/>
      <c r="K15" s="18" t="s">
        <v>48</v>
      </c>
      <c r="L15" s="1">
        <f>SUM($F$2:$F$33)/($K$2+$K$10+K$12)</f>
        <v>7.8995008948898063E-2</v>
      </c>
      <c r="O15" s="13"/>
    </row>
    <row r="16" spans="1:15" ht="16">
      <c r="A16" s="26"/>
      <c r="B16" s="26"/>
      <c r="C16" s="20" t="str">
        <f>"全指消费"&amp;" , "&amp;TEXT(SUM(E16:E16),"0.00%")</f>
        <v>全指消费 , 0.00%</v>
      </c>
      <c r="D16" s="10" t="s">
        <v>12</v>
      </c>
      <c r="E16" s="11">
        <f t="shared" si="0"/>
        <v>0</v>
      </c>
      <c r="F16" s="2">
        <f t="shared" si="1"/>
        <v>0</v>
      </c>
      <c r="G16" s="2">
        <v>0</v>
      </c>
      <c r="H16" s="2"/>
      <c r="K16" s="18" t="s">
        <v>50</v>
      </c>
      <c r="L16" s="1">
        <f>SUM($F$34:$F$36)/($K$2+$K$10+K$12)</f>
        <v>5.1693580025106833E-3</v>
      </c>
      <c r="M16" s="2"/>
      <c r="N16" s="12"/>
      <c r="O16" s="12"/>
    </row>
    <row r="17" spans="1:15" s="19" customFormat="1" ht="16">
      <c r="A17" s="26"/>
      <c r="B17" s="26"/>
      <c r="C17" s="20" t="str">
        <f>"金融地产"&amp;" , "&amp;TEXT(SUM(E17:E17),"0.00%")</f>
        <v>金融地产 , 1.17%</v>
      </c>
      <c r="D17" s="10" t="s">
        <v>13</v>
      </c>
      <c r="E17" s="11">
        <f t="shared" si="0"/>
        <v>1.1686763243717473E-2</v>
      </c>
      <c r="F17" s="2">
        <f t="shared" si="1"/>
        <v>988.22</v>
      </c>
      <c r="G17" s="2">
        <v>988.22</v>
      </c>
      <c r="H17" s="14"/>
      <c r="I17" s="2"/>
      <c r="K17" s="18" t="s">
        <v>49</v>
      </c>
      <c r="L17" s="1">
        <f>(F37+SUM($K$10:$K$12))/($K$2+$K$10+K$12)</f>
        <v>0.92330973220628765</v>
      </c>
      <c r="M17" s="9"/>
      <c r="N17" s="12"/>
      <c r="O17" s="12"/>
    </row>
    <row r="18" spans="1:15" ht="16">
      <c r="A18" s="26"/>
      <c r="B18" s="26"/>
      <c r="C18" s="20" t="str">
        <f>"证券公司"&amp;" , "&amp;TEXT(SUM(E18:E18),"0.00%")</f>
        <v>证券公司 , 0.62%</v>
      </c>
      <c r="D18" s="10" t="s">
        <v>30</v>
      </c>
      <c r="E18" s="11">
        <f t="shared" si="0"/>
        <v>6.2490159737839234E-3</v>
      </c>
      <c r="F18" s="2">
        <f t="shared" si="1"/>
        <v>528.41</v>
      </c>
      <c r="G18" s="2">
        <v>528.41</v>
      </c>
      <c r="H18" s="19"/>
      <c r="I18" s="19"/>
      <c r="K18" s="19"/>
      <c r="L18" s="19"/>
      <c r="N18" s="12"/>
      <c r="O18" s="13"/>
    </row>
    <row r="19" spans="1:15" ht="16">
      <c r="A19" s="26"/>
      <c r="B19" s="26" t="str">
        <f>"螺丝钉定投"&amp;" , "&amp;TEXT(SUM(E19:E28),"0.00%")</f>
        <v>螺丝钉定投 , 7.70%</v>
      </c>
      <c r="C19" s="21" t="str">
        <f>"医药"&amp;" , "&amp;TEXT(SUM(E19:E19),"0.00%")</f>
        <v>医药 , 0.28%</v>
      </c>
      <c r="D19" s="20" t="s">
        <v>58</v>
      </c>
      <c r="E19" s="11">
        <f t="shared" si="0"/>
        <v>2.7805718025020357E-3</v>
      </c>
      <c r="F19" s="2">
        <f t="shared" si="1"/>
        <v>235.12213000000003</v>
      </c>
      <c r="G19" s="2"/>
      <c r="H19" s="2">
        <f>($K$6 + $L$6) * 0.0337</f>
        <v>117.42091000000001</v>
      </c>
      <c r="I19" s="2">
        <f xml:space="preserve"> ($K$8 + $L$8) * 0.039</f>
        <v>117.70122000000001</v>
      </c>
      <c r="K19" s="19"/>
      <c r="L19" s="19"/>
      <c r="M19" s="19"/>
      <c r="N19" s="12"/>
    </row>
    <row r="20" spans="1:15" ht="16">
      <c r="A20" s="26"/>
      <c r="B20" s="26"/>
      <c r="C20" s="21" t="str">
        <f>"香港中小"&amp;" , "&amp;TEXT(SUM(E20:E20),"0.00%")</f>
        <v>香港中小 , 1.52%</v>
      </c>
      <c r="D20" s="20" t="s">
        <v>34</v>
      </c>
      <c r="E20" s="11">
        <f t="shared" si="0"/>
        <v>1.5162907395693448E-2</v>
      </c>
      <c r="F20" s="2">
        <f t="shared" si="1"/>
        <v>1282.1589719999999</v>
      </c>
      <c r="G20" s="2"/>
      <c r="H20" s="2">
        <f>($K$6+$L$6)*0.1983</f>
        <v>690.93669</v>
      </c>
      <c r="I20" s="2">
        <f xml:space="preserve"> ($K$8 + $L$8) * 0.1959</f>
        <v>591.22228199999995</v>
      </c>
      <c r="K20" s="19"/>
      <c r="L20" s="19"/>
      <c r="N20" s="12"/>
      <c r="O20" s="13"/>
    </row>
    <row r="21" spans="1:15" ht="16">
      <c r="A21" s="26"/>
      <c r="B21" s="26"/>
      <c r="C21" s="21" t="str">
        <f>"上证50AH"&amp;" , "&amp;TEXT(SUM(E21:E21),"0.00%")</f>
        <v>上证50AH , 0.32%</v>
      </c>
      <c r="D21" s="20" t="s">
        <v>35</v>
      </c>
      <c r="E21" s="11">
        <f t="shared" si="0"/>
        <v>3.1799624365347703E-3</v>
      </c>
      <c r="F21" s="2">
        <f t="shared" si="1"/>
        <v>268.89416799999998</v>
      </c>
      <c r="G21" s="2"/>
      <c r="H21" s="2">
        <f>($K$6 + $L$6) * 0.0537</f>
        <v>187.10691</v>
      </c>
      <c r="I21" s="2">
        <f xml:space="preserve"> ($K$8 + $L$8) * 0.0271</f>
        <v>81.787257999999994</v>
      </c>
      <c r="K21" s="19"/>
      <c r="L21" s="19"/>
      <c r="N21" s="12"/>
    </row>
    <row r="22" spans="1:15" ht="16">
      <c r="A22" s="26"/>
      <c r="B22" s="26"/>
      <c r="C22" s="26" t="str">
        <f>"中证红利"&amp;" , "&amp;TEXT(SUM(E22:E23),"0.00%")</f>
        <v>中证红利 , 1.92%</v>
      </c>
      <c r="D22" s="22" t="s">
        <v>57</v>
      </c>
      <c r="E22" s="11">
        <f t="shared" si="0"/>
        <v>5.1591381549650154E-3</v>
      </c>
      <c r="F22" s="2">
        <f t="shared" si="1"/>
        <v>436.25111600000002</v>
      </c>
      <c r="G22" s="2"/>
      <c r="H22" s="2">
        <f>($K$6 + $L$6) * 0.0644</f>
        <v>224.38892000000001</v>
      </c>
      <c r="I22" s="2">
        <f xml:space="preserve"> ($K$8 + $L$8) * 0.0702</f>
        <v>211.86219599999998</v>
      </c>
      <c r="K22" s="19"/>
      <c r="L22" s="19"/>
      <c r="O22" s="13"/>
    </row>
    <row r="23" spans="1:15" ht="16">
      <c r="A23" s="26"/>
      <c r="B23" s="26"/>
      <c r="C23" s="26"/>
      <c r="D23" s="20" t="s">
        <v>36</v>
      </c>
      <c r="E23" s="11">
        <f t="shared" si="0"/>
        <v>1.4056304953240657E-2</v>
      </c>
      <c r="F23" s="2">
        <f t="shared" si="1"/>
        <v>1188.5858720000001</v>
      </c>
      <c r="G23" s="2"/>
      <c r="H23" s="2">
        <f>($K$6 + $L$6) * 0.1905</f>
        <v>663.75915000000009</v>
      </c>
      <c r="I23" s="2">
        <f xml:space="preserve"> ($K$8 + $L$8) * 0.1739</f>
        <v>524.82672200000002</v>
      </c>
      <c r="K23" s="20"/>
      <c r="L23" s="2"/>
      <c r="M23" s="2"/>
      <c r="N23" s="12"/>
      <c r="O23" s="12"/>
    </row>
    <row r="24" spans="1:15" ht="16">
      <c r="A24" s="26"/>
      <c r="B24" s="26"/>
      <c r="C24" s="21" t="str">
        <f>"500低波动"&amp;" , "&amp;TEXT(SUM(E24:E24),"0.00%")</f>
        <v>500低波动 , 0.99%</v>
      </c>
      <c r="D24" s="20" t="s">
        <v>37</v>
      </c>
      <c r="E24" s="11">
        <f t="shared" si="0"/>
        <v>9.8668551349669689E-3</v>
      </c>
      <c r="F24" s="2">
        <f t="shared" si="1"/>
        <v>834.33054800000014</v>
      </c>
      <c r="G24" s="2"/>
      <c r="H24" s="2">
        <f>($K$6 + $L$6) * 0.1259</f>
        <v>438.67337000000009</v>
      </c>
      <c r="I24" s="2">
        <f xml:space="preserve"> ($K$8 + $L$8) * 0.1311</f>
        <v>395.65717799999999</v>
      </c>
      <c r="O24" s="13"/>
    </row>
    <row r="25" spans="1:15" ht="16">
      <c r="A25" s="26"/>
      <c r="B25" s="26"/>
      <c r="C25" s="26" t="str">
        <f>"300价值"&amp;" , "&amp;TEXT(SUM(E25:E26),"0.00%")</f>
        <v>300价值 , 1.38%</v>
      </c>
      <c r="D25" s="20" t="s">
        <v>39</v>
      </c>
      <c r="E25" s="11">
        <f t="shared" si="0"/>
        <v>1.2934316977210456E-2</v>
      </c>
      <c r="F25" s="2">
        <f t="shared" si="1"/>
        <v>1093.7117880000001</v>
      </c>
      <c r="G25" s="2"/>
      <c r="H25" s="2">
        <f>($K$6 + $L$6) * 0.1592</f>
        <v>554.70056000000011</v>
      </c>
      <c r="I25" s="2">
        <f xml:space="preserve"> ($K$8 + $L$8) * 0.1786</f>
        <v>539.01122800000007</v>
      </c>
      <c r="N25" s="12"/>
      <c r="O25" s="12"/>
    </row>
    <row r="26" spans="1:15" ht="16">
      <c r="A26" s="26"/>
      <c r="B26" s="26"/>
      <c r="C26" s="26"/>
      <c r="D26" s="20" t="s">
        <v>38</v>
      </c>
      <c r="E26" s="11">
        <f t="shared" si="0"/>
        <v>9.1561919340375233E-4</v>
      </c>
      <c r="F26" s="2">
        <f t="shared" si="1"/>
        <v>77.423764000000006</v>
      </c>
      <c r="G26" s="2"/>
      <c r="H26" s="2">
        <f>($K$6 + $L$6) * 0.012</f>
        <v>41.811600000000006</v>
      </c>
      <c r="I26" s="2">
        <f xml:space="preserve"> ($K$8 + $L$8) * 0.0118</f>
        <v>35.612164</v>
      </c>
      <c r="O26" s="13"/>
    </row>
    <row r="27" spans="1:15" ht="16">
      <c r="A27" s="26"/>
      <c r="B27" s="26"/>
      <c r="C27" s="24" t="str">
        <f>"基本面60"&amp;" , "&amp;TEXT(SUM(E27:E27),"0.00%")</f>
        <v>基本面60 , 0.18%</v>
      </c>
      <c r="D27" s="24" t="s">
        <v>61</v>
      </c>
      <c r="E27" s="11">
        <f t="shared" si="0"/>
        <v>1.7976914561651904E-3</v>
      </c>
      <c r="F27" s="2">
        <f t="shared" si="1"/>
        <v>152.01083599999998</v>
      </c>
      <c r="G27" s="2"/>
      <c r="H27" s="2">
        <f>($K$6 + $L$6) * 0.0218</f>
        <v>75.957740000000001</v>
      </c>
      <c r="I27" s="2">
        <f xml:space="preserve"> ($K$8 + $L$8) * 0.0252</f>
        <v>76.053095999999996</v>
      </c>
      <c r="J27" s="11"/>
      <c r="N27" s="12"/>
      <c r="O27" s="12"/>
    </row>
    <row r="28" spans="1:15" ht="16">
      <c r="A28" s="26"/>
      <c r="B28" s="26"/>
      <c r="C28" s="21" t="str">
        <f>"基本面120"&amp;" , "&amp;TEXT(SUM(E28:E28),"0.00%")</f>
        <v>基本面120 , 1.11%</v>
      </c>
      <c r="D28" s="20" t="s">
        <v>40</v>
      </c>
      <c r="E28" s="11">
        <f t="shared" si="0"/>
        <v>1.1113129050688366E-2</v>
      </c>
      <c r="F28" s="2">
        <f>SUM(G28:I28)</f>
        <v>939.71411599999999</v>
      </c>
      <c r="G28" s="2"/>
      <c r="H28" s="2">
        <f>($K$6 + $L$6) * 0.1422</f>
        <v>495.46746000000002</v>
      </c>
      <c r="I28" s="2">
        <f xml:space="preserve"> ($K$8 + $L$8) * 0.1472</f>
        <v>444.24665599999997</v>
      </c>
      <c r="J28" s="11"/>
      <c r="O28" s="13"/>
    </row>
    <row r="29" spans="1:15" ht="16">
      <c r="A29" s="26" t="str">
        <f>"海外新兴"&amp;" , "&amp;TEXT(SUM(E29:E30),"0.00%")</f>
        <v>海外新兴 , 2.54%</v>
      </c>
      <c r="B29" s="20" t="str">
        <f>"香港"&amp;" , "&amp;TEXT(SUM(E29:E29),"0.00%")</f>
        <v>香港 , 0.51%</v>
      </c>
      <c r="C29" s="20" t="str">
        <f>"恒生"&amp;" , "&amp;TEXT(SUM(E29:E29),"0.00%")</f>
        <v>恒生 , 0.51%</v>
      </c>
      <c r="D29" s="10" t="s">
        <v>14</v>
      </c>
      <c r="E29" s="11">
        <f t="shared" ref="E29:E37" si="2">F29/$F$38</f>
        <v>5.135118026033678E-3</v>
      </c>
      <c r="F29" s="2">
        <f t="shared" si="1"/>
        <v>434.22</v>
      </c>
      <c r="G29" s="2">
        <v>434.22</v>
      </c>
      <c r="H29" s="14"/>
      <c r="I29" s="2"/>
      <c r="N29" s="12"/>
      <c r="O29" s="12"/>
    </row>
    <row r="30" spans="1:15" ht="16">
      <c r="A30" s="26"/>
      <c r="B30" s="20" t="str">
        <f>"海外互联"&amp;" , "&amp;TEXT(SUM(E30:E30),"0.00%")</f>
        <v>海外互联 , 2.02%</v>
      </c>
      <c r="C30" s="20" t="str">
        <f>"海外互联网"&amp;" , "&amp;TEXT(SUM(E30:E30),"0.00%")</f>
        <v>海外互联网 , 2.02%</v>
      </c>
      <c r="D30" s="10" t="s">
        <v>15</v>
      </c>
      <c r="E30" s="11">
        <f t="shared" si="2"/>
        <v>2.0220813313098621E-2</v>
      </c>
      <c r="F30" s="2">
        <f t="shared" si="1"/>
        <v>1709.85</v>
      </c>
      <c r="G30" s="2">
        <v>1709.85</v>
      </c>
      <c r="H30" s="14"/>
      <c r="I30" s="2"/>
      <c r="O30" s="13"/>
    </row>
    <row r="31" spans="1:15" ht="16">
      <c r="A31" s="23" t="str">
        <f>"海外成熟"&amp;" , "&amp;TEXT(SUM(E31:E31),"0.00%")</f>
        <v>海外成熟 , 2.58%</v>
      </c>
      <c r="B31" s="20" t="str">
        <f>"海外成熟"&amp;" , "&amp;TEXT(SUM(E31:E31),"0.00%")</f>
        <v>海外成熟 , 2.58%</v>
      </c>
      <c r="C31" s="20" t="str">
        <f>"德国30"&amp;" , "&amp;TEXT(SUM(E31:E31),"0.00%")</f>
        <v>德国30 , 2.58%</v>
      </c>
      <c r="D31" s="10" t="s">
        <v>16</v>
      </c>
      <c r="E31" s="11">
        <f t="shared" si="2"/>
        <v>2.5832995180434398E-2</v>
      </c>
      <c r="F31" s="2">
        <f t="shared" si="1"/>
        <v>2184.41</v>
      </c>
      <c r="G31" s="2">
        <v>2184.41</v>
      </c>
      <c r="H31" s="14"/>
      <c r="I31" s="2"/>
      <c r="N31" s="12"/>
      <c r="O31" s="12"/>
    </row>
    <row r="32" spans="1:15" ht="16">
      <c r="A32" s="26" t="str">
        <f>"商品"&amp;" , "&amp;TEXT(SUM(E32:E33),"0.00%")</f>
        <v>商品 , 2.28%</v>
      </c>
      <c r="B32" s="20" t="str">
        <f>"原油"&amp;" , "&amp;TEXT(SUM(E32:E32),"0.00%")</f>
        <v>原油 , 1.30%</v>
      </c>
      <c r="C32" s="20" t="str">
        <f>"原油"&amp;" , "&amp;TEXT(SUM(E32:E32),"0.00%")</f>
        <v>原油 , 1.30%</v>
      </c>
      <c r="D32" s="10" t="s">
        <v>17</v>
      </c>
      <c r="E32" s="11">
        <f t="shared" si="2"/>
        <v>1.2973913181429934E-2</v>
      </c>
      <c r="F32" s="2">
        <f t="shared" si="1"/>
        <v>1097.06</v>
      </c>
      <c r="G32" s="2">
        <v>1097.06</v>
      </c>
      <c r="H32" s="14"/>
      <c r="I32" s="2"/>
      <c r="O32" s="13"/>
    </row>
    <row r="33" spans="1:16" ht="16">
      <c r="A33" s="26"/>
      <c r="B33" s="20" t="str">
        <f>"黄金"&amp;" , "&amp;TEXT(SUM(E33:E33),"0.00%")</f>
        <v>黄金 , 0.99%</v>
      </c>
      <c r="C33" s="20" t="str">
        <f>"黄金"&amp;" , "&amp;TEXT(SUM(E33:E33),"0.00%")</f>
        <v>黄金 , 0.99%</v>
      </c>
      <c r="D33" s="10" t="s">
        <v>31</v>
      </c>
      <c r="E33" s="11">
        <f t="shared" si="2"/>
        <v>9.8649564823741712E-3</v>
      </c>
      <c r="F33" s="2">
        <f t="shared" si="1"/>
        <v>834.17</v>
      </c>
      <c r="G33" s="2">
        <v>834.17</v>
      </c>
      <c r="H33" s="2"/>
      <c r="I33" s="2"/>
      <c r="N33" s="12"/>
      <c r="O33" s="12"/>
    </row>
    <row r="34" spans="1:16" ht="16">
      <c r="A34" s="26" t="str">
        <f>"债券"&amp;" , "&amp;TEXT(SUM(E34:E36),"0.00%")</f>
        <v>债券 , 5.07%</v>
      </c>
      <c r="B34" s="26" t="str">
        <f>"国内债券"&amp;" , "&amp;TEXT(SUM(E34:E36),"0.00%")</f>
        <v>国内债券 , 5.07%</v>
      </c>
      <c r="C34" s="26" t="str">
        <f>"可转债"&amp;" , "&amp;TEXT(SUM(E34:E36),"0.00%")</f>
        <v>可转债 , 5.07%</v>
      </c>
      <c r="D34" s="10" t="s">
        <v>18</v>
      </c>
      <c r="E34" s="11">
        <f t="shared" si="2"/>
        <v>2.1170447087430769E-2</v>
      </c>
      <c r="F34" s="2">
        <f t="shared" si="1"/>
        <v>1790.15</v>
      </c>
      <c r="G34" s="2">
        <v>1790.15</v>
      </c>
      <c r="H34" s="2"/>
      <c r="I34" s="2"/>
      <c r="O34" s="13"/>
    </row>
    <row r="35" spans="1:16" ht="16">
      <c r="A35" s="26"/>
      <c r="B35" s="26"/>
      <c r="C35" s="26"/>
      <c r="D35" s="10" t="s">
        <v>19</v>
      </c>
      <c r="E35" s="11">
        <f t="shared" si="2"/>
        <v>5.193657094314426E-3</v>
      </c>
      <c r="F35" s="2">
        <f t="shared" si="1"/>
        <v>439.17</v>
      </c>
      <c r="G35" s="2">
        <v>439.17</v>
      </c>
      <c r="H35" s="2"/>
      <c r="I35" s="2"/>
      <c r="N35" s="12"/>
      <c r="O35" s="12"/>
    </row>
    <row r="36" spans="1:16" ht="16">
      <c r="A36" s="26"/>
      <c r="B36" s="26"/>
      <c r="C36" s="26"/>
      <c r="D36" s="10" t="s">
        <v>20</v>
      </c>
      <c r="E36" s="11">
        <f t="shared" si="2"/>
        <v>2.4378269768471794E-2</v>
      </c>
      <c r="F36" s="2">
        <f t="shared" si="1"/>
        <v>2061.4</v>
      </c>
      <c r="G36" s="2">
        <v>2061.4</v>
      </c>
      <c r="H36" s="8"/>
      <c r="I36" s="2"/>
      <c r="P36" s="13"/>
    </row>
    <row r="37" spans="1:16" ht="16">
      <c r="A37" s="23" t="str">
        <f>"现金"&amp;" , "&amp;TEXT(SUM(E37:E37),"0.00%")</f>
        <v>现金 , 17.38%</v>
      </c>
      <c r="B37" s="10" t="str">
        <f>"低风险理财"&amp;" , "&amp;TEXT(SUM(E37:E37),"0.00%")</f>
        <v>低风险理财 , 17.38%</v>
      </c>
      <c r="C37" s="20" t="str">
        <f>"货币基金"&amp;" , "&amp;TEXT(SUM(E37:E37),"0.00%")</f>
        <v>货币基金 , 17.38%</v>
      </c>
      <c r="D37" s="10" t="s">
        <v>21</v>
      </c>
      <c r="E37" s="11">
        <f t="shared" si="2"/>
        <v>0.17384329368222343</v>
      </c>
      <c r="F37" s="2">
        <f t="shared" si="1"/>
        <v>14700</v>
      </c>
      <c r="G37" s="2">
        <v>14700</v>
      </c>
      <c r="H37" s="8"/>
      <c r="I37" s="8"/>
      <c r="O37" s="12"/>
    </row>
    <row r="38" spans="1:16">
      <c r="D38" s="8" t="s">
        <v>4</v>
      </c>
      <c r="E38" s="13">
        <f>SUM(E2:E37)</f>
        <v>1</v>
      </c>
      <c r="F38" s="2">
        <f>SUM(F2:F37)</f>
        <v>84558.913309999989</v>
      </c>
      <c r="I38" s="8"/>
      <c r="P38" s="13"/>
    </row>
    <row r="39" spans="1:16">
      <c r="D39" s="8" t="s">
        <v>5</v>
      </c>
      <c r="E39" s="15">
        <f>F38/$K$2-1</f>
        <v>7.9174376451642825E-2</v>
      </c>
      <c r="O39" s="12"/>
    </row>
    <row r="40" spans="1:16">
      <c r="A40" s="16"/>
      <c r="B40" s="8"/>
      <c r="C40" s="2"/>
      <c r="P40" s="13"/>
    </row>
    <row r="41" spans="1:16">
      <c r="C41" s="2"/>
    </row>
    <row r="42" spans="1:16">
      <c r="C42" s="2"/>
      <c r="D42" s="8"/>
      <c r="E42" s="8"/>
      <c r="F42" s="8"/>
    </row>
    <row r="43" spans="1:16">
      <c r="C43" s="2"/>
      <c r="D43" s="1"/>
      <c r="E43" s="1"/>
      <c r="F43" s="1"/>
    </row>
    <row r="44" spans="1:16">
      <c r="A44" s="8"/>
      <c r="B44" s="2"/>
      <c r="C44" s="2"/>
      <c r="D44" s="1"/>
    </row>
    <row r="45" spans="1:16">
      <c r="A45" s="8"/>
      <c r="B45" s="2"/>
      <c r="C45" s="2"/>
      <c r="D45" s="1"/>
      <c r="E45" s="1"/>
      <c r="F45" s="1"/>
    </row>
    <row r="46" spans="1:16">
      <c r="A46" s="8"/>
      <c r="B46" s="2"/>
      <c r="C46" s="2"/>
      <c r="D46" s="1"/>
      <c r="E46" s="1"/>
      <c r="F46" s="1"/>
    </row>
    <row r="47" spans="1:16">
      <c r="A47" s="8"/>
      <c r="B47" s="2"/>
      <c r="C47" s="2"/>
      <c r="D47" s="1"/>
      <c r="E47" s="1"/>
      <c r="F47" s="1"/>
    </row>
    <row r="48" spans="1:16">
      <c r="A48" s="8"/>
      <c r="B48" s="2"/>
      <c r="C48" s="2"/>
      <c r="D48" s="1"/>
      <c r="E48" s="1"/>
      <c r="F48" s="1"/>
    </row>
    <row r="49" spans="1:6">
      <c r="A49" s="8"/>
      <c r="B49" s="2"/>
      <c r="C49" s="2"/>
      <c r="D49" s="1"/>
      <c r="E49" s="1"/>
      <c r="F49" s="1"/>
    </row>
    <row r="50" spans="1:6">
      <c r="A50" s="8"/>
      <c r="B50" s="2"/>
      <c r="C50" s="2"/>
      <c r="D50" s="1"/>
      <c r="E50" s="1"/>
      <c r="F50" s="1"/>
    </row>
    <row r="51" spans="1:6">
      <c r="A51" s="8"/>
      <c r="B51" s="2"/>
      <c r="C51" s="2"/>
      <c r="D51" s="1"/>
      <c r="E51" s="1"/>
      <c r="F51" s="1"/>
    </row>
    <row r="52" spans="1:6">
      <c r="A52" s="8"/>
      <c r="B52" s="2"/>
      <c r="C52" s="2"/>
      <c r="D52" s="1"/>
      <c r="E52" s="1"/>
      <c r="F52" s="1"/>
    </row>
    <row r="53" spans="1:6">
      <c r="A53" s="8"/>
      <c r="B53" s="2"/>
      <c r="C53" s="2"/>
      <c r="D53" s="1"/>
      <c r="E53" s="1"/>
      <c r="F53" s="1"/>
    </row>
    <row r="54" spans="1:6">
      <c r="A54" s="8"/>
      <c r="B54" s="2"/>
      <c r="C54" s="2"/>
      <c r="D54" s="1"/>
      <c r="E54" s="1"/>
      <c r="F54" s="1"/>
    </row>
    <row r="55" spans="1:6">
      <c r="A55" s="8"/>
      <c r="B55" s="2"/>
      <c r="C55" s="2"/>
      <c r="D55" s="1"/>
      <c r="E55" s="1"/>
      <c r="F55" s="1"/>
    </row>
    <row r="56" spans="1:6">
      <c r="A56" s="8"/>
      <c r="B56" s="2"/>
      <c r="C56" s="2"/>
      <c r="D56" s="1"/>
      <c r="E56" s="1"/>
      <c r="F56" s="1"/>
    </row>
    <row r="57" spans="1:6">
      <c r="A57" s="8"/>
      <c r="B57" s="2"/>
      <c r="C57" s="2"/>
      <c r="D57" s="1"/>
      <c r="E57" s="1"/>
      <c r="F57" s="1"/>
    </row>
    <row r="58" spans="1:6">
      <c r="A58" s="8"/>
      <c r="B58" s="2"/>
      <c r="C58" s="2"/>
      <c r="D58" s="1"/>
      <c r="E58" s="1"/>
      <c r="F58" s="1"/>
    </row>
    <row r="59" spans="1:6">
      <c r="A59" s="8"/>
      <c r="B59" s="2"/>
      <c r="C59" s="2"/>
      <c r="D59" s="1"/>
      <c r="E59" s="1"/>
      <c r="F59" s="1"/>
    </row>
    <row r="60" spans="1:6">
      <c r="A60" s="8"/>
      <c r="B60" s="2"/>
      <c r="C60" s="4"/>
      <c r="D60" s="1"/>
      <c r="E60" s="1"/>
      <c r="F60" s="1"/>
    </row>
    <row r="61" spans="1:6">
      <c r="A61" s="8"/>
      <c r="B61" s="2"/>
      <c r="D61" s="1"/>
      <c r="E61" s="1"/>
      <c r="F61" s="1"/>
    </row>
    <row r="62" spans="1:6">
      <c r="A62" s="8"/>
      <c r="B62" s="7"/>
      <c r="D62" s="1"/>
      <c r="E62" s="1"/>
      <c r="F62" s="1"/>
    </row>
    <row r="63" spans="1:6">
      <c r="A63" s="8"/>
      <c r="B63" s="8"/>
      <c r="D63" s="1"/>
      <c r="E63" s="1"/>
      <c r="F63" s="1"/>
    </row>
    <row r="64" spans="1:6">
      <c r="A64" s="8"/>
      <c r="B64" s="8"/>
      <c r="C64" s="8"/>
      <c r="D64" s="1"/>
      <c r="E64" s="1"/>
      <c r="F64" s="1"/>
    </row>
    <row r="65" spans="1:6">
      <c r="A65" s="8"/>
      <c r="B65" s="8"/>
      <c r="C65" s="2"/>
      <c r="D65" s="1"/>
      <c r="E65" s="1"/>
      <c r="F65" s="1"/>
    </row>
    <row r="66" spans="1:6">
      <c r="A66" s="8"/>
      <c r="C66" s="2"/>
      <c r="D66" s="1"/>
      <c r="E66" s="1"/>
      <c r="F66" s="1"/>
    </row>
    <row r="67" spans="1:6">
      <c r="C67" s="2"/>
      <c r="D67" s="3"/>
      <c r="E67" s="8"/>
    </row>
    <row r="68" spans="1:6">
      <c r="C68" s="2"/>
    </row>
    <row r="69" spans="1:6">
      <c r="B69" s="8"/>
      <c r="C69" s="2"/>
    </row>
    <row r="70" spans="1:6">
      <c r="A70" s="8"/>
      <c r="B70" s="8"/>
      <c r="C70" s="2"/>
    </row>
    <row r="71" spans="1:6">
      <c r="A71" s="8"/>
      <c r="B71" s="8"/>
      <c r="C71" s="2"/>
      <c r="D71" s="8"/>
    </row>
    <row r="72" spans="1:6">
      <c r="A72" s="8"/>
      <c r="B72" s="8"/>
      <c r="C72" s="2"/>
      <c r="D72" s="1"/>
    </row>
    <row r="73" spans="1:6">
      <c r="A73" s="8"/>
      <c r="B73" s="8"/>
      <c r="C73" s="2"/>
      <c r="D73" s="1"/>
    </row>
    <row r="74" spans="1:6">
      <c r="A74" s="8"/>
      <c r="B74" s="8"/>
      <c r="C74" s="2"/>
      <c r="D74" s="1"/>
    </row>
    <row r="75" spans="1:6">
      <c r="A75" s="8"/>
      <c r="B75" s="8"/>
      <c r="C75" s="2"/>
      <c r="D75" s="1"/>
    </row>
    <row r="76" spans="1:6">
      <c r="A76" s="8"/>
      <c r="B76" s="8"/>
      <c r="C76" s="2"/>
      <c r="D76" s="1"/>
    </row>
    <row r="77" spans="1:6">
      <c r="A77" s="8"/>
      <c r="B77" s="8"/>
      <c r="C77" s="2"/>
      <c r="D77" s="1"/>
    </row>
    <row r="78" spans="1:6">
      <c r="A78" s="8"/>
      <c r="B78" s="8"/>
      <c r="C78" s="2"/>
      <c r="D78" s="1"/>
    </row>
    <row r="79" spans="1:6">
      <c r="A79" s="8"/>
      <c r="B79" s="8"/>
      <c r="C79" s="2"/>
      <c r="D79" s="1"/>
    </row>
    <row r="80" spans="1:6">
      <c r="A80" s="8"/>
      <c r="B80" s="8"/>
      <c r="C80" s="5"/>
      <c r="D80" s="1"/>
    </row>
    <row r="81" spans="1:4">
      <c r="A81" s="8"/>
      <c r="B81" s="8"/>
      <c r="C81" s="2"/>
      <c r="D81" s="1"/>
    </row>
    <row r="82" spans="1:4">
      <c r="A82" s="8"/>
      <c r="B82" s="8"/>
      <c r="C82" s="2"/>
      <c r="D82" s="1"/>
    </row>
    <row r="83" spans="1:4">
      <c r="A83" s="8"/>
      <c r="B83" s="17"/>
      <c r="C83" s="2"/>
      <c r="D83" s="1"/>
    </row>
    <row r="84" spans="1:4">
      <c r="A84" s="17"/>
      <c r="B84" s="8"/>
      <c r="C84" s="2"/>
      <c r="D84" s="1"/>
    </row>
    <row r="85" spans="1:4">
      <c r="A85" s="8"/>
      <c r="B85" s="8"/>
      <c r="C85" s="2"/>
      <c r="D85" s="1"/>
    </row>
    <row r="86" spans="1:4">
      <c r="A86" s="8"/>
      <c r="B86" s="8"/>
      <c r="C86" s="2"/>
      <c r="D86" s="1"/>
    </row>
    <row r="87" spans="1:4">
      <c r="A87" s="8"/>
      <c r="B87" s="8"/>
      <c r="C87" s="2"/>
      <c r="D87" s="1"/>
    </row>
    <row r="88" spans="1:4">
      <c r="A88" s="8"/>
      <c r="B88" s="8"/>
      <c r="C88" s="2"/>
      <c r="D88" s="1"/>
    </row>
    <row r="89" spans="1:4">
      <c r="A89" s="8"/>
      <c r="B89" s="8"/>
      <c r="C89" s="2"/>
      <c r="D89" s="1"/>
    </row>
    <row r="90" spans="1:4">
      <c r="A90" s="8"/>
      <c r="B90" s="8"/>
      <c r="C90" s="2"/>
      <c r="D90" s="1"/>
    </row>
    <row r="91" spans="1:4">
      <c r="A91" s="8"/>
      <c r="B91" s="8"/>
      <c r="C91" s="2"/>
      <c r="D91" s="1"/>
    </row>
    <row r="92" spans="1:4">
      <c r="A92" s="8"/>
      <c r="B92" s="8"/>
      <c r="C92" s="2"/>
      <c r="D92" s="1"/>
    </row>
    <row r="93" spans="1:4">
      <c r="A93" s="8"/>
      <c r="B93" s="8"/>
      <c r="C93" s="2"/>
      <c r="D93" s="1"/>
    </row>
    <row r="94" spans="1:4">
      <c r="A94" s="8"/>
      <c r="B94" s="8"/>
      <c r="C94" s="2"/>
      <c r="D94" s="1"/>
    </row>
    <row r="95" spans="1:4">
      <c r="A95" s="8"/>
      <c r="B95" s="8"/>
      <c r="D95" s="1"/>
    </row>
    <row r="96" spans="1:4">
      <c r="A96" s="8"/>
      <c r="B96" s="8"/>
      <c r="D96" s="1"/>
    </row>
    <row r="97" spans="1:4">
      <c r="A97" s="8"/>
      <c r="B97" s="8"/>
      <c r="D97" s="1"/>
    </row>
    <row r="98" spans="1:4">
      <c r="A98" s="8"/>
      <c r="B98" s="8"/>
      <c r="D98" s="1"/>
    </row>
    <row r="99" spans="1:4">
      <c r="A99" s="8"/>
      <c r="D99" s="1"/>
    </row>
    <row r="100" spans="1:4">
      <c r="D100" s="1"/>
    </row>
    <row r="101" spans="1:4">
      <c r="D101" s="6"/>
    </row>
  </sheetData>
  <mergeCells count="15">
    <mergeCell ref="B2:B4"/>
    <mergeCell ref="B19:B28"/>
    <mergeCell ref="A2:A28"/>
    <mergeCell ref="A29:A30"/>
    <mergeCell ref="C3:C4"/>
    <mergeCell ref="C22:C23"/>
    <mergeCell ref="C5:C7"/>
    <mergeCell ref="B5:B10"/>
    <mergeCell ref="B12:B18"/>
    <mergeCell ref="C34:C36"/>
    <mergeCell ref="C9:C10"/>
    <mergeCell ref="C25:C26"/>
    <mergeCell ref="A32:A33"/>
    <mergeCell ref="A34:A36"/>
    <mergeCell ref="B34:B36"/>
  </mergeCells>
  <phoneticPr fontId="2" type="noConversion"/>
  <conditionalFormatting sqref="F45:F66 F4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">
      <colorScale>
        <cfvo type="min"/>
        <cfvo type="max"/>
        <color rgb="FFFFC000"/>
        <color rgb="FFFF6600"/>
      </colorScale>
    </cfRule>
  </conditionalFormatting>
  <conditionalFormatting sqref="E45:E66 E4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资产配置情况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lishuyun</dc:creator>
  <cp:lastModifiedBy>Microsoft Office User</cp:lastModifiedBy>
  <dcterms:created xsi:type="dcterms:W3CDTF">2018-05-19T08:29:27Z</dcterms:created>
  <dcterms:modified xsi:type="dcterms:W3CDTF">2019-07-03T10:09:48Z</dcterms:modified>
</cp:coreProperties>
</file>