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2DC26CBE-82B3-46CA-8AEB-6D23059EAF64}" xr6:coauthVersionLast="43" xr6:coauthVersionMax="43" xr10:uidLastSave="{00000000-0000-0000-0000-000000000000}"/>
  <bookViews>
    <workbookView xWindow="-120" yWindow="-120" windowWidth="38640" windowHeight="21240" tabRatio="711" xr2:uid="{00000000-000D-0000-FFFF-FFFF00000000}"/>
  </bookViews>
  <sheets>
    <sheet name="资产配置情况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11" l="1"/>
  <c r="H18" i="11"/>
  <c r="H20" i="11"/>
  <c r="H26" i="11"/>
  <c r="H24" i="11"/>
  <c r="H21" i="11"/>
  <c r="H22" i="11"/>
  <c r="H23" i="11"/>
  <c r="H19" i="11"/>
  <c r="K6" i="11"/>
  <c r="L6" i="11"/>
  <c r="F21" i="11"/>
  <c r="I18" i="11"/>
  <c r="I25" i="11"/>
  <c r="I20" i="11"/>
  <c r="I26" i="11"/>
  <c r="I22" i="11"/>
  <c r="I24" i="11"/>
  <c r="L8" i="11"/>
  <c r="K8" i="11" s="1"/>
  <c r="I23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27" i="11"/>
  <c r="F28" i="11"/>
  <c r="F29" i="11"/>
  <c r="F30" i="11"/>
  <c r="F31" i="11"/>
  <c r="F32" i="11"/>
  <c r="F33" i="11"/>
  <c r="F34" i="11"/>
  <c r="F35" i="11"/>
  <c r="I21" i="11" l="1"/>
  <c r="I19" i="11"/>
  <c r="L2" i="11" l="1"/>
  <c r="K2" i="11"/>
  <c r="F23" i="11"/>
  <c r="F22" i="11"/>
  <c r="F20" i="11"/>
  <c r="F19" i="11"/>
  <c r="F18" i="11"/>
  <c r="F26" i="11"/>
  <c r="L17" i="11"/>
  <c r="F2" i="11"/>
  <c r="F25" i="11" l="1"/>
  <c r="F24" i="11"/>
  <c r="L15" i="11" s="1"/>
  <c r="L16" i="11"/>
  <c r="F36" i="11" l="1"/>
  <c r="E4" i="11"/>
  <c r="E24" i="11"/>
  <c r="E20" i="11"/>
  <c r="C20" i="11" s="1"/>
  <c r="E26" i="11"/>
  <c r="C26" i="11" s="1"/>
  <c r="E19" i="11"/>
  <c r="C19" i="11" s="1"/>
  <c r="E22" i="11"/>
  <c r="E23" i="11"/>
  <c r="C23" i="11" s="1"/>
  <c r="E18" i="11"/>
  <c r="C18" i="11" s="1"/>
  <c r="E25" i="11"/>
  <c r="E3" i="11"/>
  <c r="C3" i="11" s="1"/>
  <c r="E7" i="11"/>
  <c r="C7" i="11" s="1"/>
  <c r="E11" i="11"/>
  <c r="E14" i="11"/>
  <c r="E17" i="11"/>
  <c r="C17" i="11" s="1"/>
  <c r="E30" i="11"/>
  <c r="E33" i="11"/>
  <c r="E8" i="11"/>
  <c r="E12" i="11"/>
  <c r="E27" i="11"/>
  <c r="E31" i="11"/>
  <c r="E5" i="11"/>
  <c r="E9" i="11"/>
  <c r="E15" i="11"/>
  <c r="C15" i="11" s="1"/>
  <c r="E34" i="11"/>
  <c r="E28" i="11"/>
  <c r="E6" i="11"/>
  <c r="E10" i="11"/>
  <c r="E13" i="11"/>
  <c r="C13" i="11" s="1"/>
  <c r="E16" i="11"/>
  <c r="C16" i="11" s="1"/>
  <c r="E29" i="11"/>
  <c r="E32" i="11"/>
  <c r="E35" i="11"/>
  <c r="E2" i="11"/>
  <c r="L4" i="11" l="1"/>
  <c r="E21" i="11"/>
  <c r="C21" i="11" s="1"/>
  <c r="B2" i="11"/>
  <c r="B11" i="11"/>
  <c r="B18" i="11"/>
  <c r="C24" i="11"/>
  <c r="A2" i="11"/>
  <c r="C14" i="11"/>
  <c r="C28" i="11"/>
  <c r="B28" i="11"/>
  <c r="C31" i="11"/>
  <c r="B31" i="11"/>
  <c r="A32" i="11"/>
  <c r="B32" i="11"/>
  <c r="C32" i="11"/>
  <c r="C10" i="11"/>
  <c r="B10" i="11"/>
  <c r="C27" i="11"/>
  <c r="A27" i="11"/>
  <c r="B27" i="11"/>
  <c r="C11" i="11"/>
  <c r="C2" i="11"/>
  <c r="C29" i="11"/>
  <c r="B29" i="11"/>
  <c r="A29" i="11"/>
  <c r="C12" i="11"/>
  <c r="B30" i="11"/>
  <c r="A30" i="11"/>
  <c r="C30" i="11"/>
  <c r="B5" i="11"/>
  <c r="C5" i="11"/>
  <c r="C8" i="11"/>
  <c r="C35" i="11"/>
  <c r="B35" i="11"/>
  <c r="A35" i="11"/>
  <c r="E36" i="11"/>
  <c r="E37" i="11"/>
</calcChain>
</file>

<file path=xl/sharedStrings.xml><?xml version="1.0" encoding="utf-8"?>
<sst xmlns="http://schemas.openxmlformats.org/spreadsheetml/2006/main" count="62" uniqueCount="60">
  <si>
    <t>大类目</t>
    <rPh sb="0" eb="1">
      <t>da'lei'm</t>
    </rPh>
    <phoneticPr fontId="2" type="noConversion"/>
  </si>
  <si>
    <t>二级类目</t>
    <rPh sb="0" eb="1">
      <t>er'ji</t>
    </rPh>
    <rPh sb="2" eb="3">
      <t>lei'mu</t>
    </rPh>
    <phoneticPr fontId="2" type="noConversion"/>
  </si>
  <si>
    <t>品种</t>
    <rPh sb="0" eb="1">
      <t>pin'z</t>
    </rPh>
    <rPh sb="1" eb="2">
      <t>zhong</t>
    </rPh>
    <phoneticPr fontId="2" type="noConversion"/>
  </si>
  <si>
    <t>天天基金</t>
    <rPh sb="0" eb="1">
      <t>tian't'j'j</t>
    </rPh>
    <phoneticPr fontId="2" type="noConversion"/>
  </si>
  <si>
    <t>总市值</t>
    <rPh sb="0" eb="1">
      <t>zong'shi'zhi</t>
    </rPh>
    <phoneticPr fontId="2" type="noConversion"/>
  </si>
  <si>
    <t>总收益率</t>
    <rPh sb="0" eb="1">
      <t>zong</t>
    </rPh>
    <rPh sb="1" eb="2">
      <t>shou'yi'l</t>
    </rPh>
    <phoneticPr fontId="2" type="noConversion"/>
  </si>
  <si>
    <t>市值占比</t>
    <rPh sb="0" eb="1">
      <t>zui'x</t>
    </rPh>
    <rPh sb="2" eb="3">
      <t>zhan'bi</t>
    </rPh>
    <phoneticPr fontId="2" type="noConversion"/>
  </si>
  <si>
    <t>广发医药</t>
    <phoneticPr fontId="2" type="noConversion"/>
  </si>
  <si>
    <t>基金</t>
    <phoneticPr fontId="2" type="noConversion"/>
  </si>
  <si>
    <t>易方达创业板</t>
    <phoneticPr fontId="2" type="noConversion"/>
  </si>
  <si>
    <t>富国中证红利</t>
    <phoneticPr fontId="2" type="noConversion"/>
  </si>
  <si>
    <t>广发养老</t>
    <phoneticPr fontId="2" type="noConversion"/>
  </si>
  <si>
    <t>易方达消费</t>
    <phoneticPr fontId="2" type="noConversion"/>
  </si>
  <si>
    <t>广发金融地产</t>
    <phoneticPr fontId="2" type="noConversion"/>
  </si>
  <si>
    <t>华夏恒生</t>
    <phoneticPr fontId="2" type="noConversion"/>
  </si>
  <si>
    <t>交银海外互联网</t>
    <phoneticPr fontId="2" type="noConversion"/>
  </si>
  <si>
    <t>华安德国</t>
    <phoneticPr fontId="2" type="noConversion"/>
  </si>
  <si>
    <t>华宝油气</t>
    <phoneticPr fontId="2" type="noConversion"/>
  </si>
  <si>
    <t>兴全可转债</t>
    <phoneticPr fontId="2" type="noConversion"/>
  </si>
  <si>
    <t>长信可转债</t>
    <phoneticPr fontId="2" type="noConversion"/>
  </si>
  <si>
    <t>易方达安心债</t>
    <phoneticPr fontId="2" type="noConversion"/>
  </si>
  <si>
    <t>南方天天利</t>
    <phoneticPr fontId="2" type="noConversion"/>
  </si>
  <si>
    <t>华夏上证50</t>
    <phoneticPr fontId="2" type="noConversion"/>
  </si>
  <si>
    <t>养老金计划本金</t>
    <rPh sb="0" eb="1">
      <t>di'san'ci</t>
    </rPh>
    <rPh sb="2" eb="3">
      <t>lun</t>
    </rPh>
    <rPh sb="3" eb="4">
      <t>ji'h</t>
    </rPh>
    <phoneticPr fontId="2" type="noConversion"/>
  </si>
  <si>
    <t>富国沪深300</t>
    <phoneticPr fontId="2" type="noConversion"/>
  </si>
  <si>
    <t>广发中证500</t>
    <phoneticPr fontId="2" type="noConversion"/>
  </si>
  <si>
    <t>富国中证500</t>
    <phoneticPr fontId="2" type="noConversion"/>
  </si>
  <si>
    <t>华宝中证1000</t>
    <phoneticPr fontId="2" type="noConversion"/>
  </si>
  <si>
    <t>广发创业板</t>
    <phoneticPr fontId="2" type="noConversion"/>
  </si>
  <si>
    <t>广发中证传媒</t>
    <phoneticPr fontId="2" type="noConversion"/>
  </si>
  <si>
    <t>广发中证环保</t>
    <phoneticPr fontId="2" type="noConversion"/>
  </si>
  <si>
    <t>易方达证券公司</t>
    <phoneticPr fontId="2" type="noConversion"/>
  </si>
  <si>
    <t>华安黄金</t>
    <phoneticPr fontId="2" type="noConversion"/>
  </si>
  <si>
    <t>老爸蛋卷</t>
    <phoneticPr fontId="2" type="noConversion"/>
  </si>
  <si>
    <t>老妈蛋卷</t>
    <rPh sb="0" eb="1">
      <t>tian't'j'j</t>
    </rPh>
    <phoneticPr fontId="2" type="noConversion"/>
  </si>
  <si>
    <t>华宝香港中小</t>
    <phoneticPr fontId="2" type="noConversion"/>
  </si>
  <si>
    <t>华夏上证50AH优选</t>
    <phoneticPr fontId="2" type="noConversion"/>
  </si>
  <si>
    <t>大成中证红利指数</t>
    <phoneticPr fontId="2" type="noConversion"/>
  </si>
  <si>
    <t>景顺长城中证500低波动</t>
    <phoneticPr fontId="2" type="noConversion"/>
  </si>
  <si>
    <t>申万菱信沪深300价值</t>
    <phoneticPr fontId="2" type="noConversion"/>
  </si>
  <si>
    <t>银河沪深300价值</t>
    <phoneticPr fontId="2" type="noConversion"/>
  </si>
  <si>
    <t>嘉实深证基本面120</t>
    <phoneticPr fontId="2" type="noConversion"/>
  </si>
  <si>
    <t>老妈蛋卷投入</t>
    <phoneticPr fontId="2" type="noConversion"/>
  </si>
  <si>
    <t>老爸蛋卷投入</t>
    <phoneticPr fontId="2" type="noConversion"/>
  </si>
  <si>
    <t>老妈货币基金</t>
    <phoneticPr fontId="2" type="noConversion"/>
  </si>
  <si>
    <t>老爸货币基金</t>
    <phoneticPr fontId="2" type="noConversion"/>
  </si>
  <si>
    <t>货基收益</t>
    <phoneticPr fontId="2" type="noConversion"/>
  </si>
  <si>
    <t>权益类资金综合</t>
    <rPh sb="0" eb="1">
      <t>zi'j</t>
    </rPh>
    <rPh sb="2" eb="3">
      <t>ji'shu</t>
    </rPh>
    <phoneticPr fontId="2" type="noConversion"/>
  </si>
  <si>
    <t>总资金</t>
    <phoneticPr fontId="2" type="noConversion"/>
  </si>
  <si>
    <t>权益类</t>
    <phoneticPr fontId="2" type="noConversion"/>
  </si>
  <si>
    <t>低风险</t>
    <phoneticPr fontId="2" type="noConversion"/>
  </si>
  <si>
    <t>债券类</t>
    <phoneticPr fontId="2" type="noConversion"/>
  </si>
  <si>
    <t>占比</t>
    <phoneticPr fontId="2" type="noConversion"/>
  </si>
  <si>
    <t>资产分类</t>
    <phoneticPr fontId="2" type="noConversion"/>
  </si>
  <si>
    <t>老妈蛋卷收益</t>
    <phoneticPr fontId="2" type="noConversion"/>
  </si>
  <si>
    <t>老爸蛋卷收益益</t>
    <phoneticPr fontId="2" type="noConversion"/>
  </si>
  <si>
    <t>计划收益</t>
    <phoneticPr fontId="2" type="noConversion"/>
  </si>
  <si>
    <t>华夏沪深300</t>
    <phoneticPr fontId="2" type="noConversion"/>
  </si>
  <si>
    <t>华宝红利基金</t>
    <phoneticPr fontId="2" type="noConversion"/>
  </si>
  <si>
    <t>天弘中证医药100A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</si>
</sst>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10" fontId="9" fillId="0" borderId="0" xfId="1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00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</cellStyles>
  <dxfs count="0"/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资产配置情况!$L$14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F4-49C2-A4D3-A8345C29E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8-41B3-BFE2-9C3E04C8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F4-49C2-A4D3-A8345C29EC0E}"/>
              </c:ext>
            </c:extLst>
          </c:dPt>
          <c:dLbls>
            <c:dLbl>
              <c:idx val="1"/>
              <c:layout>
                <c:manualLayout>
                  <c:x val="2.110795961099814E-2"/>
                  <c:y val="2.9602551110358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68-41B3-BFE2-9C3E04C8E3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资产配置情况!$K$15:$K$17</c:f>
              <c:strCache>
                <c:ptCount val="3"/>
                <c:pt idx="0">
                  <c:v>权益类</c:v>
                </c:pt>
                <c:pt idx="1">
                  <c:v>债券类</c:v>
                </c:pt>
                <c:pt idx="2">
                  <c:v>低风险</c:v>
                </c:pt>
              </c:strCache>
            </c:strRef>
          </c:cat>
          <c:val>
            <c:numRef>
              <c:f>资产配置情况!$L$15:$L$17</c:f>
              <c:numCache>
                <c:formatCode>0.00%</c:formatCode>
                <c:ptCount val="3"/>
                <c:pt idx="0">
                  <c:v>7.0176176487121752E-2</c:v>
                </c:pt>
                <c:pt idx="1">
                  <c:v>4.4975641270194201E-3</c:v>
                </c:pt>
                <c:pt idx="2">
                  <c:v>0.9278013307993026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1B3-BFE2-9C3E04C8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17</xdr:row>
      <xdr:rowOff>52387</xdr:rowOff>
    </xdr:from>
    <xdr:to>
      <xdr:col>11</xdr:col>
      <xdr:colOff>933450</xdr:colOff>
      <xdr:row>29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F47BABB-C731-4315-83CB-6EBDFF61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1" zoomScaleNormal="100" workbookViewId="0">
      <pane ySplit="1" topLeftCell="A2" activePane="bottomLeft" state="frozen"/>
      <selection pane="bottomLeft" activeCell="C44" sqref="C44"/>
    </sheetView>
  </sheetViews>
  <sheetFormatPr defaultColWidth="21.25" defaultRowHeight="14.25"/>
  <cols>
    <col min="1" max="1" width="15.25" style="9" bestFit="1" customWidth="1"/>
    <col min="2" max="3" width="17.375" style="9" bestFit="1" customWidth="1"/>
    <col min="4" max="4" width="22.625" style="9" bestFit="1" customWidth="1"/>
    <col min="5" max="5" width="9" style="9" bestFit="1" customWidth="1"/>
    <col min="6" max="6" width="8.875" style="9" bestFit="1" customWidth="1"/>
    <col min="7" max="9" width="9" style="9" bestFit="1" customWidth="1"/>
    <col min="10" max="10" width="21.25" style="9"/>
    <col min="11" max="11" width="15.125" style="9" bestFit="1" customWidth="1"/>
    <col min="12" max="12" width="13" style="9" bestFit="1" customWidth="1"/>
    <col min="13" max="16384" width="21.25" style="9"/>
  </cols>
  <sheetData>
    <row r="1" spans="1:15">
      <c r="A1" s="8" t="s">
        <v>0</v>
      </c>
      <c r="B1" s="8" t="s">
        <v>1</v>
      </c>
      <c r="C1" s="8" t="s">
        <v>2</v>
      </c>
      <c r="D1" s="8" t="s">
        <v>8</v>
      </c>
      <c r="E1" s="8" t="s">
        <v>6</v>
      </c>
      <c r="F1" s="8" t="s">
        <v>4</v>
      </c>
      <c r="G1" s="18" t="s">
        <v>3</v>
      </c>
      <c r="H1" s="8" t="s">
        <v>34</v>
      </c>
      <c r="I1" s="8" t="s">
        <v>33</v>
      </c>
      <c r="K1" s="18" t="s">
        <v>47</v>
      </c>
      <c r="L1" s="18" t="s">
        <v>48</v>
      </c>
      <c r="M1" s="17"/>
      <c r="N1" s="8"/>
    </row>
    <row r="2" spans="1:15">
      <c r="A2" s="23" t="str">
        <f>"A股"&amp;" , "&amp;TEXT(SUM(E2:E26),"0.00%")</f>
        <v>A股 , 66.28%</v>
      </c>
      <c r="B2" s="23" t="str">
        <f>"大盘股"&amp;" , "&amp;TEXT(SUM(E2:E4),"0.00%")</f>
        <v>大盘股 , 7.15%</v>
      </c>
      <c r="C2" s="20" t="str">
        <f>"上证50"&amp;" , "&amp;TEXT(SUM(E2:E2),"0.00%")</f>
        <v>上证50 , 1.57%</v>
      </c>
      <c r="D2" s="10" t="s">
        <v>22</v>
      </c>
      <c r="E2" s="11">
        <f>F2/$F$36</f>
        <v>1.5652484524588426E-2</v>
      </c>
      <c r="F2" s="2">
        <f>SUM(G2:I2)</f>
        <v>1228.7</v>
      </c>
      <c r="G2" s="2">
        <v>1228.7</v>
      </c>
      <c r="H2" s="2"/>
      <c r="I2" s="2"/>
      <c r="K2" s="18">
        <f>K4+K6+K8</f>
        <v>76470.28</v>
      </c>
      <c r="L2" s="18">
        <f>$K$4+$K$6+$K$8+$K$10+$K$12</f>
        <v>819548.07</v>
      </c>
      <c r="M2" s="17"/>
      <c r="N2" s="8"/>
    </row>
    <row r="3" spans="1:15">
      <c r="A3" s="23"/>
      <c r="B3" s="23"/>
      <c r="C3" s="23" t="str">
        <f>"沪深300"&amp;" , "&amp;TEXT(SUM(E3:E4),"0.00%")</f>
        <v>沪深300 , 5.58%</v>
      </c>
      <c r="D3" s="10" t="s">
        <v>24</v>
      </c>
      <c r="E3" s="11">
        <f>F3/$F$36</f>
        <v>5.0924524629191406E-2</v>
      </c>
      <c r="F3" s="2">
        <f t="shared" ref="F3:F35" si="0">SUM(G3:I3)</f>
        <v>3997.51</v>
      </c>
      <c r="G3" s="2">
        <v>3997.51</v>
      </c>
      <c r="I3" s="2"/>
      <c r="K3" s="18" t="s">
        <v>23</v>
      </c>
      <c r="L3" s="18" t="s">
        <v>56</v>
      </c>
      <c r="M3" s="8"/>
      <c r="N3" s="1"/>
    </row>
    <row r="4" spans="1:15">
      <c r="A4" s="23"/>
      <c r="B4" s="23"/>
      <c r="C4" s="23"/>
      <c r="D4" s="22" t="s">
        <v>57</v>
      </c>
      <c r="E4" s="11">
        <f>F4/$F$36</f>
        <v>4.89867860265747E-3</v>
      </c>
      <c r="F4" s="2">
        <f t="shared" si="0"/>
        <v>384.54</v>
      </c>
      <c r="G4" s="2">
        <v>384.54</v>
      </c>
      <c r="K4" s="18">
        <v>72000</v>
      </c>
      <c r="L4" s="5">
        <f>F36-K4</f>
        <v>6498.7200000000012</v>
      </c>
      <c r="M4" s="8"/>
      <c r="N4" s="1"/>
    </row>
    <row r="5" spans="1:15">
      <c r="A5" s="23"/>
      <c r="B5" s="23" t="str">
        <f>"中小盘股"&amp;" , "&amp;TEXT(SUM(E5:E9),"0.00%")</f>
        <v>中小盘股 , 19.82%</v>
      </c>
      <c r="C5" s="23" t="str">
        <f>"中证500"&amp;" , "&amp;TEXT(SUM(E5:E6),"0.00%")</f>
        <v>中证500 , 15.57%</v>
      </c>
      <c r="D5" s="10" t="s">
        <v>25</v>
      </c>
      <c r="E5" s="11">
        <f>F5/$F$36</f>
        <v>0.11742484463440933</v>
      </c>
      <c r="F5" s="2">
        <f t="shared" si="0"/>
        <v>9217.7000000000007</v>
      </c>
      <c r="G5" s="2">
        <v>9217.7000000000007</v>
      </c>
      <c r="H5" s="2"/>
      <c r="I5" s="2"/>
      <c r="K5" s="18" t="s">
        <v>42</v>
      </c>
      <c r="L5" s="18" t="s">
        <v>54</v>
      </c>
    </row>
    <row r="6" spans="1:15">
      <c r="A6" s="23"/>
      <c r="B6" s="23"/>
      <c r="C6" s="23"/>
      <c r="D6" s="10" t="s">
        <v>26</v>
      </c>
      <c r="E6" s="11">
        <f>F6/$F$36</f>
        <v>3.8309669253205662E-2</v>
      </c>
      <c r="F6" s="2">
        <f t="shared" si="0"/>
        <v>3007.26</v>
      </c>
      <c r="G6" s="2">
        <v>3007.26</v>
      </c>
      <c r="H6" s="2"/>
      <c r="I6" s="2"/>
      <c r="K6" s="18">
        <f>2331.65-L6</f>
        <v>2463.7000000000003</v>
      </c>
      <c r="L6" s="18">
        <f>-132.05</f>
        <v>-132.05000000000001</v>
      </c>
      <c r="N6" s="12"/>
      <c r="O6" s="12"/>
    </row>
    <row r="7" spans="1:15">
      <c r="A7" s="23"/>
      <c r="B7" s="23"/>
      <c r="C7" s="20" t="str">
        <f>"中证1000"&amp;" , "&amp;TEXT(SUM(E7:E7),"0.00%")</f>
        <v>中证1000 , 1.45%</v>
      </c>
      <c r="D7" s="10" t="s">
        <v>27</v>
      </c>
      <c r="E7" s="11">
        <f>F7/$F$36</f>
        <v>1.454482315125648E-2</v>
      </c>
      <c r="F7" s="2">
        <f t="shared" si="0"/>
        <v>1141.75</v>
      </c>
      <c r="G7" s="2">
        <v>1141.75</v>
      </c>
      <c r="I7" s="2"/>
      <c r="K7" s="18" t="s">
        <v>43</v>
      </c>
      <c r="L7" s="18" t="s">
        <v>55</v>
      </c>
      <c r="O7" s="13"/>
    </row>
    <row r="8" spans="1:15">
      <c r="A8" s="23"/>
      <c r="B8" s="23"/>
      <c r="C8" s="23" t="str">
        <f>"创业板"&amp;" , "&amp;TEXT(SUM(E8:E9),"0.00%")</f>
        <v>创业板 , 2.79%</v>
      </c>
      <c r="D8" s="10" t="s">
        <v>28</v>
      </c>
      <c r="E8" s="11">
        <f>F8/$F$36</f>
        <v>5.0674711638610164E-3</v>
      </c>
      <c r="F8" s="2">
        <f t="shared" si="0"/>
        <v>397.79</v>
      </c>
      <c r="G8" s="2">
        <v>397.79</v>
      </c>
      <c r="H8" s="14"/>
      <c r="I8" s="2"/>
      <c r="K8" s="18">
        <f>1909.55-L8</f>
        <v>2006.58</v>
      </c>
      <c r="L8" s="18">
        <f>-97.03</f>
        <v>-97.03</v>
      </c>
      <c r="N8" s="12"/>
      <c r="O8" s="12"/>
    </row>
    <row r="9" spans="1:15">
      <c r="A9" s="23"/>
      <c r="B9" s="23"/>
      <c r="C9" s="23"/>
      <c r="D9" s="10" t="s">
        <v>9</v>
      </c>
      <c r="E9" s="11">
        <f>F9/$F$36</f>
        <v>2.2817187337576969E-2</v>
      </c>
      <c r="F9" s="2">
        <f t="shared" si="0"/>
        <v>1791.12</v>
      </c>
      <c r="G9" s="2">
        <v>1791.12</v>
      </c>
      <c r="H9" s="2"/>
      <c r="I9" s="2"/>
      <c r="K9" s="18" t="s">
        <v>44</v>
      </c>
      <c r="L9" s="18" t="s">
        <v>46</v>
      </c>
      <c r="O9" s="13"/>
    </row>
    <row r="10" spans="1:15">
      <c r="A10" s="23"/>
      <c r="B10" s="20" t="str">
        <f>"红利价值"&amp;" , "&amp;TEXT(SUM(E10:E10),"0.00%")</f>
        <v>红利价值 , 11.38%</v>
      </c>
      <c r="C10" s="20" t="str">
        <f>"中证红利"&amp;" , "&amp;TEXT(SUM(E10:E10),"0.00%")</f>
        <v>中证红利 , 11.38%</v>
      </c>
      <c r="D10" s="10" t="s">
        <v>10</v>
      </c>
      <c r="E10" s="11">
        <f>F10/$F$36</f>
        <v>0.11381064557485777</v>
      </c>
      <c r="F10" s="2">
        <f t="shared" si="0"/>
        <v>8933.99</v>
      </c>
      <c r="G10" s="2">
        <v>8933.99</v>
      </c>
      <c r="H10" s="2"/>
      <c r="I10" s="2"/>
      <c r="K10" s="18">
        <v>612405.84</v>
      </c>
      <c r="L10" s="18">
        <v>19690.009999999998</v>
      </c>
      <c r="N10" s="12"/>
      <c r="O10" s="12"/>
    </row>
    <row r="11" spans="1:15">
      <c r="A11" s="23"/>
      <c r="B11" s="23" t="str">
        <f>"行业股"&amp;" , "&amp;TEXT(SUM(E11:E17),"0.00%")</f>
        <v>行业股 , 22.53%</v>
      </c>
      <c r="C11" s="20" t="str">
        <f>"养老产业"&amp;" , "&amp;TEXT(SUM(E11:E11),"0.00%")</f>
        <v>养老产业 , 6.74%</v>
      </c>
      <c r="D11" s="10" t="s">
        <v>11</v>
      </c>
      <c r="E11" s="11">
        <f>F11/$F$36</f>
        <v>6.735447406021397E-2</v>
      </c>
      <c r="F11" s="2">
        <f t="shared" si="0"/>
        <v>5287.24</v>
      </c>
      <c r="G11" s="2">
        <v>5287.24</v>
      </c>
      <c r="I11" s="2"/>
      <c r="K11" s="18" t="s">
        <v>45</v>
      </c>
      <c r="L11" s="18" t="s">
        <v>46</v>
      </c>
      <c r="O11" s="13"/>
    </row>
    <row r="12" spans="1:15">
      <c r="A12" s="23"/>
      <c r="B12" s="23"/>
      <c r="C12" s="20" t="str">
        <f>"全指医药"&amp;" , "&amp;TEXT(SUM(E12:E12),"0.00%")</f>
        <v>全指医药 , 6.06%</v>
      </c>
      <c r="D12" s="20" t="s">
        <v>7</v>
      </c>
      <c r="E12" s="11">
        <f>F12/$F$36</f>
        <v>6.063309057778267E-2</v>
      </c>
      <c r="F12" s="2">
        <f t="shared" si="0"/>
        <v>4759.62</v>
      </c>
      <c r="G12" s="2">
        <v>4759.62</v>
      </c>
      <c r="H12" s="2"/>
      <c r="I12" s="2"/>
      <c r="K12" s="18">
        <v>130671.95</v>
      </c>
      <c r="L12" s="18">
        <v>3248.45</v>
      </c>
      <c r="N12" s="12"/>
      <c r="O12" s="12"/>
    </row>
    <row r="13" spans="1:15">
      <c r="A13" s="23"/>
      <c r="B13" s="23"/>
      <c r="C13" s="20" t="str">
        <f>"中证传媒"&amp;" , "&amp;TEXT(SUM(E13:E13),"0.00%")</f>
        <v>中证传媒 , 3.95%</v>
      </c>
      <c r="D13" s="10" t="s">
        <v>29</v>
      </c>
      <c r="E13" s="11">
        <f>F13/$F$36</f>
        <v>3.9535803895910659E-2</v>
      </c>
      <c r="F13" s="2">
        <f t="shared" si="0"/>
        <v>3103.51</v>
      </c>
      <c r="G13" s="2">
        <v>3103.51</v>
      </c>
      <c r="H13" s="2"/>
      <c r="O13" s="13"/>
    </row>
    <row r="14" spans="1:15">
      <c r="A14" s="23"/>
      <c r="B14" s="23"/>
      <c r="C14" s="20" t="str">
        <f>"中证环保"&amp;" , "&amp;TEXT(SUM(E14:E14),"0.00%")</f>
        <v>中证环保 , 4.01%</v>
      </c>
      <c r="D14" s="10" t="s">
        <v>30</v>
      </c>
      <c r="E14" s="11">
        <f>F14/$F$36</f>
        <v>4.0064857108498074E-2</v>
      </c>
      <c r="F14" s="2">
        <f t="shared" si="0"/>
        <v>3145.04</v>
      </c>
      <c r="G14" s="2">
        <v>3145.04</v>
      </c>
      <c r="I14" s="2"/>
      <c r="K14" s="18" t="s">
        <v>53</v>
      </c>
      <c r="L14" s="18" t="s">
        <v>52</v>
      </c>
      <c r="N14" s="12"/>
      <c r="O14" s="12"/>
    </row>
    <row r="15" spans="1:15">
      <c r="A15" s="23"/>
      <c r="B15" s="23"/>
      <c r="C15" s="20" t="str">
        <f>"全指消费"&amp;" , "&amp;TEXT(SUM(E15:E15),"0.00%")</f>
        <v>全指消费 , 0.00%</v>
      </c>
      <c r="D15" s="10" t="s">
        <v>12</v>
      </c>
      <c r="E15" s="11">
        <f>F15/$F$36</f>
        <v>0</v>
      </c>
      <c r="F15" s="2">
        <f t="shared" si="0"/>
        <v>0</v>
      </c>
      <c r="G15" s="2">
        <v>0</v>
      </c>
      <c r="H15" s="2"/>
      <c r="K15" s="18" t="s">
        <v>49</v>
      </c>
      <c r="L15" s="1">
        <f>SUM($F$2:$F$31)/($K$2+$K$10+K$12)</f>
        <v>7.0176176487121752E-2</v>
      </c>
      <c r="O15" s="13"/>
    </row>
    <row r="16" spans="1:15">
      <c r="A16" s="23"/>
      <c r="B16" s="23"/>
      <c r="C16" s="20" t="str">
        <f>"金融地产"&amp;" , "&amp;TEXT(SUM(E16:E16),"0.00%")</f>
        <v>金融地产 , 1.17%</v>
      </c>
      <c r="D16" s="10" t="s">
        <v>13</v>
      </c>
      <c r="E16" s="11">
        <f>F16/$F$36</f>
        <v>1.1669107470796976E-2</v>
      </c>
      <c r="F16" s="2">
        <f t="shared" si="0"/>
        <v>916.01</v>
      </c>
      <c r="G16" s="2">
        <v>916.01</v>
      </c>
      <c r="H16" s="14"/>
      <c r="I16" s="2"/>
      <c r="K16" s="18" t="s">
        <v>51</v>
      </c>
      <c r="L16" s="1">
        <f>SUM($F$32:$F$34)/($K$2+$K$10+K$12)</f>
        <v>4.4975641270194201E-3</v>
      </c>
      <c r="M16" s="2"/>
      <c r="N16" s="12"/>
      <c r="O16" s="12"/>
    </row>
    <row r="17" spans="1:15" s="19" customFormat="1">
      <c r="A17" s="23"/>
      <c r="B17" s="23"/>
      <c r="C17" s="20" t="str">
        <f>"证券公司"&amp;" , "&amp;TEXT(SUM(E17:E17),"0.00%")</f>
        <v>证券公司 , 0.60%</v>
      </c>
      <c r="D17" s="10" t="s">
        <v>31</v>
      </c>
      <c r="E17" s="11">
        <f>F17/$F$36</f>
        <v>6.0445571596581451E-3</v>
      </c>
      <c r="F17" s="2">
        <f t="shared" si="0"/>
        <v>474.49</v>
      </c>
      <c r="G17" s="2">
        <v>474.49</v>
      </c>
      <c r="K17" s="18" t="s">
        <v>50</v>
      </c>
      <c r="L17" s="1">
        <f>(F35+SUM($K$10:$K$12))/($K$2+$K$10+K$12)</f>
        <v>0.9278013307993026</v>
      </c>
      <c r="M17" s="9"/>
      <c r="N17" s="12"/>
      <c r="O17" s="12"/>
    </row>
    <row r="18" spans="1:15">
      <c r="A18" s="23"/>
      <c r="B18" s="23" t="str">
        <f>"螺丝钉定投"&amp;" , "&amp;TEXT(SUM(E18:E26),"0.00%")</f>
        <v>螺丝钉定投 , 5.40%</v>
      </c>
      <c r="C18" s="21" t="str">
        <f>"医药"&amp;" , "&amp;TEXT(SUM(E18:E18),"0.00%")</f>
        <v>医药 , 0.09%</v>
      </c>
      <c r="D18" s="20" t="s">
        <v>59</v>
      </c>
      <c r="E18" s="11">
        <f>F18/$F$36</f>
        <v>8.5639676672434931E-4</v>
      </c>
      <c r="F18" s="2">
        <f t="shared" si="0"/>
        <v>67.226050000000015</v>
      </c>
      <c r="G18" s="2"/>
      <c r="H18" s="2">
        <f>($K$6 + $L$6) * 0.0145</f>
        <v>33.808925000000002</v>
      </c>
      <c r="I18" s="2">
        <f xml:space="preserve"> ($K$8 + $L$8) * 0.0175</f>
        <v>33.417125000000006</v>
      </c>
      <c r="K18" s="19"/>
      <c r="L18" s="19"/>
      <c r="N18" s="12"/>
      <c r="O18" s="13"/>
    </row>
    <row r="19" spans="1:15">
      <c r="A19" s="23"/>
      <c r="B19" s="23"/>
      <c r="C19" s="21" t="str">
        <f>"香港中小"&amp;" , "&amp;TEXT(SUM(E19:E19),"0.00%")</f>
        <v>香港中小 , 1.12%</v>
      </c>
      <c r="D19" s="20" t="s">
        <v>35</v>
      </c>
      <c r="E19" s="11">
        <f>F19/$F$36</f>
        <v>1.1235784481581355E-2</v>
      </c>
      <c r="F19" s="2">
        <f t="shared" si="0"/>
        <v>881.99469999999997</v>
      </c>
      <c r="G19" s="2"/>
      <c r="H19" s="2">
        <f>($K$6 + $L$6) * 0.2103</f>
        <v>490.34599500000002</v>
      </c>
      <c r="I19" s="2">
        <f xml:space="preserve"> ($K$8 + $L$8) * 0.2051</f>
        <v>391.64870500000001</v>
      </c>
      <c r="K19" s="19"/>
      <c r="L19" s="19"/>
      <c r="M19" s="19"/>
      <c r="N19" s="12"/>
    </row>
    <row r="20" spans="1:15">
      <c r="A20" s="23"/>
      <c r="B20" s="23"/>
      <c r="C20" s="21" t="str">
        <f>"上证50AH"&amp;" , "&amp;TEXT(SUM(E20:E20),"0.00%")</f>
        <v>上证50AH , 0.31%</v>
      </c>
      <c r="D20" s="20" t="s">
        <v>36</v>
      </c>
      <c r="E20" s="11">
        <f>F20/$F$36</f>
        <v>3.1299870876875446E-3</v>
      </c>
      <c r="F20" s="2">
        <f t="shared" si="0"/>
        <v>245.69998000000001</v>
      </c>
      <c r="G20" s="2"/>
      <c r="H20" s="2">
        <f>($K$6 + $L$6) * 0.0736</f>
        <v>171.60944000000001</v>
      </c>
      <c r="I20" s="2">
        <f xml:space="preserve"> ($K$8 + $L$8) * 0.0388</f>
        <v>74.090540000000004</v>
      </c>
      <c r="K20" s="19"/>
      <c r="L20" s="19"/>
      <c r="N20" s="12"/>
      <c r="O20" s="13"/>
    </row>
    <row r="21" spans="1:15">
      <c r="A21" s="23"/>
      <c r="B21" s="23"/>
      <c r="C21" s="23" t="str">
        <f>"中证红利"&amp;" , "&amp;TEXT(SUM(E21:E22),"0.00%")</f>
        <v>中证红利 , 1.60%</v>
      </c>
      <c r="D21" s="22" t="s">
        <v>58</v>
      </c>
      <c r="E21" s="11">
        <f>F21/$F$36</f>
        <v>5.2928363672681547E-3</v>
      </c>
      <c r="F21" s="2">
        <f t="shared" si="0"/>
        <v>415.48088000000001</v>
      </c>
      <c r="G21" s="2"/>
      <c r="H21" s="2">
        <f>($K$6 + $L$6) * 0.0922</f>
        <v>214.97813000000002</v>
      </c>
      <c r="I21" s="2">
        <f xml:space="preserve"> ($K$8 + $L$8) * 0.105</f>
        <v>200.50274999999999</v>
      </c>
      <c r="K21" s="19"/>
      <c r="L21" s="19"/>
      <c r="N21" s="12"/>
    </row>
    <row r="22" spans="1:15">
      <c r="A22" s="23"/>
      <c r="B22" s="23"/>
      <c r="C22" s="23"/>
      <c r="D22" s="20" t="s">
        <v>37</v>
      </c>
      <c r="E22" s="11">
        <f>F22/$F$36</f>
        <v>1.0661976908668064E-2</v>
      </c>
      <c r="F22" s="2">
        <f t="shared" si="0"/>
        <v>836.95154000000002</v>
      </c>
      <c r="G22" s="2"/>
      <c r="H22" s="2">
        <f>($K$6 + $L$6) * 0.2004</f>
        <v>467.26265999999998</v>
      </c>
      <c r="I22" s="2">
        <f xml:space="preserve"> ($K$8 + $L$8) * 0.1936</f>
        <v>369.68887999999998</v>
      </c>
      <c r="K22" s="19"/>
      <c r="L22" s="19"/>
      <c r="O22" s="13"/>
    </row>
    <row r="23" spans="1:15">
      <c r="A23" s="23"/>
      <c r="B23" s="23"/>
      <c r="C23" s="21" t="str">
        <f>"500低波动"&amp;" , "&amp;TEXT(SUM(E23:E23),"0.00%")</f>
        <v>500低波动 , 0.62%</v>
      </c>
      <c r="D23" s="20" t="s">
        <v>38</v>
      </c>
      <c r="E23" s="11">
        <f>F23/$F$36</f>
        <v>6.1912006972852556E-3</v>
      </c>
      <c r="F23" s="2">
        <f t="shared" si="0"/>
        <v>486.00133000000005</v>
      </c>
      <c r="G23" s="2"/>
      <c r="H23" s="2">
        <f>($K$6 + $L$6) * 0.1136</f>
        <v>264.87544000000003</v>
      </c>
      <c r="I23" s="2">
        <f xml:space="preserve"> ($K$8 + $L$8) * 0.1158</f>
        <v>221.12589</v>
      </c>
      <c r="K23" s="20"/>
      <c r="L23" s="2"/>
      <c r="M23" s="2"/>
      <c r="N23" s="12"/>
      <c r="O23" s="12"/>
    </row>
    <row r="24" spans="1:15">
      <c r="A24" s="23"/>
      <c r="B24" s="23"/>
      <c r="C24" s="23" t="str">
        <f>"300价值"&amp;" , "&amp;TEXT(SUM(E24:E25),"0.00%")</f>
        <v>300价值 , 0.96%</v>
      </c>
      <c r="D24" s="20" t="s">
        <v>40</v>
      </c>
      <c r="E24" s="11">
        <f>F24/$F$36</f>
        <v>8.7383961165226638E-3</v>
      </c>
      <c r="F24" s="2">
        <f t="shared" si="0"/>
        <v>685.95290999999997</v>
      </c>
      <c r="G24" s="2"/>
      <c r="H24" s="2">
        <f>($K$6 + $L$6) * 0.1512</f>
        <v>352.54548</v>
      </c>
      <c r="I24" s="2">
        <f xml:space="preserve"> ($K$8 + $L$8) * 0.1746</f>
        <v>333.40742999999998</v>
      </c>
      <c r="O24" s="13"/>
    </row>
    <row r="25" spans="1:15">
      <c r="A25" s="23"/>
      <c r="B25" s="23"/>
      <c r="C25" s="23"/>
      <c r="D25" s="20" t="s">
        <v>39</v>
      </c>
      <c r="E25" s="11">
        <f>F25/$F$36</f>
        <v>8.5099387607848892E-4</v>
      </c>
      <c r="F25" s="2">
        <f t="shared" si="0"/>
        <v>66.801929999999999</v>
      </c>
      <c r="G25" s="2"/>
      <c r="H25" s="2">
        <f>($K$6 + $L$6) * 0.0144</f>
        <v>33.575760000000002</v>
      </c>
      <c r="I25" s="2">
        <f xml:space="preserve"> ($K$8 + $L$8) * 0.0174</f>
        <v>33.226169999999996</v>
      </c>
      <c r="N25" s="12"/>
      <c r="O25" s="12"/>
    </row>
    <row r="26" spans="1:15">
      <c r="A26" s="23"/>
      <c r="B26" s="23"/>
      <c r="C26" s="21" t="str">
        <f>"基本面120"&amp;" , "&amp;TEXT(SUM(E26:E26),"0.00%")</f>
        <v>基本面120 , 0.71%</v>
      </c>
      <c r="D26" s="20" t="s">
        <v>41</v>
      </c>
      <c r="E26" s="11">
        <f>F26/$F$36</f>
        <v>7.0713341567862509E-3</v>
      </c>
      <c r="F26" s="2">
        <f>SUM(G26:I26)</f>
        <v>555.09068000000002</v>
      </c>
      <c r="G26" s="2"/>
      <c r="H26" s="2">
        <f>($K$6 + $L$6) * 0.1298</f>
        <v>302.64816999999999</v>
      </c>
      <c r="I26" s="2">
        <f xml:space="preserve"> ($K$8 + $L$8) * 0.1322</f>
        <v>252.44251000000003</v>
      </c>
      <c r="O26" s="13"/>
    </row>
    <row r="27" spans="1:15">
      <c r="A27" s="23" t="str">
        <f>"海外新兴"&amp;" , "&amp;TEXT(SUM(E27:E28),"0.00%")</f>
        <v>海外新兴 , 2.49%</v>
      </c>
      <c r="B27" s="20" t="str">
        <f>"香港"&amp;" , "&amp;TEXT(SUM(E27:E27),"0.00%")</f>
        <v>香港 , 0.52%</v>
      </c>
      <c r="C27" s="20" t="str">
        <f>"恒生"&amp;" , "&amp;TEXT(SUM(E27:E27),"0.00%")</f>
        <v>恒生 , 0.52%</v>
      </c>
      <c r="D27" s="10" t="s">
        <v>14</v>
      </c>
      <c r="E27" s="11">
        <f t="shared" ref="E27:E35" si="1">F27/$F$36</f>
        <v>5.1645428103795831E-3</v>
      </c>
      <c r="F27" s="2">
        <f t="shared" si="0"/>
        <v>405.41</v>
      </c>
      <c r="G27" s="2">
        <v>405.41</v>
      </c>
      <c r="H27" s="14"/>
      <c r="I27" s="2"/>
      <c r="J27" s="11"/>
      <c r="N27" s="12"/>
      <c r="O27" s="12"/>
    </row>
    <row r="28" spans="1:15">
      <c r="A28" s="23"/>
      <c r="B28" s="20" t="str">
        <f>"海外互联"&amp;" , "&amp;TEXT(SUM(E28:E28),"0.00%")</f>
        <v>海外互联 , 1.97%</v>
      </c>
      <c r="C28" s="20" t="str">
        <f>"海外互联网"&amp;" , "&amp;TEXT(SUM(E28:E28),"0.00%")</f>
        <v>海外互联网 , 1.97%</v>
      </c>
      <c r="D28" s="10" t="s">
        <v>15</v>
      </c>
      <c r="E28" s="11">
        <f t="shared" si="1"/>
        <v>1.9738156239999839E-2</v>
      </c>
      <c r="F28" s="2">
        <f t="shared" si="0"/>
        <v>1549.42</v>
      </c>
      <c r="G28" s="2">
        <v>1549.42</v>
      </c>
      <c r="H28" s="14"/>
      <c r="I28" s="2"/>
      <c r="J28" s="11"/>
      <c r="O28" s="13"/>
    </row>
    <row r="29" spans="1:15">
      <c r="A29" s="10" t="str">
        <f>"海外成熟"&amp;" , "&amp;TEXT(SUM(E29:E29),"0.00%")</f>
        <v>海外成熟 , 2.65%</v>
      </c>
      <c r="B29" s="20" t="str">
        <f>"海外成熟"&amp;" , "&amp;TEXT(SUM(E29:E29),"0.00%")</f>
        <v>海外成熟 , 2.65%</v>
      </c>
      <c r="C29" s="20" t="str">
        <f>"德国30"&amp;" , "&amp;TEXT(SUM(E29:E29),"0.00%")</f>
        <v>德国30 , 2.65%</v>
      </c>
      <c r="D29" s="10" t="s">
        <v>16</v>
      </c>
      <c r="E29" s="11">
        <f t="shared" si="1"/>
        <v>2.6482724813856839E-2</v>
      </c>
      <c r="F29" s="2">
        <f t="shared" si="0"/>
        <v>2078.86</v>
      </c>
      <c r="G29" s="2">
        <v>2078.86</v>
      </c>
      <c r="H29" s="14"/>
      <c r="I29" s="2"/>
      <c r="N29" s="12"/>
      <c r="O29" s="12"/>
    </row>
    <row r="30" spans="1:15">
      <c r="A30" s="23" t="str">
        <f>"商品"&amp;" , "&amp;TEXT(SUM(E30:E31),"0.00%")</f>
        <v>商品 , 1.85%</v>
      </c>
      <c r="B30" s="20" t="str">
        <f>"原油"&amp;" , "&amp;TEXT(SUM(E30:E30),"0.00%")</f>
        <v>原油 , 1.32%</v>
      </c>
      <c r="C30" s="20" t="str">
        <f>"原油"&amp;" , "&amp;TEXT(SUM(E30:E30),"0.00%")</f>
        <v>原油 , 1.32%</v>
      </c>
      <c r="D30" s="10" t="s">
        <v>17</v>
      </c>
      <c r="E30" s="11">
        <f t="shared" si="1"/>
        <v>1.3174354944895918E-2</v>
      </c>
      <c r="F30" s="2">
        <f t="shared" si="0"/>
        <v>1034.17</v>
      </c>
      <c r="G30" s="2">
        <v>1034.17</v>
      </c>
      <c r="H30" s="14"/>
      <c r="I30" s="2"/>
      <c r="O30" s="13"/>
    </row>
    <row r="31" spans="1:15">
      <c r="A31" s="23"/>
      <c r="B31" s="20" t="str">
        <f>"黄金"&amp;" , "&amp;TEXT(SUM(E31:E31),"0.00%")</f>
        <v>黄金 , 0.53%</v>
      </c>
      <c r="C31" s="20" t="str">
        <f>"黄金"&amp;" , "&amp;TEXT(SUM(E31:E31),"0.00%")</f>
        <v>黄金 , 0.53%</v>
      </c>
      <c r="D31" s="10" t="s">
        <v>32</v>
      </c>
      <c r="E31" s="11">
        <f t="shared" si="1"/>
        <v>5.3175389356667222E-3</v>
      </c>
      <c r="F31" s="2">
        <f t="shared" si="0"/>
        <v>417.42</v>
      </c>
      <c r="G31" s="2">
        <v>417.42</v>
      </c>
      <c r="H31" s="2"/>
      <c r="I31" s="2"/>
      <c r="N31" s="12"/>
      <c r="O31" s="12"/>
    </row>
    <row r="32" spans="1:15">
      <c r="A32" s="23" t="str">
        <f>"债券"&amp;" , "&amp;TEXT(SUM(E32:E34),"0.00%")</f>
        <v>债券 , 4.70%</v>
      </c>
      <c r="B32" s="23" t="str">
        <f>"国内债券"&amp;" , "&amp;TEXT(SUM(E32:E34),"0.00%")</f>
        <v>国内债券 , 4.70%</v>
      </c>
      <c r="C32" s="23" t="str">
        <f>"可转债"&amp;" , "&amp;TEXT(SUM(E32:E34),"0.00%")</f>
        <v>可转债 , 4.70%</v>
      </c>
      <c r="D32" s="10" t="s">
        <v>18</v>
      </c>
      <c r="E32" s="11">
        <f t="shared" si="1"/>
        <v>2.153461865365448E-2</v>
      </c>
      <c r="F32" s="2">
        <f t="shared" si="0"/>
        <v>1690.44</v>
      </c>
      <c r="G32" s="2">
        <v>1690.44</v>
      </c>
      <c r="H32" s="2"/>
      <c r="I32" s="2"/>
      <c r="O32" s="13"/>
    </row>
    <row r="33" spans="1:16">
      <c r="A33" s="23"/>
      <c r="B33" s="23"/>
      <c r="C33" s="23"/>
      <c r="D33" s="10" t="s">
        <v>19</v>
      </c>
      <c r="E33" s="11">
        <f t="shared" si="1"/>
        <v>5.3320614654608382E-3</v>
      </c>
      <c r="F33" s="2">
        <f t="shared" si="0"/>
        <v>418.56</v>
      </c>
      <c r="G33" s="2">
        <v>418.56</v>
      </c>
      <c r="H33" s="2"/>
      <c r="I33" s="2"/>
      <c r="N33" s="12"/>
      <c r="O33" s="12"/>
    </row>
    <row r="34" spans="1:16">
      <c r="A34" s="23"/>
      <c r="B34" s="23"/>
      <c r="C34" s="23"/>
      <c r="D34" s="10" t="s">
        <v>20</v>
      </c>
      <c r="E34" s="11">
        <f t="shared" si="1"/>
        <v>2.0089117376690984E-2</v>
      </c>
      <c r="F34" s="2">
        <f t="shared" si="0"/>
        <v>1576.97</v>
      </c>
      <c r="G34" s="2">
        <v>1576.97</v>
      </c>
      <c r="H34" s="8"/>
      <c r="I34" s="2"/>
      <c r="O34" s="13"/>
    </row>
    <row r="35" spans="1:16">
      <c r="A35" s="20" t="str">
        <f>"现金"&amp;" , "&amp;TEXT(SUM(E35:E35),"0.00%")</f>
        <v>现金 , 22.04%</v>
      </c>
      <c r="B35" s="10" t="str">
        <f>"低风险理财"&amp;" , "&amp;TEXT(SUM(E35:E35),"0.00%")</f>
        <v>低风险理财 , 22.04%</v>
      </c>
      <c r="C35" s="20" t="str">
        <f>"货币基金"&amp;" , "&amp;TEXT(SUM(E35:E35),"0.00%")</f>
        <v>货币基金 , 22.04%</v>
      </c>
      <c r="D35" s="10" t="s">
        <v>21</v>
      </c>
      <c r="E35" s="11">
        <f t="shared" si="1"/>
        <v>0.22038575915632763</v>
      </c>
      <c r="F35" s="2">
        <f t="shared" si="0"/>
        <v>17300</v>
      </c>
      <c r="G35" s="2">
        <v>17300</v>
      </c>
      <c r="H35" s="8"/>
      <c r="I35" s="8"/>
      <c r="N35" s="12"/>
      <c r="O35" s="12"/>
    </row>
    <row r="36" spans="1:16">
      <c r="D36" s="8" t="s">
        <v>4</v>
      </c>
      <c r="E36" s="13">
        <f>SUM(E2:E35)</f>
        <v>1.0000000000000002</v>
      </c>
      <c r="F36" s="2">
        <f>SUM(F2:F35)</f>
        <v>78498.720000000001</v>
      </c>
      <c r="I36" s="8"/>
      <c r="P36" s="13"/>
    </row>
    <row r="37" spans="1:16">
      <c r="D37" s="8" t="s">
        <v>5</v>
      </c>
      <c r="E37" s="15">
        <f>F36/$K$2-1</f>
        <v>2.6525860765777232E-2</v>
      </c>
      <c r="O37" s="12"/>
    </row>
    <row r="38" spans="1:16">
      <c r="C38" s="2"/>
      <c r="P38" s="13"/>
    </row>
    <row r="39" spans="1:16">
      <c r="A39" s="16"/>
      <c r="B39" s="8"/>
      <c r="C39" s="2"/>
      <c r="O39" s="12"/>
    </row>
    <row r="40" spans="1:16">
      <c r="C40" s="2"/>
      <c r="D40" s="8"/>
      <c r="E40" s="8"/>
      <c r="F40" s="8"/>
      <c r="P40" s="13"/>
    </row>
    <row r="41" spans="1:16">
      <c r="C41" s="2"/>
      <c r="D41" s="1"/>
      <c r="E41" s="1"/>
      <c r="F41" s="1"/>
    </row>
    <row r="42" spans="1:16">
      <c r="C42" s="2"/>
      <c r="D42" s="1"/>
      <c r="E42" s="1"/>
      <c r="F42" s="1"/>
    </row>
    <row r="43" spans="1:16">
      <c r="A43" s="8"/>
      <c r="B43" s="2"/>
      <c r="C43" s="2"/>
      <c r="D43" s="1"/>
      <c r="E43" s="1"/>
      <c r="F43" s="1"/>
    </row>
    <row r="44" spans="1:16">
      <c r="A44" s="8"/>
      <c r="B44" s="2"/>
      <c r="C44" s="2"/>
      <c r="D44" s="1"/>
      <c r="E44" s="1"/>
      <c r="F44" s="1"/>
    </row>
    <row r="45" spans="1:16">
      <c r="A45" s="8"/>
      <c r="B45" s="2"/>
      <c r="C45" s="2"/>
      <c r="D45" s="1"/>
      <c r="E45" s="1"/>
      <c r="F45" s="1"/>
    </row>
    <row r="46" spans="1:16">
      <c r="A46" s="8"/>
      <c r="B46" s="2"/>
      <c r="C46" s="2"/>
      <c r="D46" s="1"/>
      <c r="E46" s="1"/>
      <c r="F46" s="1"/>
    </row>
    <row r="47" spans="1:16">
      <c r="A47" s="8"/>
      <c r="B47" s="2"/>
      <c r="C47" s="2"/>
      <c r="D47" s="1"/>
      <c r="E47" s="1"/>
      <c r="F47" s="1"/>
    </row>
    <row r="48" spans="1:16">
      <c r="A48" s="8"/>
      <c r="B48" s="2"/>
      <c r="C48" s="2"/>
      <c r="D48" s="1"/>
      <c r="E48" s="1"/>
      <c r="F48" s="1"/>
    </row>
    <row r="49" spans="1:6">
      <c r="A49" s="8"/>
      <c r="B49" s="2"/>
      <c r="C49" s="2"/>
      <c r="D49" s="1"/>
      <c r="E49" s="1"/>
      <c r="F49" s="1"/>
    </row>
    <row r="50" spans="1:6">
      <c r="A50" s="8"/>
      <c r="B50" s="2"/>
      <c r="C50" s="2"/>
      <c r="D50" s="1"/>
      <c r="E50" s="1"/>
      <c r="F50" s="1"/>
    </row>
    <row r="51" spans="1:6">
      <c r="A51" s="8"/>
      <c r="B51" s="2"/>
      <c r="C51" s="2"/>
      <c r="D51" s="1"/>
      <c r="E51" s="1"/>
      <c r="F51" s="1"/>
    </row>
    <row r="52" spans="1:6">
      <c r="A52" s="8"/>
      <c r="B52" s="2"/>
      <c r="C52" s="2"/>
      <c r="D52" s="1"/>
      <c r="E52" s="1"/>
      <c r="F52" s="1"/>
    </row>
    <row r="53" spans="1:6">
      <c r="A53" s="8"/>
      <c r="B53" s="2"/>
      <c r="C53" s="2"/>
      <c r="D53" s="1"/>
      <c r="E53" s="1"/>
      <c r="F53" s="1"/>
    </row>
    <row r="54" spans="1:6">
      <c r="A54" s="8"/>
      <c r="B54" s="2"/>
      <c r="C54" s="2"/>
      <c r="D54" s="1"/>
      <c r="E54" s="1"/>
      <c r="F54" s="1"/>
    </row>
    <row r="55" spans="1:6">
      <c r="A55" s="8"/>
      <c r="B55" s="2"/>
      <c r="C55" s="2"/>
      <c r="D55" s="1"/>
      <c r="E55" s="1"/>
      <c r="F55" s="1"/>
    </row>
    <row r="56" spans="1:6">
      <c r="A56" s="8"/>
      <c r="B56" s="2"/>
      <c r="C56" s="2"/>
      <c r="D56" s="1"/>
      <c r="E56" s="1"/>
      <c r="F56" s="1"/>
    </row>
    <row r="57" spans="1:6">
      <c r="A57" s="8"/>
      <c r="B57" s="2"/>
      <c r="C57" s="2"/>
      <c r="D57" s="1"/>
      <c r="E57" s="1"/>
      <c r="F57" s="1"/>
    </row>
    <row r="58" spans="1:6">
      <c r="A58" s="8"/>
      <c r="B58" s="2"/>
      <c r="C58" s="4"/>
      <c r="D58" s="1"/>
      <c r="E58" s="1"/>
      <c r="F58" s="1"/>
    </row>
    <row r="59" spans="1:6">
      <c r="A59" s="8"/>
      <c r="B59" s="2"/>
      <c r="D59" s="1"/>
      <c r="E59" s="1"/>
      <c r="F59" s="1"/>
    </row>
    <row r="60" spans="1:6">
      <c r="A60" s="8"/>
      <c r="B60" s="2"/>
      <c r="D60" s="1"/>
      <c r="E60" s="1"/>
      <c r="F60" s="1"/>
    </row>
    <row r="61" spans="1:6">
      <c r="A61" s="8"/>
      <c r="B61" s="7"/>
      <c r="D61" s="1"/>
      <c r="E61" s="1"/>
      <c r="F61" s="1"/>
    </row>
    <row r="62" spans="1:6">
      <c r="A62" s="8"/>
      <c r="B62" s="8"/>
      <c r="C62" s="8"/>
      <c r="D62" s="1"/>
      <c r="E62" s="1"/>
      <c r="F62" s="1"/>
    </row>
    <row r="63" spans="1:6">
      <c r="A63" s="8"/>
      <c r="B63" s="8"/>
      <c r="C63" s="2"/>
      <c r="D63" s="1"/>
      <c r="E63" s="1"/>
      <c r="F63" s="1"/>
    </row>
    <row r="64" spans="1:6">
      <c r="A64" s="8"/>
      <c r="B64" s="8"/>
      <c r="C64" s="2"/>
      <c r="D64" s="1"/>
      <c r="E64" s="1"/>
      <c r="F64" s="1"/>
    </row>
    <row r="65" spans="1:5">
      <c r="A65" s="8"/>
      <c r="C65" s="2"/>
      <c r="D65" s="3"/>
      <c r="E65" s="8"/>
    </row>
    <row r="66" spans="1:5">
      <c r="C66" s="2"/>
    </row>
    <row r="67" spans="1:5">
      <c r="C67" s="2"/>
    </row>
    <row r="68" spans="1:5">
      <c r="B68" s="8"/>
      <c r="C68" s="2"/>
    </row>
    <row r="69" spans="1:5">
      <c r="A69" s="8"/>
      <c r="B69" s="8"/>
      <c r="C69" s="2"/>
      <c r="D69" s="8"/>
    </row>
    <row r="70" spans="1:5">
      <c r="A70" s="8"/>
      <c r="B70" s="8"/>
      <c r="C70" s="2"/>
      <c r="D70" s="1"/>
    </row>
    <row r="71" spans="1:5">
      <c r="A71" s="8"/>
      <c r="B71" s="8"/>
      <c r="C71" s="2"/>
      <c r="D71" s="1"/>
    </row>
    <row r="72" spans="1:5">
      <c r="A72" s="8"/>
      <c r="B72" s="8"/>
      <c r="C72" s="2"/>
      <c r="D72" s="1"/>
    </row>
    <row r="73" spans="1:5">
      <c r="A73" s="8"/>
      <c r="B73" s="8"/>
      <c r="C73" s="2"/>
      <c r="D73" s="1"/>
    </row>
    <row r="74" spans="1:5">
      <c r="A74" s="8"/>
      <c r="B74" s="8"/>
      <c r="C74" s="2"/>
      <c r="D74" s="1"/>
    </row>
    <row r="75" spans="1:5">
      <c r="A75" s="8"/>
      <c r="B75" s="8"/>
      <c r="C75" s="2"/>
      <c r="D75" s="1"/>
    </row>
    <row r="76" spans="1:5">
      <c r="A76" s="8"/>
      <c r="B76" s="8"/>
      <c r="C76" s="2"/>
      <c r="D76" s="1"/>
    </row>
    <row r="77" spans="1:5">
      <c r="A77" s="8"/>
      <c r="B77" s="8"/>
      <c r="C77" s="2"/>
      <c r="D77" s="1"/>
    </row>
    <row r="78" spans="1:5">
      <c r="A78" s="8"/>
      <c r="B78" s="8"/>
      <c r="C78" s="5"/>
      <c r="D78" s="1"/>
    </row>
    <row r="79" spans="1:5">
      <c r="A79" s="8"/>
      <c r="B79" s="8"/>
      <c r="C79" s="2"/>
      <c r="D79" s="1"/>
    </row>
    <row r="80" spans="1:5">
      <c r="A80" s="8"/>
      <c r="B80" s="8"/>
      <c r="C80" s="2"/>
      <c r="D80" s="1"/>
    </row>
    <row r="81" spans="1:4">
      <c r="A81" s="8"/>
      <c r="B81" s="8"/>
      <c r="C81" s="2"/>
      <c r="D81" s="1"/>
    </row>
    <row r="82" spans="1:4">
      <c r="A82" s="8"/>
      <c r="B82" s="17"/>
      <c r="C82" s="2"/>
      <c r="D82" s="1"/>
    </row>
    <row r="83" spans="1:4">
      <c r="A83" s="17"/>
      <c r="B83" s="8"/>
      <c r="C83" s="2"/>
      <c r="D83" s="1"/>
    </row>
    <row r="84" spans="1:4">
      <c r="A84" s="8"/>
      <c r="B84" s="8"/>
      <c r="C84" s="2"/>
      <c r="D84" s="1"/>
    </row>
    <row r="85" spans="1:4">
      <c r="A85" s="8"/>
      <c r="B85" s="8"/>
      <c r="C85" s="2"/>
      <c r="D85" s="1"/>
    </row>
    <row r="86" spans="1:4">
      <c r="A86" s="8"/>
      <c r="B86" s="8"/>
      <c r="C86" s="2"/>
      <c r="D86" s="1"/>
    </row>
    <row r="87" spans="1:4">
      <c r="A87" s="8"/>
      <c r="B87" s="8"/>
      <c r="C87" s="2"/>
      <c r="D87" s="1"/>
    </row>
    <row r="88" spans="1:4">
      <c r="A88" s="8"/>
      <c r="B88" s="8"/>
      <c r="C88" s="2"/>
      <c r="D88" s="1"/>
    </row>
    <row r="89" spans="1:4">
      <c r="A89" s="8"/>
      <c r="B89" s="8"/>
      <c r="C89" s="2"/>
      <c r="D89" s="1"/>
    </row>
    <row r="90" spans="1:4">
      <c r="A90" s="8"/>
      <c r="B90" s="8"/>
      <c r="C90" s="2"/>
      <c r="D90" s="1"/>
    </row>
    <row r="91" spans="1:4">
      <c r="A91" s="8"/>
      <c r="B91" s="8"/>
      <c r="C91" s="2"/>
      <c r="D91" s="1"/>
    </row>
    <row r="92" spans="1:4">
      <c r="A92" s="8"/>
      <c r="B92" s="8"/>
      <c r="C92" s="2"/>
      <c r="D92" s="1"/>
    </row>
    <row r="93" spans="1:4">
      <c r="A93" s="8"/>
      <c r="B93" s="8"/>
      <c r="D93" s="1"/>
    </row>
    <row r="94" spans="1:4">
      <c r="A94" s="8"/>
      <c r="B94" s="8"/>
      <c r="D94" s="1"/>
    </row>
    <row r="95" spans="1:4">
      <c r="A95" s="8"/>
      <c r="B95" s="8"/>
      <c r="D95" s="1"/>
    </row>
    <row r="96" spans="1:4">
      <c r="A96" s="8"/>
      <c r="B96" s="8"/>
      <c r="D96" s="1"/>
    </row>
    <row r="97" spans="1:4">
      <c r="A97" s="8"/>
      <c r="B97" s="8"/>
      <c r="D97" s="1"/>
    </row>
    <row r="98" spans="1:4">
      <c r="A98" s="8"/>
      <c r="D98" s="1"/>
    </row>
    <row r="99" spans="1:4">
      <c r="D99" s="6"/>
    </row>
  </sheetData>
  <mergeCells count="15">
    <mergeCell ref="B11:B17"/>
    <mergeCell ref="A30:A31"/>
    <mergeCell ref="B2:B4"/>
    <mergeCell ref="B5:B9"/>
    <mergeCell ref="B18:B26"/>
    <mergeCell ref="A27:A28"/>
    <mergeCell ref="A2:A26"/>
    <mergeCell ref="A32:A34"/>
    <mergeCell ref="B32:B34"/>
    <mergeCell ref="C32:C34"/>
    <mergeCell ref="C5:C6"/>
    <mergeCell ref="C8:C9"/>
    <mergeCell ref="C24:C25"/>
    <mergeCell ref="C3:C4"/>
    <mergeCell ref="C21:C22"/>
  </mergeCells>
  <phoneticPr fontId="2" type="noConversion"/>
  <conditionalFormatting sqref="F41:F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41:E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资产配置情况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2019-06-07T04:50:07Z</dcterms:modified>
</cp:coreProperties>
</file>