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09DFE3D7-4AEF-47DE-BBBB-DE70C163C2D9}" xr6:coauthVersionLast="43" xr6:coauthVersionMax="43" xr10:uidLastSave="{00000000-0000-0000-0000-000000000000}"/>
  <bookViews>
    <workbookView xWindow="-120" yWindow="-120" windowWidth="38640" windowHeight="21240" tabRatio="711" activeTab="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交易明细!$A$1:$W$133</definedName>
    <definedName name="_xlchart.v1.0" hidden="1">资产配置情况!$A$2:$D$32</definedName>
    <definedName name="_xlchart.v1.1" hidden="1">资产配置情况!$E$2:$E$32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1" l="1"/>
  <c r="K125" i="1" l="1"/>
  <c r="J125" i="1"/>
  <c r="K132" i="1"/>
  <c r="J132" i="1"/>
  <c r="J137" i="1"/>
  <c r="J144" i="1"/>
  <c r="K131" i="1"/>
  <c r="J131" i="1"/>
  <c r="H31" i="11"/>
  <c r="C92" i="11" l="1"/>
  <c r="C93" i="11"/>
  <c r="C91" i="11"/>
  <c r="C81" i="11"/>
  <c r="Q6" i="1" l="1"/>
  <c r="K129" i="1"/>
  <c r="J129" i="1"/>
  <c r="K127" i="1"/>
  <c r="J127" i="1"/>
  <c r="V29" i="1" l="1"/>
  <c r="I124" i="1" s="1"/>
  <c r="K124" i="1" s="1"/>
  <c r="T29" i="1"/>
  <c r="H124" i="1" s="1"/>
  <c r="J124" i="1" s="1"/>
  <c r="C80" i="11"/>
  <c r="B80" i="11"/>
  <c r="A80" i="11"/>
  <c r="F16" i="12"/>
  <c r="F5" i="11" l="1"/>
  <c r="F3" i="11" l="1"/>
  <c r="F4" i="11"/>
  <c r="F6" i="11"/>
  <c r="C40" i="11" s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39" i="11" l="1"/>
  <c r="C47" i="11"/>
  <c r="C45" i="11"/>
  <c r="C42" i="11"/>
  <c r="C57" i="11"/>
  <c r="C88" i="11"/>
  <c r="W32" i="1"/>
  <c r="W33" i="1"/>
  <c r="W31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I98" i="1" l="1"/>
  <c r="I106" i="1"/>
  <c r="I86" i="1"/>
  <c r="H86" i="1"/>
  <c r="H98" i="1"/>
  <c r="H97" i="1"/>
  <c r="H107" i="1"/>
  <c r="H106" i="1"/>
  <c r="I97" i="1"/>
  <c r="I107" i="1"/>
  <c r="B60" i="11"/>
  <c r="B61" i="11"/>
  <c r="F32" i="11"/>
  <c r="K123" i="1"/>
  <c r="J123" i="1"/>
  <c r="F30" i="11"/>
  <c r="C61" i="11" l="1"/>
  <c r="AB32" i="10"/>
  <c r="K71" i="10" s="1"/>
  <c r="AA32" i="10"/>
  <c r="Y32" i="10"/>
  <c r="J70" i="10" s="1"/>
  <c r="X32" i="10"/>
  <c r="V32" i="10"/>
  <c r="I69" i="10" s="1"/>
  <c r="U32" i="10"/>
  <c r="S32" i="10"/>
  <c r="H68" i="10" s="1"/>
  <c r="R32" i="10"/>
  <c r="P32" i="10"/>
  <c r="G67" i="10" s="1"/>
  <c r="O32" i="10"/>
  <c r="M32" i="10"/>
  <c r="F66" i="10" s="1"/>
  <c r="L32" i="10"/>
  <c r="J32" i="10"/>
  <c r="E65" i="10" s="1"/>
  <c r="I32" i="10"/>
  <c r="G32" i="10"/>
  <c r="D64" i="10" s="1"/>
  <c r="F32" i="10"/>
  <c r="D32" i="10"/>
  <c r="C63" i="10" s="1"/>
  <c r="C32" i="10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A37" i="10"/>
  <c r="A62" i="10" s="1"/>
  <c r="A38" i="10"/>
  <c r="A63" i="10" s="1"/>
  <c r="A39" i="10"/>
  <c r="A64" i="10" s="1"/>
  <c r="A40" i="10"/>
  <c r="A65" i="10" s="1"/>
  <c r="A41" i="10"/>
  <c r="A66" i="10" s="1"/>
  <c r="A42" i="10"/>
  <c r="A67" i="10" s="1"/>
  <c r="A43" i="10"/>
  <c r="A68" i="10" s="1"/>
  <c r="A44" i="10"/>
  <c r="A69" i="10" s="1"/>
  <c r="A45" i="10"/>
  <c r="A70" i="10" s="1"/>
  <c r="A46" i="10"/>
  <c r="A71" i="10" s="1"/>
  <c r="A47" i="10"/>
  <c r="A72" i="10" s="1"/>
  <c r="A48" i="10"/>
  <c r="A73" i="10" s="1"/>
  <c r="A49" i="10"/>
  <c r="A74" i="10" s="1"/>
  <c r="A50" i="10"/>
  <c r="A75" i="10" s="1"/>
  <c r="A51" i="10"/>
  <c r="A76" i="10" s="1"/>
  <c r="A52" i="10"/>
  <c r="A77" i="10" s="1"/>
  <c r="A53" i="10"/>
  <c r="A78" i="10" s="1"/>
  <c r="A54" i="10"/>
  <c r="A79" i="10" s="1"/>
  <c r="A55" i="10"/>
  <c r="A80" i="10" s="1"/>
  <c r="A56" i="10"/>
  <c r="A81" i="10" s="1"/>
  <c r="A36" i="10"/>
  <c r="A61" i="10" s="1"/>
  <c r="D30" i="10"/>
  <c r="C37" i="10" s="1"/>
  <c r="L2" i="10"/>
  <c r="K2" i="10"/>
  <c r="J2" i="10"/>
  <c r="I2" i="10"/>
  <c r="H2" i="10"/>
  <c r="G2" i="10"/>
  <c r="F2" i="10"/>
  <c r="E2" i="10"/>
  <c r="D2" i="10"/>
  <c r="C2" i="10"/>
  <c r="B106" i="7"/>
  <c r="T32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30" i="1"/>
  <c r="B12" i="7" s="1"/>
  <c r="A81" i="7" s="1"/>
  <c r="Z31" i="1"/>
  <c r="Z25" i="1"/>
  <c r="B14" i="7" s="1"/>
  <c r="A91" i="7" s="1"/>
  <c r="Z33" i="1"/>
  <c r="B15" i="7" s="1"/>
  <c r="A96" i="7" s="1"/>
  <c r="Z34" i="1"/>
  <c r="B16" i="7" s="1"/>
  <c r="A101" i="7" s="1"/>
  <c r="Z32" i="1"/>
  <c r="B17" i="7" s="1"/>
  <c r="A106" i="7" s="1"/>
  <c r="Z37" i="1"/>
  <c r="B19" i="7" s="1"/>
  <c r="G25" i="7" s="1"/>
  <c r="G27" i="7" s="1"/>
  <c r="Z40" i="1"/>
  <c r="B18" i="7" s="1"/>
  <c r="A111" i="7" s="1"/>
  <c r="Z36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H128" i="1" s="1"/>
  <c r="J128" i="1" s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H133" i="1" s="1"/>
  <c r="J133" i="1" s="1"/>
  <c r="J17" i="1"/>
  <c r="J19" i="1"/>
  <c r="T27" i="1"/>
  <c r="H21" i="1" s="1"/>
  <c r="J21" i="1" s="1"/>
  <c r="T28" i="1"/>
  <c r="H62" i="1" s="1"/>
  <c r="J62" i="1" s="1"/>
  <c r="T19" i="1"/>
  <c r="H134" i="1" s="1"/>
  <c r="J134" i="1" s="1"/>
  <c r="J33" i="1"/>
  <c r="T26" i="1"/>
  <c r="H35" i="1" s="1"/>
  <c r="J35" i="1" s="1"/>
  <c r="J36" i="1"/>
  <c r="J39" i="1"/>
  <c r="T25" i="1"/>
  <c r="H40" i="1" s="1"/>
  <c r="J40" i="1" s="1"/>
  <c r="J43" i="1"/>
  <c r="T31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T30" i="1"/>
  <c r="J100" i="1"/>
  <c r="J101" i="1"/>
  <c r="J103" i="1"/>
  <c r="J106" i="1"/>
  <c r="J108" i="1"/>
  <c r="J109" i="1"/>
  <c r="T33" i="1"/>
  <c r="H110" i="1" s="1"/>
  <c r="J110" i="1" s="1"/>
  <c r="X33" i="1" s="1"/>
  <c r="D15" i="7" s="1"/>
  <c r="F15" i="7" s="1"/>
  <c r="J111" i="1"/>
  <c r="J112" i="1"/>
  <c r="J114" i="1"/>
  <c r="J117" i="1"/>
  <c r="J118" i="1"/>
  <c r="J120" i="1"/>
  <c r="J146" i="1"/>
  <c r="J147" i="1"/>
  <c r="J149" i="1"/>
  <c r="J150" i="1"/>
  <c r="Q4" i="1"/>
  <c r="S4" i="1" s="1"/>
  <c r="T4" i="1" s="1"/>
  <c r="Q5" i="1"/>
  <c r="S5" i="1" s="1"/>
  <c r="T5" i="1" s="1"/>
  <c r="S6" i="1"/>
  <c r="J152" i="1"/>
  <c r="J153" i="1"/>
  <c r="J154" i="1"/>
  <c r="J156" i="1"/>
  <c r="J157" i="1"/>
  <c r="B35" i="7"/>
  <c r="B40" i="7"/>
  <c r="B45" i="7"/>
  <c r="B50" i="7"/>
  <c r="B55" i="7"/>
  <c r="B60" i="7"/>
  <c r="B65" i="7"/>
  <c r="B70" i="7"/>
  <c r="B75" i="7"/>
  <c r="B80" i="7"/>
  <c r="V31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2" i="1"/>
  <c r="I122" i="1" s="1"/>
  <c r="K122" i="1" s="1"/>
  <c r="V33" i="1"/>
  <c r="I110" i="1" s="1"/>
  <c r="K110" i="1" s="1"/>
  <c r="Y33" i="1" s="1"/>
  <c r="V30" i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K17" i="1"/>
  <c r="K19" i="1"/>
  <c r="V27" i="1"/>
  <c r="I21" i="1" s="1"/>
  <c r="K21" i="1" s="1"/>
  <c r="V28" i="1"/>
  <c r="I62" i="1" s="1"/>
  <c r="K62" i="1" s="1"/>
  <c r="V19" i="1"/>
  <c r="K33" i="1"/>
  <c r="V26" i="1"/>
  <c r="I54" i="1" s="1"/>
  <c r="K54" i="1" s="1"/>
  <c r="K36" i="1"/>
  <c r="K39" i="1"/>
  <c r="K43" i="1"/>
  <c r="V15" i="1"/>
  <c r="I128" i="1" s="1"/>
  <c r="K128" i="1" s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2" i="11"/>
  <c r="C83" i="11"/>
  <c r="C84" i="11"/>
  <c r="C86" i="11"/>
  <c r="C87" i="11"/>
  <c r="C89" i="11"/>
  <c r="C90" i="11"/>
  <c r="C94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B66" i="11"/>
  <c r="A66" i="11"/>
  <c r="F11" i="12"/>
  <c r="F27" i="12"/>
  <c r="F28" i="12"/>
  <c r="F29" i="12"/>
  <c r="F30" i="12"/>
  <c r="F26" i="12"/>
  <c r="F19" i="12"/>
  <c r="F20" i="12"/>
  <c r="F21" i="12"/>
  <c r="F22" i="12"/>
  <c r="F23" i="12"/>
  <c r="F24" i="12"/>
  <c r="F25" i="12"/>
  <c r="F18" i="12"/>
  <c r="F17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F31" i="1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A62" i="11"/>
  <c r="K2" i="11"/>
  <c r="E59" i="11" s="1"/>
  <c r="S49" i="1"/>
  <c r="S50" i="1" s="1"/>
  <c r="T62" i="1"/>
  <c r="R50" i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Z35" i="1"/>
  <c r="Z41" i="1"/>
  <c r="Z42" i="1"/>
  <c r="G30" i="10"/>
  <c r="D37" i="10" s="1"/>
  <c r="J30" i="10"/>
  <c r="E38" i="10" s="1"/>
  <c r="M30" i="10"/>
  <c r="F39" i="10" s="1"/>
  <c r="P30" i="10"/>
  <c r="G39" i="10" s="1"/>
  <c r="S30" i="10"/>
  <c r="H36" i="10" s="1"/>
  <c r="V30" i="10"/>
  <c r="I37" i="10" s="1"/>
  <c r="Y30" i="10"/>
  <c r="J37" i="10" s="1"/>
  <c r="AB30" i="10"/>
  <c r="L39" i="10" s="1"/>
  <c r="D35" i="10"/>
  <c r="D60" i="10" s="1"/>
  <c r="E35" i="10"/>
  <c r="E60" i="10" s="1"/>
  <c r="F35" i="10"/>
  <c r="F60" i="10" s="1"/>
  <c r="G35" i="10"/>
  <c r="G60" i="10" s="1"/>
  <c r="H35" i="10"/>
  <c r="H60" i="10" s="1"/>
  <c r="I35" i="10"/>
  <c r="I60" i="10" s="1"/>
  <c r="J35" i="10"/>
  <c r="J60" i="10" s="1"/>
  <c r="K35" i="10"/>
  <c r="K60" i="10" s="1"/>
  <c r="L35" i="10"/>
  <c r="L60" i="10" s="1"/>
  <c r="C35" i="10"/>
  <c r="C60" i="10" s="1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I32" i="1" l="1"/>
  <c r="K32" i="1" s="1"/>
  <c r="I134" i="1"/>
  <c r="K134" i="1" s="1"/>
  <c r="I12" i="1"/>
  <c r="K12" i="1" s="1"/>
  <c r="I133" i="1"/>
  <c r="K133" i="1" s="1"/>
  <c r="I99" i="1"/>
  <c r="K99" i="1" s="1"/>
  <c r="Y30" i="1" s="1"/>
  <c r="I126" i="1"/>
  <c r="K126" i="1" s="1"/>
  <c r="H99" i="1"/>
  <c r="J99" i="1" s="1"/>
  <c r="X30" i="1" s="1"/>
  <c r="D12" i="7" s="1"/>
  <c r="H126" i="1"/>
  <c r="J126" i="1" s="1"/>
  <c r="J46" i="10"/>
  <c r="J48" i="10"/>
  <c r="D48" i="10"/>
  <c r="G44" i="10"/>
  <c r="J42" i="10"/>
  <c r="D42" i="10"/>
  <c r="G40" i="10"/>
  <c r="J38" i="10"/>
  <c r="D38" i="10"/>
  <c r="G36" i="10"/>
  <c r="L73" i="10"/>
  <c r="K72" i="10"/>
  <c r="J71" i="10"/>
  <c r="I70" i="10"/>
  <c r="H69" i="10"/>
  <c r="G68" i="10"/>
  <c r="F67" i="10"/>
  <c r="E66" i="10"/>
  <c r="D65" i="10"/>
  <c r="C64" i="10"/>
  <c r="I46" i="10"/>
  <c r="H47" i="10"/>
  <c r="H45" i="10"/>
  <c r="K43" i="10"/>
  <c r="E43" i="10"/>
  <c r="H41" i="10"/>
  <c r="K39" i="10"/>
  <c r="E39" i="10"/>
  <c r="H37" i="10"/>
  <c r="C61" i="10"/>
  <c r="K73" i="10"/>
  <c r="J72" i="10"/>
  <c r="I71" i="10"/>
  <c r="H70" i="10"/>
  <c r="G69" i="10"/>
  <c r="F68" i="10"/>
  <c r="E67" i="10"/>
  <c r="D66" i="10"/>
  <c r="C65" i="10"/>
  <c r="L62" i="10"/>
  <c r="H46" i="10"/>
  <c r="I48" i="10"/>
  <c r="C48" i="10"/>
  <c r="C46" i="10"/>
  <c r="L44" i="10"/>
  <c r="F44" i="10"/>
  <c r="I42" i="10"/>
  <c r="C42" i="10"/>
  <c r="L40" i="10"/>
  <c r="F40" i="10"/>
  <c r="I38" i="10"/>
  <c r="C38" i="10"/>
  <c r="L36" i="10"/>
  <c r="F36" i="10"/>
  <c r="D61" i="10"/>
  <c r="J73" i="10"/>
  <c r="I72" i="10"/>
  <c r="H71" i="10"/>
  <c r="G70" i="10"/>
  <c r="F69" i="10"/>
  <c r="E68" i="10"/>
  <c r="D67" i="10"/>
  <c r="C66" i="10"/>
  <c r="L63" i="10"/>
  <c r="K62" i="10"/>
  <c r="G46" i="10"/>
  <c r="G47" i="10"/>
  <c r="G45" i="10"/>
  <c r="J43" i="10"/>
  <c r="D43" i="10"/>
  <c r="G41" i="10"/>
  <c r="J39" i="10"/>
  <c r="D39" i="10"/>
  <c r="G37" i="10"/>
  <c r="E61" i="10"/>
  <c r="I73" i="10"/>
  <c r="H72" i="10"/>
  <c r="G71" i="10"/>
  <c r="F70" i="10"/>
  <c r="E69" i="10"/>
  <c r="D68" i="10"/>
  <c r="C67" i="10"/>
  <c r="L64" i="10"/>
  <c r="K63" i="10"/>
  <c r="J62" i="10"/>
  <c r="F46" i="10"/>
  <c r="H48" i="10"/>
  <c r="K44" i="10"/>
  <c r="E44" i="10"/>
  <c r="H42" i="10"/>
  <c r="K40" i="10"/>
  <c r="E40" i="10"/>
  <c r="H38" i="10"/>
  <c r="K36" i="10"/>
  <c r="E36" i="10"/>
  <c r="F61" i="10"/>
  <c r="H73" i="10"/>
  <c r="G72" i="10"/>
  <c r="F71" i="10"/>
  <c r="E70" i="10"/>
  <c r="D69" i="10"/>
  <c r="C68" i="10"/>
  <c r="L65" i="10"/>
  <c r="K64" i="10"/>
  <c r="J63" i="10"/>
  <c r="I62" i="10"/>
  <c r="E46" i="10"/>
  <c r="L47" i="10"/>
  <c r="F47" i="10"/>
  <c r="L45" i="10"/>
  <c r="F45" i="10"/>
  <c r="I43" i="10"/>
  <c r="C43" i="10"/>
  <c r="L41" i="10"/>
  <c r="F41" i="10"/>
  <c r="I39" i="10"/>
  <c r="C39" i="10"/>
  <c r="L37" i="10"/>
  <c r="F37" i="10"/>
  <c r="G61" i="10"/>
  <c r="G73" i="10"/>
  <c r="F72" i="10"/>
  <c r="E71" i="10"/>
  <c r="D70" i="10"/>
  <c r="C69" i="10"/>
  <c r="L66" i="10"/>
  <c r="K65" i="10"/>
  <c r="J64" i="10"/>
  <c r="I63" i="10"/>
  <c r="H62" i="10"/>
  <c r="D46" i="10"/>
  <c r="G48" i="10"/>
  <c r="J44" i="10"/>
  <c r="D44" i="10"/>
  <c r="G42" i="10"/>
  <c r="J40" i="10"/>
  <c r="D40" i="10"/>
  <c r="G38" i="10"/>
  <c r="J36" i="10"/>
  <c r="D36" i="10"/>
  <c r="H61" i="10"/>
  <c r="F73" i="10"/>
  <c r="E72" i="10"/>
  <c r="D71" i="10"/>
  <c r="C70" i="10"/>
  <c r="L67" i="10"/>
  <c r="K66" i="10"/>
  <c r="J65" i="10"/>
  <c r="I64" i="10"/>
  <c r="H63" i="10"/>
  <c r="G62" i="10"/>
  <c r="K47" i="10"/>
  <c r="E47" i="10"/>
  <c r="K45" i="10"/>
  <c r="E45" i="10"/>
  <c r="H43" i="10"/>
  <c r="K41" i="10"/>
  <c r="E41" i="10"/>
  <c r="H39" i="10"/>
  <c r="K37" i="10"/>
  <c r="E37" i="10"/>
  <c r="M37" i="10" s="1"/>
  <c r="O37" i="10" s="1"/>
  <c r="I61" i="10"/>
  <c r="E73" i="10"/>
  <c r="D72" i="10"/>
  <c r="C71" i="10"/>
  <c r="L68" i="10"/>
  <c r="K67" i="10"/>
  <c r="J66" i="10"/>
  <c r="I65" i="10"/>
  <c r="H64" i="10"/>
  <c r="G63" i="10"/>
  <c r="F62" i="10"/>
  <c r="L48" i="10"/>
  <c r="F48" i="10"/>
  <c r="I44" i="10"/>
  <c r="C44" i="10"/>
  <c r="M44" i="10" s="1"/>
  <c r="O44" i="10" s="1"/>
  <c r="L42" i="10"/>
  <c r="F42" i="10"/>
  <c r="I40" i="10"/>
  <c r="C40" i="10"/>
  <c r="L38" i="10"/>
  <c r="F38" i="10"/>
  <c r="I36" i="10"/>
  <c r="C36" i="10"/>
  <c r="J61" i="10"/>
  <c r="D73" i="10"/>
  <c r="C72" i="10"/>
  <c r="L69" i="10"/>
  <c r="K68" i="10"/>
  <c r="J67" i="10"/>
  <c r="I66" i="10"/>
  <c r="H65" i="10"/>
  <c r="G64" i="10"/>
  <c r="F63" i="10"/>
  <c r="E62" i="10"/>
  <c r="J47" i="10"/>
  <c r="D47" i="10"/>
  <c r="J45" i="10"/>
  <c r="D45" i="10"/>
  <c r="G43" i="10"/>
  <c r="J41" i="10"/>
  <c r="D41" i="10"/>
  <c r="K61" i="10"/>
  <c r="C73" i="10"/>
  <c r="L70" i="10"/>
  <c r="K69" i="10"/>
  <c r="J68" i="10"/>
  <c r="I67" i="10"/>
  <c r="H66" i="10"/>
  <c r="G65" i="10"/>
  <c r="F64" i="10"/>
  <c r="E63" i="10"/>
  <c r="D62" i="10"/>
  <c r="L46" i="10"/>
  <c r="K48" i="10"/>
  <c r="E48" i="10"/>
  <c r="H44" i="10"/>
  <c r="K42" i="10"/>
  <c r="E42" i="10"/>
  <c r="H40" i="10"/>
  <c r="K38" i="10"/>
  <c r="L61" i="10"/>
  <c r="L71" i="10"/>
  <c r="K70" i="10"/>
  <c r="J69" i="10"/>
  <c r="I68" i="10"/>
  <c r="H67" i="10"/>
  <c r="G66" i="10"/>
  <c r="F65" i="10"/>
  <c r="E64" i="10"/>
  <c r="D63" i="10"/>
  <c r="M63" i="10" s="1"/>
  <c r="O63" i="10" s="1"/>
  <c r="C62" i="10"/>
  <c r="K46" i="10"/>
  <c r="I47" i="10"/>
  <c r="C47" i="10"/>
  <c r="I45" i="10"/>
  <c r="C45" i="10"/>
  <c r="M45" i="10" s="1"/>
  <c r="O45" i="10" s="1"/>
  <c r="L43" i="10"/>
  <c r="F43" i="10"/>
  <c r="I41" i="10"/>
  <c r="C41" i="10"/>
  <c r="L72" i="10"/>
  <c r="T50" i="1"/>
  <c r="H93" i="1"/>
  <c r="J93" i="1" s="1"/>
  <c r="D61" i="11"/>
  <c r="F61" i="11"/>
  <c r="E61" i="11"/>
  <c r="F60" i="11"/>
  <c r="E60" i="11"/>
  <c r="C95" i="11"/>
  <c r="C96" i="11" s="1"/>
  <c r="F59" i="1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1" i="1"/>
  <c r="S52" i="1" s="1"/>
  <c r="T51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51" i="1" s="1"/>
  <c r="B6" i="7"/>
  <c r="B13" i="8"/>
  <c r="B8" i="7"/>
  <c r="B10" i="8"/>
  <c r="B2" i="7"/>
  <c r="Z43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62" i="11"/>
  <c r="F33" i="11"/>
  <c r="E32" i="11" s="1"/>
  <c r="M155" i="1" l="1"/>
  <c r="B56" i="11" s="1"/>
  <c r="Y29" i="1"/>
  <c r="X29" i="1"/>
  <c r="M67" i="10"/>
  <c r="O67" i="10" s="1"/>
  <c r="M71" i="10"/>
  <c r="O71" i="10" s="1"/>
  <c r="M39" i="10"/>
  <c r="O39" i="10" s="1"/>
  <c r="M46" i="10"/>
  <c r="O46" i="10" s="1"/>
  <c r="M64" i="10"/>
  <c r="O64" i="10" s="1"/>
  <c r="M47" i="10"/>
  <c r="O47" i="10" s="1"/>
  <c r="M72" i="10"/>
  <c r="O72" i="10" s="1"/>
  <c r="M48" i="10"/>
  <c r="O48" i="10" s="1"/>
  <c r="M68" i="10"/>
  <c r="O68" i="10" s="1"/>
  <c r="M61" i="10"/>
  <c r="O61" i="10" s="1"/>
  <c r="M69" i="10"/>
  <c r="O69" i="10" s="1"/>
  <c r="M43" i="10"/>
  <c r="O43" i="10" s="1"/>
  <c r="M62" i="10"/>
  <c r="O62" i="10" s="1"/>
  <c r="M36" i="10"/>
  <c r="O36" i="10" s="1"/>
  <c r="M38" i="10"/>
  <c r="O38" i="10" s="1"/>
  <c r="M66" i="10"/>
  <c r="O66" i="10" s="1"/>
  <c r="M65" i="10"/>
  <c r="O65" i="10" s="1"/>
  <c r="M41" i="10"/>
  <c r="O41" i="10" s="1"/>
  <c r="M70" i="10"/>
  <c r="O70" i="10" s="1"/>
  <c r="M73" i="10"/>
  <c r="O73" i="10" s="1"/>
  <c r="M40" i="10"/>
  <c r="O40" i="10" s="1"/>
  <c r="M42" i="10"/>
  <c r="O42" i="10" s="1"/>
  <c r="X25" i="1"/>
  <c r="D69" i="11"/>
  <c r="D80" i="11"/>
  <c r="C32" i="11"/>
  <c r="A61" i="11" s="1"/>
  <c r="B32" i="11"/>
  <c r="A32" i="11"/>
  <c r="E3" i="11"/>
  <c r="E7" i="11"/>
  <c r="C7" i="11" s="1"/>
  <c r="A41" i="11" s="1"/>
  <c r="E11" i="11"/>
  <c r="E15" i="11"/>
  <c r="E19" i="11"/>
  <c r="C19" i="11" s="1"/>
  <c r="A50" i="11" s="1"/>
  <c r="E23" i="11"/>
  <c r="E27" i="11"/>
  <c r="E31" i="11"/>
  <c r="E8" i="11"/>
  <c r="E12" i="11"/>
  <c r="E20" i="11"/>
  <c r="E24" i="11"/>
  <c r="E5" i="11"/>
  <c r="E9" i="11"/>
  <c r="E13" i="11"/>
  <c r="E17" i="11"/>
  <c r="C17" i="11" s="1"/>
  <c r="A48" i="11" s="1"/>
  <c r="E25" i="11"/>
  <c r="E4" i="11"/>
  <c r="E28" i="11"/>
  <c r="E21" i="11"/>
  <c r="E29" i="11"/>
  <c r="E6" i="11"/>
  <c r="E10" i="11"/>
  <c r="E14" i="11"/>
  <c r="C14" i="11" s="1"/>
  <c r="A46" i="11" s="1"/>
  <c r="E18" i="11"/>
  <c r="C18" i="11" s="1"/>
  <c r="A49" i="11" s="1"/>
  <c r="E22" i="11"/>
  <c r="E26" i="11"/>
  <c r="E30" i="11"/>
  <c r="E16" i="11"/>
  <c r="X31" i="1"/>
  <c r="Y18" i="1"/>
  <c r="X16" i="1"/>
  <c r="X18" i="1"/>
  <c r="X20" i="1"/>
  <c r="D6" i="7" s="1"/>
  <c r="E53" i="7" s="1"/>
  <c r="X21" i="1"/>
  <c r="Y16" i="1"/>
  <c r="Y21" i="1"/>
  <c r="T52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3" i="1"/>
  <c r="T53" i="1"/>
  <c r="Y31" i="1"/>
  <c r="D13" i="7" s="1"/>
  <c r="Y32" i="1"/>
  <c r="X32" i="1"/>
  <c r="D17" i="7" s="1"/>
  <c r="C108" i="7" s="1"/>
  <c r="Y15" i="1"/>
  <c r="Y24" i="1"/>
  <c r="X23" i="1"/>
  <c r="N175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51" i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4" i="11"/>
  <c r="D85" i="11"/>
  <c r="D83" i="11"/>
  <c r="D73" i="11"/>
  <c r="D90" i="11"/>
  <c r="D77" i="11"/>
  <c r="D89" i="11"/>
  <c r="D95" i="11"/>
  <c r="D75" i="11"/>
  <c r="D68" i="11"/>
  <c r="D92" i="11"/>
  <c r="D76" i="11"/>
  <c r="D86" i="11"/>
  <c r="D78" i="11"/>
  <c r="D71" i="11"/>
  <c r="D72" i="11"/>
  <c r="D93" i="11"/>
  <c r="D79" i="11"/>
  <c r="D67" i="11"/>
  <c r="D81" i="11"/>
  <c r="D70" i="11"/>
  <c r="D82" i="11"/>
  <c r="D74" i="11"/>
  <c r="D88" i="11"/>
  <c r="D91" i="11"/>
  <c r="D84" i="11"/>
  <c r="D87" i="11"/>
  <c r="E2" i="11"/>
  <c r="E34" i="11"/>
  <c r="J155" i="1" l="1"/>
  <c r="D53" i="7"/>
  <c r="C15" i="11"/>
  <c r="A47" i="11" s="1"/>
  <c r="C21" i="11"/>
  <c r="A52" i="11" s="1"/>
  <c r="B21" i="11"/>
  <c r="C24" i="11"/>
  <c r="A55" i="11" s="1"/>
  <c r="B24" i="11"/>
  <c r="C31" i="11"/>
  <c r="A60" i="11" s="1"/>
  <c r="B31" i="11"/>
  <c r="A26" i="11"/>
  <c r="B26" i="11"/>
  <c r="C26" i="11"/>
  <c r="A57" i="11" s="1"/>
  <c r="C10" i="11"/>
  <c r="A43" i="11" s="1"/>
  <c r="B10" i="11"/>
  <c r="C20" i="11"/>
  <c r="A51" i="11" s="1"/>
  <c r="A20" i="11"/>
  <c r="B20" i="11"/>
  <c r="B11" i="11"/>
  <c r="C11" i="11"/>
  <c r="A44" i="11" s="1"/>
  <c r="C2" i="11"/>
  <c r="A38" i="11" s="1"/>
  <c r="A2" i="11"/>
  <c r="B2" i="11"/>
  <c r="C22" i="11"/>
  <c r="A53" i="11" s="1"/>
  <c r="B22" i="11"/>
  <c r="A22" i="11"/>
  <c r="C12" i="11"/>
  <c r="A45" i="11" s="1"/>
  <c r="B23" i="11"/>
  <c r="A23" i="11"/>
  <c r="C23" i="11"/>
  <c r="A54" i="11" s="1"/>
  <c r="C29" i="11"/>
  <c r="A58" i="11" s="1"/>
  <c r="B29" i="11"/>
  <c r="B25" i="11"/>
  <c r="C25" i="11"/>
  <c r="A56" i="11" s="1"/>
  <c r="B5" i="11"/>
  <c r="C5" i="11"/>
  <c r="A40" i="11" s="1"/>
  <c r="C8" i="11"/>
  <c r="A42" i="11" s="1"/>
  <c r="C3" i="11"/>
  <c r="A39" i="11" s="1"/>
  <c r="C30" i="11"/>
  <c r="A59" i="11" s="1"/>
  <c r="B30" i="11"/>
  <c r="A30" i="11"/>
  <c r="E33" i="1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4" i="1"/>
  <c r="S54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50" i="11"/>
  <c r="B41" i="11"/>
  <c r="B49" i="11"/>
  <c r="B52" i="11"/>
  <c r="B57" i="11"/>
  <c r="B44" i="11"/>
  <c r="A126" i="7"/>
  <c r="I25" i="7"/>
  <c r="I27" i="7" s="1"/>
  <c r="B39" i="11"/>
  <c r="B51" i="11"/>
  <c r="B42" i="11"/>
  <c r="B53" i="11"/>
  <c r="B40" i="11"/>
  <c r="B47" i="11"/>
  <c r="B43" i="11"/>
  <c r="B46" i="11"/>
  <c r="B54" i="11"/>
  <c r="B58" i="11"/>
  <c r="B45" i="11"/>
  <c r="B48" i="11"/>
  <c r="D96" i="11"/>
  <c r="B11" i="10" l="1"/>
  <c r="B44" i="10" s="1"/>
  <c r="B69" i="10" s="1"/>
  <c r="P69" i="10" s="1"/>
  <c r="E46" i="11"/>
  <c r="F46" i="11"/>
  <c r="B4" i="10"/>
  <c r="B37" i="10" s="1"/>
  <c r="B62" i="10" s="1"/>
  <c r="P62" i="10" s="1"/>
  <c r="E39" i="11"/>
  <c r="F39" i="11"/>
  <c r="B15" i="10"/>
  <c r="B48" i="10" s="1"/>
  <c r="B73" i="10" s="1"/>
  <c r="P73" i="10" s="1"/>
  <c r="E50" i="11"/>
  <c r="F50" i="11"/>
  <c r="B10" i="10"/>
  <c r="B43" i="10" s="1"/>
  <c r="P43" i="10" s="1"/>
  <c r="E45" i="11"/>
  <c r="F45" i="11"/>
  <c r="B8" i="10"/>
  <c r="B41" i="10" s="1"/>
  <c r="P41" i="10" s="1"/>
  <c r="E43" i="11"/>
  <c r="F43" i="11"/>
  <c r="B18" i="10"/>
  <c r="B51" i="10" s="1"/>
  <c r="B76" i="10" s="1"/>
  <c r="P76" i="10" s="1"/>
  <c r="E53" i="11"/>
  <c r="F53" i="11"/>
  <c r="B17" i="10"/>
  <c r="B50" i="10" s="1"/>
  <c r="P50" i="10" s="1"/>
  <c r="E52" i="11"/>
  <c r="F52" i="11"/>
  <c r="B23" i="10"/>
  <c r="B56" i="10" s="1"/>
  <c r="B81" i="10" s="1"/>
  <c r="P81" i="10" s="1"/>
  <c r="E58" i="11"/>
  <c r="F58" i="11"/>
  <c r="B12" i="10"/>
  <c r="B45" i="10" s="1"/>
  <c r="B70" i="10" s="1"/>
  <c r="P70" i="10" s="1"/>
  <c r="E47" i="11"/>
  <c r="F47" i="11"/>
  <c r="B7" i="10"/>
  <c r="B40" i="10" s="1"/>
  <c r="P40" i="10" s="1"/>
  <c r="E42" i="11"/>
  <c r="F42" i="11"/>
  <c r="B14" i="10"/>
  <c r="B47" i="10" s="1"/>
  <c r="B72" i="10" s="1"/>
  <c r="P72" i="10" s="1"/>
  <c r="E49" i="11"/>
  <c r="F49" i="11"/>
  <c r="B13" i="10"/>
  <c r="B46" i="10" s="1"/>
  <c r="B71" i="10" s="1"/>
  <c r="P71" i="10" s="1"/>
  <c r="E48" i="11"/>
  <c r="F48" i="11"/>
  <c r="B21" i="10"/>
  <c r="B54" i="10" s="1"/>
  <c r="B79" i="10" s="1"/>
  <c r="P79" i="10" s="1"/>
  <c r="E56" i="11"/>
  <c r="F56" i="11"/>
  <c r="B22" i="10"/>
  <c r="B55" i="10" s="1"/>
  <c r="B80" i="10" s="1"/>
  <c r="P80" i="10" s="1"/>
  <c r="E57" i="11"/>
  <c r="F57" i="11"/>
  <c r="B19" i="10"/>
  <c r="B52" i="10" s="1"/>
  <c r="B77" i="10" s="1"/>
  <c r="P77" i="10" s="1"/>
  <c r="E54" i="11"/>
  <c r="F54" i="11"/>
  <c r="B5" i="10"/>
  <c r="B38" i="10" s="1"/>
  <c r="B63" i="10" s="1"/>
  <c r="P63" i="10" s="1"/>
  <c r="E40" i="11"/>
  <c r="F40" i="11"/>
  <c r="B16" i="10"/>
  <c r="B49" i="10" s="1"/>
  <c r="B74" i="10" s="1"/>
  <c r="P74" i="10" s="1"/>
  <c r="E51" i="11"/>
  <c r="F51" i="11"/>
  <c r="B9" i="10"/>
  <c r="B42" i="10" s="1"/>
  <c r="B67" i="10" s="1"/>
  <c r="P67" i="10" s="1"/>
  <c r="E44" i="11"/>
  <c r="F44" i="11"/>
  <c r="B6" i="10"/>
  <c r="B39" i="10" s="1"/>
  <c r="B64" i="10" s="1"/>
  <c r="P64" i="10" s="1"/>
  <c r="E41" i="11"/>
  <c r="F41" i="11"/>
  <c r="B3" i="10"/>
  <c r="B36" i="10" s="1"/>
  <c r="B61" i="10" s="1"/>
  <c r="E38" i="11"/>
  <c r="F38" i="11"/>
  <c r="B20" i="10"/>
  <c r="B53" i="10" s="1"/>
  <c r="P53" i="10" s="1"/>
  <c r="E55" i="11"/>
  <c r="F55" i="11"/>
  <c r="S55" i="1"/>
  <c r="T55" i="1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D58" i="11"/>
  <c r="D50" i="11"/>
  <c r="D47" i="11"/>
  <c r="D42" i="11"/>
  <c r="D44" i="11"/>
  <c r="D52" i="11"/>
  <c r="D55" i="11"/>
  <c r="D43" i="11"/>
  <c r="D54" i="11"/>
  <c r="D46" i="11"/>
  <c r="D40" i="11"/>
  <c r="D51" i="11"/>
  <c r="D57" i="11"/>
  <c r="D49" i="11"/>
  <c r="D53" i="11"/>
  <c r="D48" i="11"/>
  <c r="D45" i="11"/>
  <c r="D56" i="11"/>
  <c r="D39" i="11"/>
  <c r="D38" i="11"/>
  <c r="B62" i="11"/>
  <c r="D62" i="11" s="1"/>
  <c r="D41" i="11"/>
  <c r="P45" i="10" l="1"/>
  <c r="P54" i="10"/>
  <c r="B78" i="10"/>
  <c r="P78" i="10" s="1"/>
  <c r="P49" i="10"/>
  <c r="P46" i="10"/>
  <c r="B65" i="10"/>
  <c r="P65" i="10" s="1"/>
  <c r="P56" i="10"/>
  <c r="B75" i="10"/>
  <c r="P75" i="10" s="1"/>
  <c r="B68" i="10"/>
  <c r="P68" i="10" s="1"/>
  <c r="P36" i="10"/>
  <c r="P38" i="10"/>
  <c r="P47" i="10"/>
  <c r="P39" i="10"/>
  <c r="P48" i="10"/>
  <c r="P52" i="10"/>
  <c r="P55" i="10"/>
  <c r="P51" i="10"/>
  <c r="B57" i="10"/>
  <c r="B66" i="10"/>
  <c r="P66" i="10" s="1"/>
  <c r="P42" i="10"/>
  <c r="P37" i="10"/>
  <c r="P44" i="10"/>
  <c r="T56" i="1"/>
  <c r="S56" i="1"/>
  <c r="P61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B82" i="10" l="1"/>
  <c r="P82" i="10"/>
  <c r="P84" i="10" s="1"/>
  <c r="P57" i="10"/>
  <c r="S57" i="1"/>
  <c r="T57" i="1"/>
  <c r="T58" i="1" l="1"/>
  <c r="S58" i="1"/>
  <c r="S59" i="1" l="1"/>
  <c r="T59" i="1"/>
  <c r="T60" i="1" l="1"/>
  <c r="V62" i="1" s="1"/>
  <c r="R7" i="1" s="1"/>
  <c r="S7" i="1" s="1"/>
  <c r="S60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8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</author>
    <author>lishuyun</author>
  </authors>
  <commentList>
    <comment ref="H30" authorId="0" shapeId="0" xr:uid="{677D56AA-B993-4583-93EE-D8B71A72F0C8}">
      <text>
        <r>
          <rPr>
            <b/>
            <sz val="9"/>
            <color indexed="81"/>
            <rFont val="宋体"/>
            <family val="3"/>
            <charset val="134"/>
          </rPr>
          <t>每3个月根据天天基金对账单得出货币基金收益例如：3月是600.61，6月是723.45 加一起就是1324.06</t>
        </r>
      </text>
    </comment>
    <comment ref="F32" authorId="1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1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<sst xmlns="http://schemas.openxmlformats.org/spreadsheetml/2006/main" count="15655" uniqueCount="7577">
  <si>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</si>
  <si>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</si>
  <si>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</si>
  <si>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</si>
  <si>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</si>
  <si>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</si>
  <si>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</si>
  <si>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</si>
  <si>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</si>
  <si>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</si>
  <si>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</si>
  <si>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</si>
  <si>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</si>
  <si>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</si>
  <si>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</si>
  <si>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</si>
  <si>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</si>
  <si>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</si>
  <si>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</si>
  <si>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</si>
  <si>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</si>
  <si>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</si>
  <si>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</si>
  <si>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</si>
  <si>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</si>
  <si>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</si>
  <si>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</si>
  <si>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</si>
  <si>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</si>
  <si>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</si>
  <si>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</si>
  <si>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</si>
  <si>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</si>
  <si>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</si>
  <si>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</si>
  <si>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</si>
  <si>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</si>
  <si>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</si>
  <si>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</si>
  <si>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</si>
  <si>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</si>
  <si>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</si>
  <si>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</si>
  <si>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</si>
  <si>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</si>
  <si>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</si>
  <si>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</si>
  <si>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</si>
  <si>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</si>
  <si>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</si>
  <si>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</si>
  <si>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</si>
  <si>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</si>
  <si>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</si>
  <si>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</si>
  <si>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</si>
  <si>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</si>
  <si>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</si>
  <si>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</si>
  <si>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</si>
  <si>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</si>
  <si>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</si>
  <si>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</si>
  <si>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</si>
  <si>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</si>
  <si>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</si>
  <si>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</si>
  <si>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</si>
  <si>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</si>
  <si>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</si>
  <si>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</si>
  <si>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</si>
  <si>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</si>
  <si>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</si>
  <si>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</si>
  <si>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</si>
  <si>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</si>
  <si>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</si>
  <si>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</si>
  <si>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</si>
  <si>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</si>
  <si>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</si>
  <si>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</si>
  <si>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</si>
  <si>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</si>
  <si>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</si>
  <si>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</si>
  <si>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</si>
  <si>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</si>
  <si>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</si>
  <si>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</si>
  <si>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</si>
  <si>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</si>
  <si>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</si>
  <si>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</si>
  <si>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</si>
  <si>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</si>
  <si>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</si>
  <si>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</si>
  <si>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</si>
  <si>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</si>
  <si>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</si>
  <si>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</si>
  <si>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</si>
  <si>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</si>
  <si>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</si>
  <si>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</si>
  <si>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</si>
  <si>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</si>
  <si>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</si>
  <si>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</si>
  <si>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</si>
  <si>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</si>
  <si>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</si>
  <si>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</si>
  <si>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</si>
  <si>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</si>
  <si>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</si>
  <si>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</si>
  <si>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</si>
  <si>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</si>
  <si>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</si>
  <si>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</si>
  <si>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</si>
  <si>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</si>
  <si>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</si>
  <si>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</si>
  <si>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</si>
  <si>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</si>
  <si>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</si>
  <si>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</si>
  <si>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</si>
  <si>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</si>
  <si>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</si>
  <si>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</si>
  <si>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</si>
  <si>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</si>
  <si>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</si>
  <si>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</si>
  <si>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</si>
  <si>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</si>
  <si>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</si>
  <si>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</si>
  <si>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</si>
  <si>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</si>
  <si>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</si>
  <si>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</si>
  <si>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</si>
  <si>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</si>
  <si>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</si>
  <si>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</si>
  <si>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</si>
  <si>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</si>
  <si>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</si>
  <si>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</si>
  <si>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</si>
  <si>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</si>
  <si>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</si>
  <si>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</si>
  <si>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</si>
  <si>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</si>
  <si>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</si>
  <si>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</si>
  <si>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</si>
  <si>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</si>
  <si>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</si>
  <si>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</si>
  <si>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</si>
  <si>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</si>
  <si>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</si>
  <si>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</si>
  <si>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</si>
  <si>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</si>
  <si>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</si>
  <si>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</si>
  <si>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</si>
  <si>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</si>
  <si>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</si>
  <si>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</si>
  <si>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</si>
  <si>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</si>
  <si>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</si>
  <si>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</si>
  <si>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</si>
  <si>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</si>
  <si>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</si>
  <si>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</si>
  <si>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</si>
  <si>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</si>
  <si>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</si>
  <si>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</si>
  <si>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</si>
  <si>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</si>
  <si>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</si>
  <si>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</si>
  <si>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</si>
  <si>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</si>
  <si>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</si>
  <si>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</si>
  <si>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</si>
  <si>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</si>
  <si>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</si>
  <si>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</si>
  <si>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</si>
  <si>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</si>
  <si>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</si>
  <si>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</si>
  <si>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</si>
  <si>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</si>
  <si>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</si>
  <si>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</si>
  <si>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</si>
  <si>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</si>
  <si>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</si>
  <si>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</si>
  <si>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</si>
  <si>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</si>
  <si>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</si>
  <si>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</si>
  <si>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</si>
  <si>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</si>
  <si>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</si>
  <si>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</si>
  <si>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</si>
  <si>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</si>
  <si>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</si>
  <si>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</si>
  <si>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</si>
  <si>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</si>
  <si>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</si>
  <si>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</si>
  <si>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</si>
  <si>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</si>
  <si>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</si>
  <si>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</si>
  <si>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</si>
  <si>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</si>
  <si>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</si>
  <si>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</si>
  <si>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</si>
  <si>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</si>
  <si>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</si>
  <si>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</si>
  <si>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</si>
  <si>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</si>
  <si>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</si>
  <si>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</si>
  <si>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</si>
  <si>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</si>
  <si>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</si>
  <si>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</si>
  <si>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</si>
  <si>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</si>
  <si>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</si>
  <si>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</si>
  <si>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</si>
  <si>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</si>
  <si>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</si>
  <si>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</si>
  <si>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</si>
  <si>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</si>
  <si>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</si>
  <si>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</si>
  <si>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</si>
  <si>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</si>
  <si>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</si>
  <si>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</si>
  <si>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</si>
  <si>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</si>
  <si>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</si>
  <si>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</si>
  <si>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</si>
  <si>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</si>
  <si>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</si>
  <si>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</si>
  <si>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</si>
  <si>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</si>
  <si>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</si>
  <si>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</si>
  <si>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</si>
  <si>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</si>
  <si>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</si>
  <si>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</si>
  <si>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</si>
  <si>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</si>
  <si>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</si>
  <si>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</si>
  <si>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</si>
  <si>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</si>
  <si>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</si>
  <si>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</si>
  <si>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</si>
  <si>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</si>
  <si>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</si>
  <si>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</si>
  <si>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</si>
  <si>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</si>
  <si>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</si>
  <si>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</si>
  <si>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</si>
  <si>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</si>
  <si>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</si>
  <si>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</si>
  <si>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</si>
  <si>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</si>
  <si>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</si>
  <si>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</si>
  <si>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</si>
  <si>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</si>
  <si>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</si>
  <si>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</si>
  <si>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</si>
  <si>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</si>
  <si>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</si>
  <si>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</si>
  <si>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</si>
  <si>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</si>
  <si>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</si>
  <si>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</si>
  <si>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</si>
  <si>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</si>
  <si>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</si>
  <si>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</si>
  <si>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</si>
  <si>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</si>
  <si>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</si>
  <si>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</si>
  <si>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</si>
  <si>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</si>
  <si>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</si>
  <si>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</si>
  <si>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</si>
  <si>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</si>
  <si>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</si>
  <si>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</si>
  <si>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</si>
  <si>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</si>
  <si>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</si>
  <si>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</si>
  <si>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</si>
  <si>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</si>
  <si>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</si>
  <si>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</si>
  <si>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</si>
  <si>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</si>
  <si>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</si>
  <si>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</si>
  <si>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</si>
  <si>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</si>
  <si>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</si>
  <si>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</si>
  <si>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</si>
  <si>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</si>
  <si>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</si>
  <si>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</si>
  <si>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</si>
  <si>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</si>
  <si>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</si>
  <si>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</si>
  <si>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</si>
  <si>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</si>
  <si>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</si>
  <si>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</si>
  <si>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</si>
  <si>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</si>
  <si>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</si>
  <si>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</si>
  <si>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</si>
  <si>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</si>
  <si>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</si>
  <si>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</si>
  <si>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</si>
  <si>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</si>
  <si>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</si>
  <si>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</si>
  <si>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</si>
  <si>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</si>
  <si>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</si>
  <si>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</si>
  <si>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</si>
  <si>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</si>
  <si>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</si>
  <si>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</si>
  <si>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</si>
  <si>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</si>
  <si>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</si>
  <si>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</si>
  <si>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</si>
  <si>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</si>
  <si>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</si>
  <si>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</si>
  <si>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</si>
  <si>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</si>
  <si>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</si>
  <si>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</si>
  <si>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</si>
  <si>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</si>
  <si>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</si>
  <si>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</si>
  <si>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</si>
  <si>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</si>
  <si>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</si>
  <si>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</si>
  <si>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</si>
  <si>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</si>
  <si>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</si>
  <si>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</si>
  <si>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</si>
  <si>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</si>
  <si>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</si>
  <si>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</si>
  <si>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</si>
  <si>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</si>
  <si>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</si>
  <si>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</si>
  <si>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</si>
  <si>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</si>
  <si>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</si>
  <si>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</si>
  <si>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</si>
  <si>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</si>
  <si>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</si>
  <si>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</si>
  <si>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</si>
  <si>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</si>
  <si>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</si>
  <si>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</si>
  <si>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</si>
  <si>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</si>
  <si>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</si>
  <si>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</si>
  <si>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</si>
  <si>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</si>
  <si>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</si>
  <si>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</si>
  <si>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</si>
  <si>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</si>
  <si>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</si>
  <si>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</si>
  <si>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</si>
  <si>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</si>
  <si>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</si>
  <si>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</si>
  <si>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</si>
  <si>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</si>
  <si>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</si>
  <si>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</si>
  <si>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</si>
  <si>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</si>
  <si>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</si>
  <si>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</si>
  <si>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</si>
  <si>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</si>
  <si>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</si>
  <si>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</si>
  <si>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</si>
  <si>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</si>
  <si>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</si>
  <si>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</si>
  <si>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</si>
  <si>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</si>
  <si>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</si>
  <si>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</si>
  <si>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</si>
  <si>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</si>
  <si>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</si>
  <si>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</si>
  <si>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</si>
  <si>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</si>
  <si>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</si>
  <si>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</si>
  <si>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</si>
  <si>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</si>
  <si>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</si>
  <si>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</si>
  <si>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</si>
  <si>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</si>
  <si>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</si>
  <si>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</si>
  <si>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</si>
  <si>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</si>
  <si>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</si>
  <si>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</si>
  <si>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</si>
  <si>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</si>
  <si>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</si>
  <si>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</si>
  <si>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</si>
  <si>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</si>
  <si>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</si>
  <si>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</si>
  <si>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</si>
  <si>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</si>
  <si>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</si>
  <si>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</si>
  <si>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</si>
  <si>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</si>
  <si>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</si>
  <si>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</si>
  <si>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</si>
  <si>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</si>
  <si>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</si>
  <si>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</si>
  <si>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</si>
  <si>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</si>
  <si>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</si>
  <si>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</si>
  <si>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</si>
  <si>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</si>
  <si>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</si>
  <si>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</si>
  <si>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</si>
  <si>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</si>
  <si>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</si>
  <si>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</si>
  <si>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</si>
  <si>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</si>
  <si>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</si>
  <si>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</si>
  <si>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</si>
  <si>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</si>
  <si>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</si>
  <si>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</si>
  <si>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</si>
  <si>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</si>
  <si>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</si>
  <si>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</si>
  <si>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</si>
  <si>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</si>
  <si>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</si>
  <si>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</si>
  <si>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</si>
  <si>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</si>
  <si>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</si>
  <si>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</si>
  <si>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</si>
  <si>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</si>
  <si>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</si>
  <si>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</si>
  <si>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</si>
  <si>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</si>
  <si>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</si>
  <si>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</si>
  <si>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</si>
  <si>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</si>
  <si>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</si>
  <si>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</si>
  <si>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</si>
  <si>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</si>
  <si>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</si>
  <si>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</si>
  <si>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</si>
  <si>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</si>
  <si>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</si>
  <si>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</si>
  <si>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</si>
  <si>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</si>
  <si>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</si>
  <si>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</si>
  <si>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</si>
  <si>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</si>
  <si>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</si>
  <si>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</si>
  <si>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</si>
  <si>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</si>
  <si>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</si>
  <si>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</si>
  <si>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</si>
  <si>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</si>
  <si>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</si>
  <si>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</si>
  <si>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</si>
  <si>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</si>
  <si>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</si>
  <si>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</si>
  <si>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</si>
  <si>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</si>
  <si>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</si>
  <si>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</si>
  <si>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</si>
  <si>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</si>
  <si>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</si>
  <si>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</si>
  <si>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</si>
  <si>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</si>
  <si>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</si>
  <si>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</si>
  <si>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</si>
  <si>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</si>
  <si>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</si>
  <si>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</si>
  <si>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</si>
  <si>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</si>
  <si>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</si>
  <si>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</si>
  <si>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</si>
  <si>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</si>
  <si>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</si>
  <si>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</si>
  <si>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</si>
  <si>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</si>
  <si>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</si>
  <si>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</si>
  <si>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</si>
  <si>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</si>
  <si>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</si>
  <si>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</si>
  <si>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</si>
  <si>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</si>
  <si>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</si>
  <si>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</si>
  <si>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</si>
  <si>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</si>
  <si>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</si>
  <si>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</si>
  <si>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</si>
  <si>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</si>
  <si>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</si>
  <si>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</si>
  <si>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</si>
  <si>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</si>
  <si>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</si>
  <si>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</si>
  <si>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</si>
  <si>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</si>
  <si>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</si>
  <si>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</si>
  <si>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</si>
  <si>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</si>
  <si>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</si>
  <si>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</si>
  <si>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</si>
  <si>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</si>
  <si>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</si>
  <si>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</si>
  <si>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</si>
  <si>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</si>
  <si>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</si>
  <si>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</si>
  <si>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</si>
  <si>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</si>
  <si>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</si>
  <si>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</si>
  <si>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</si>
  <si>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</si>
  <si>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</si>
  <si>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</si>
  <si>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</si>
  <si>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</si>
  <si>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</si>
  <si>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</si>
  <si>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</si>
  <si>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</si>
  <si>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</si>
  <si>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</si>
  <si>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</si>
  <si>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</si>
  <si>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</si>
  <si>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</si>
  <si>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</si>
  <si>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</si>
  <si>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</si>
  <si>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</si>
  <si>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</si>
  <si>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</si>
  <si>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</si>
  <si>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</si>
  <si>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</si>
  <si>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</si>
  <si>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</si>
  <si>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</si>
  <si>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</si>
  <si>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</si>
  <si>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</si>
  <si>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</si>
  <si>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</si>
  <si>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</si>
  <si>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</si>
  <si>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</si>
  <si>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</si>
  <si>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</si>
  <si>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</si>
  <si>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</si>
  <si>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</si>
  <si>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</si>
  <si>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</si>
  <si>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</si>
  <si>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</si>
  <si>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</si>
  <si>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</si>
  <si>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</si>
  <si>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</si>
  <si>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</si>
  <si>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</si>
  <si>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</si>
  <si>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</si>
  <si>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</si>
  <si>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</si>
  <si>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</si>
  <si>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</si>
  <si>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</si>
  <si>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</si>
  <si>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</si>
  <si>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</si>
  <si>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</si>
  <si>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</si>
  <si>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</si>
  <si>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</si>
  <si>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</si>
  <si>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</si>
  <si>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</si>
  <si>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</si>
  <si>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</si>
  <si>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</si>
  <si>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</si>
  <si>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</si>
  <si>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</si>
  <si>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</si>
  <si>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</si>
  <si>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</si>
  <si>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</si>
  <si>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</si>
  <si>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</si>
  <si>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</si>
  <si>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</si>
  <si>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</si>
  <si>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</si>
  <si>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</si>
  <si>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</si>
  <si>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</si>
  <si>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</si>
  <si>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</si>
  <si>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</si>
  <si>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</si>
  <si>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</si>
  <si>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</si>
  <si>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</si>
  <si>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</si>
  <si>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</si>
  <si>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</si>
  <si>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</si>
  <si>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</si>
  <si>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</si>
  <si>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</si>
  <si>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</si>
  <si>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</si>
  <si>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</si>
  <si>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</si>
  <si>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</si>
  <si>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</si>
  <si>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</si>
  <si>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</si>
  <si>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</si>
  <si>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</si>
  <si>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</si>
  <si>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</si>
  <si>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</si>
  <si>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</si>
  <si>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</si>
  <si>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</si>
  <si>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</si>
  <si>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</si>
  <si>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</si>
  <si>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</si>
  <si>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</si>
  <si>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</si>
  <si>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</si>
  <si>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</si>
  <si>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</si>
  <si>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</si>
  <si>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</si>
  <si>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</si>
  <si>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</si>
  <si>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</si>
  <si>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</si>
  <si>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</si>
  <si>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</si>
  <si>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</si>
  <si>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</si>
  <si>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</si>
  <si>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</si>
  <si>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</si>
  <si>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</si>
  <si>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</si>
  <si>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</si>
  <si>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</si>
  <si>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</si>
  <si>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</si>
  <si>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</si>
  <si>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</si>
  <si>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</si>
  <si>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</si>
  <si>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</si>
  <si>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</si>
  <si>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</si>
  <si>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</si>
  <si>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</si>
  <si>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</si>
  <si>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</si>
  <si>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</si>
  <si>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</si>
  <si>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</si>
  <si>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</si>
  <si>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</si>
  <si>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</si>
  <si>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</si>
  <si>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</si>
  <si>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</si>
  <si>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</si>
  <si>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</si>
  <si>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</si>
  <si>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</si>
  <si>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</si>
  <si>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</si>
  <si>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</si>
  <si>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</si>
  <si>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</si>
  <si>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</si>
  <si>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</si>
  <si>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</si>
  <si>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</si>
  <si>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</si>
  <si>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</si>
  <si>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</si>
  <si>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</si>
  <si>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</si>
  <si>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</si>
  <si>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</si>
  <si>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</si>
  <si>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</si>
  <si>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</si>
  <si>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</si>
  <si>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</si>
  <si>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</si>
  <si>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</si>
  <si>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</si>
  <si>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</si>
  <si>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</si>
  <si>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</si>
  <si>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</si>
  <si>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</si>
  <si>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</si>
  <si>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</si>
  <si>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</si>
  <si>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</si>
  <si>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</si>
  <si>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</si>
  <si>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</si>
  <si>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</si>
  <si>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</si>
  <si>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</si>
  <si>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</si>
  <si>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</si>
  <si>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</si>
  <si>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</si>
  <si>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</si>
  <si>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</si>
  <si>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</si>
  <si>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</si>
  <si>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</si>
  <si>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</si>
  <si>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</si>
  <si>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</si>
  <si>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</si>
  <si>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</si>
  <si>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</si>
  <si>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</si>
  <si>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</si>
  <si>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</si>
  <si>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</si>
  <si>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</si>
  <si>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</si>
  <si>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</si>
  <si>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</si>
  <si>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</si>
  <si>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</si>
  <si>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</si>
  <si>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</si>
  <si>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</si>
  <si>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</si>
  <si>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</si>
  <si>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</si>
  <si>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</si>
  <si>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</si>
  <si>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</si>
  <si>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</si>
  <si>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</si>
  <si>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</si>
  <si>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</si>
  <si>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</si>
  <si>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</si>
  <si>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</si>
  <si>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</si>
  <si>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</si>
  <si>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</si>
  <si>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</si>
  <si>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</si>
  <si>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</si>
  <si>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</si>
  <si>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</si>
  <si>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</si>
  <si>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</si>
  <si>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</si>
  <si>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</si>
  <si>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</si>
  <si>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</si>
  <si>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</si>
  <si>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</si>
  <si>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</si>
  <si>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</si>
  <si>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</si>
  <si>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</si>
  <si>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</si>
  <si>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</si>
  <si>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</si>
  <si>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</si>
  <si>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</si>
  <si>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</si>
  <si>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</si>
  <si>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</si>
  <si>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</si>
  <si>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</si>
  <si>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</si>
  <si>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</si>
  <si>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</si>
  <si>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</si>
  <si>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</si>
  <si>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</si>
  <si>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</si>
  <si>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</si>
  <si>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</si>
  <si>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</si>
  <si>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</si>
  <si>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</si>
  <si>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</si>
  <si>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</si>
  <si>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</si>
  <si>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</si>
  <si>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</si>
  <si>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</si>
  <si>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</si>
  <si>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</si>
  <si>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</si>
  <si>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</si>
  <si>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</si>
  <si>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</si>
  <si>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</si>
  <si>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</si>
  <si>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</si>
  <si>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</si>
  <si>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</si>
  <si>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</si>
  <si>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</si>
  <si>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</si>
  <si>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</si>
  <si>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</si>
  <si>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</si>
  <si>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</si>
  <si>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</si>
  <si>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</si>
  <si>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</si>
  <si>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</si>
  <si>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</si>
  <si>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</si>
  <si>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</si>
  <si>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</si>
  <si>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</si>
  <si>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</si>
  <si>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</si>
  <si>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</si>
  <si>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</si>
  <si>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</si>
  <si>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</si>
  <si>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</si>
  <si>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</si>
  <si>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</si>
  <si>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</si>
  <si>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</si>
  <si>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</si>
  <si>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</si>
  <si>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</si>
  <si>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</si>
  <si>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</si>
  <si>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</si>
  <si>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</si>
  <si>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</si>
  <si>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</si>
  <si>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</si>
  <si>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</si>
  <si>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</si>
  <si>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</si>
  <si>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</si>
  <si>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</si>
  <si>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</si>
  <si>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</si>
  <si>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</si>
  <si>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</si>
  <si>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</si>
  <si>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</si>
  <si>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</si>
  <si>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</si>
  <si>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</si>
  <si>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</si>
  <si>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</si>
  <si>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</si>
  <si>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</si>
  <si>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</si>
  <si>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</si>
  <si>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</si>
  <si>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</si>
  <si>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</si>
  <si>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</si>
  <si>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</si>
  <si>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</si>
  <si>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</si>
  <si>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</si>
  <si>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</si>
  <si>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</si>
  <si>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</si>
  <si>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</si>
  <si>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</si>
  <si>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</si>
  <si>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</si>
  <si>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</si>
  <si>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</si>
  <si>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</si>
  <si>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</si>
  <si>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</si>
  <si>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</si>
  <si>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</si>
  <si>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</si>
  <si>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</si>
  <si>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</si>
  <si>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</si>
  <si>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</si>
  <si>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</si>
  <si>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</si>
  <si>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</si>
  <si>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</si>
  <si>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</si>
  <si>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</si>
  <si>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</si>
  <si>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</si>
  <si>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</si>
  <si>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</si>
  <si>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</si>
  <si>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</si>
  <si>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</si>
  <si>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</si>
  <si>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</si>
  <si>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</si>
  <si>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</si>
  <si>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</si>
  <si>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</si>
  <si>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</si>
  <si>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</si>
  <si>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</si>
  <si>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</si>
  <si>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</si>
  <si>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</si>
  <si>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</si>
  <si>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</si>
  <si>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</si>
  <si>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</si>
  <si>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</si>
  <si>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</si>
  <si>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</si>
  <si>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</si>
  <si>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</si>
  <si>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</si>
  <si>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</si>
  <si>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</si>
  <si>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</si>
  <si>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</si>
  <si>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</si>
  <si>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</si>
  <si>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</si>
  <si>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</si>
  <si>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</si>
  <si>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</si>
  <si>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</si>
  <si>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</si>
  <si>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</si>
  <si>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</si>
  <si>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</si>
  <si>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</si>
  <si>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</si>
  <si>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</si>
  <si>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</si>
  <si>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</si>
  <si>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</si>
  <si>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</si>
  <si>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</si>
  <si>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</si>
  <si>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</si>
  <si>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</si>
  <si>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</si>
  <si>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</si>
  <si>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</si>
  <si>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</si>
  <si>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</si>
  <si>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</si>
  <si>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</si>
  <si>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</si>
  <si>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</si>
  <si>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</si>
  <si>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</si>
  <si>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</si>
  <si>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</si>
  <si>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</si>
  <si>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</si>
  <si>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</si>
  <si>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</si>
  <si>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</si>
  <si>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</si>
  <si>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</si>
  <si>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</si>
  <si>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</si>
  <si>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</si>
  <si>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</si>
  <si>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</si>
  <si>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</si>
  <si>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</si>
  <si>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</si>
  <si>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</si>
  <si>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</si>
  <si>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</si>
  <si>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</si>
  <si>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</si>
  <si>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</si>
  <si>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</si>
  <si>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</si>
  <si>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</si>
  <si>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</si>
  <si>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</si>
  <si>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</si>
  <si>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</si>
  <si>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</si>
  <si>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</si>
  <si>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</si>
  <si>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</si>
  <si>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</si>
  <si>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</si>
  <si>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</si>
  <si>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</si>
  <si>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</si>
  <si>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</si>
  <si>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</si>
  <si>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</si>
  <si>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</si>
  <si>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</si>
  <si>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</si>
  <si>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</si>
  <si>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</si>
  <si>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</si>
  <si>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</si>
  <si>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</si>
  <si>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</si>
  <si>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</si>
  <si>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</si>
  <si>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</si>
  <si>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</si>
  <si>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</si>
  <si>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</si>
  <si>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</si>
  <si>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</si>
  <si>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</si>
  <si>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</si>
  <si>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</si>
  <si>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</si>
  <si>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</si>
  <si>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</si>
  <si>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</si>
  <si>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</si>
  <si>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</si>
  <si>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</si>
  <si>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</si>
  <si>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</si>
  <si>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</si>
  <si>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</si>
  <si>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</si>
  <si>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</si>
  <si>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</si>
  <si>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</si>
  <si>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</si>
  <si>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</si>
  <si>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</si>
  <si>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</si>
  <si>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</si>
  <si>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</si>
  <si>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</si>
  <si>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</si>
  <si>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</si>
  <si>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</si>
  <si>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</si>
  <si>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</si>
  <si>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</si>
  <si>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</si>
  <si>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</si>
  <si>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</si>
  <si>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</si>
  <si>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</si>
  <si>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</si>
  <si>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</si>
  <si>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</si>
  <si>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</si>
  <si>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</si>
  <si>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</si>
  <si>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</si>
  <si>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</si>
  <si>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</si>
  <si>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</si>
  <si>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</si>
  <si>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</si>
  <si>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</si>
  <si>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</si>
  <si>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</si>
  <si>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</si>
  <si>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</si>
  <si>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</si>
  <si>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</si>
  <si>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</si>
  <si>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</si>
  <si>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</si>
  <si>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</si>
  <si>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</si>
  <si>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</si>
  <si>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</si>
  <si>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</si>
  <si>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</si>
  <si>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</si>
  <si>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</si>
  <si>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</si>
  <si>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</si>
  <si>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</si>
  <si>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</si>
  <si>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</si>
  <si>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</si>
  <si>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</si>
  <si>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</si>
  <si>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</si>
  <si>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</si>
  <si>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</si>
  <si>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</si>
  <si>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</si>
  <si>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</si>
  <si>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</si>
  <si>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</si>
  <si>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</si>
  <si>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</si>
  <si>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</si>
  <si>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</si>
  <si>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</si>
  <si>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</si>
  <si>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</si>
  <si>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</si>
  <si>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</si>
  <si>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</si>
  <si>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</si>
  <si>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</si>
  <si>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</si>
  <si>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</si>
  <si>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</si>
  <si>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</si>
  <si>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</si>
  <si>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</si>
  <si>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</si>
  <si>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</si>
  <si>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</si>
  <si>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</si>
  <si>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</si>
  <si>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</si>
  <si>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</si>
  <si>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</si>
  <si>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</si>
  <si>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</si>
  <si>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</si>
  <si>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</si>
  <si>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</si>
  <si>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</si>
  <si>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</si>
  <si>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</si>
  <si>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</si>
  <si>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</si>
  <si>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</si>
  <si>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</si>
  <si>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</si>
  <si>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</si>
  <si>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</si>
  <si>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</si>
  <si>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</si>
  <si>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</si>
  <si>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</si>
  <si>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</si>
  <si>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</si>
  <si>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</si>
  <si>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</si>
  <si>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</si>
  <si>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</si>
  <si>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</si>
  <si>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</si>
  <si>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</si>
  <si>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</si>
  <si>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</si>
  <si>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</si>
  <si>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</si>
  <si>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</si>
  <si>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</si>
  <si>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</si>
  <si>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</si>
  <si>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</si>
  <si>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</si>
  <si>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</si>
  <si>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</si>
  <si>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</si>
  <si>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</si>
  <si>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</si>
  <si>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</si>
  <si>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</si>
  <si>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</si>
  <si>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</si>
  <si>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</si>
  <si>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</si>
  <si>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</si>
  <si>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</si>
  <si>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</si>
  <si>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</si>
  <si>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</si>
  <si>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</si>
  <si>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</si>
  <si>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</si>
  <si>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</si>
  <si>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</si>
  <si>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</si>
  <si>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</si>
  <si>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</si>
  <si>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</si>
  <si>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</si>
  <si>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</si>
  <si>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</si>
  <si>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</si>
  <si>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</si>
  <si>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</si>
  <si>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</si>
  <si>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</si>
  <si>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</si>
  <si>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</si>
  <si>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</si>
  <si>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</si>
  <si>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</si>
  <si>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</si>
  <si>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</si>
  <si>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</si>
  <si>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</si>
  <si>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</si>
  <si>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</si>
  <si>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</si>
  <si>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</si>
  <si>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</si>
  <si>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</si>
  <si>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</si>
  <si>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</si>
  <si>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</si>
  <si>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</si>
  <si>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</si>
  <si>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</si>
  <si>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</si>
  <si>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</si>
  <si>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</si>
  <si>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</si>
  <si>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</si>
  <si>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</si>
  <si>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</si>
  <si>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</si>
  <si>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</si>
  <si>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</si>
  <si>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</si>
  <si>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</si>
  <si>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</si>
  <si>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</si>
  <si>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</si>
  <si>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</si>
  <si>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</si>
  <si>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</si>
  <si>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</si>
  <si>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</si>
  <si>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</si>
  <si>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</si>
  <si>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</si>
  <si>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</si>
  <si>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</si>
  <si>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</si>
  <si>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</si>
  <si>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</si>
  <si>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</si>
  <si>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</si>
  <si>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</si>
  <si>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</si>
  <si>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</si>
  <si>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</si>
  <si>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</si>
  <si>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</si>
  <si>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</si>
  <si>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</si>
  <si>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</si>
  <si>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</si>
  <si>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</si>
  <si>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</si>
  <si>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</si>
  <si>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</si>
  <si>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</si>
  <si>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</si>
  <si>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</si>
  <si>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</si>
  <si>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</si>
  <si>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</si>
  <si>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</si>
  <si>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</si>
  <si>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</si>
  <si>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</si>
  <si>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</si>
  <si>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</si>
  <si>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</si>
  <si>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</si>
  <si>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</si>
  <si>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</si>
  <si>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</si>
  <si>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</si>
  <si>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</si>
  <si>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</si>
  <si>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</si>
  <si>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</si>
  <si>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</si>
  <si>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</si>
  <si>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</si>
  <si>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</si>
  <si>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</si>
  <si>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</si>
  <si>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</si>
  <si>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</si>
  <si>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</si>
  <si>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</si>
  <si>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</si>
  <si>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</si>
  <si>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</si>
  <si>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</si>
  <si>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</si>
  <si>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</si>
  <si>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</si>
  <si>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</si>
  <si>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</si>
  <si>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</si>
  <si>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</si>
  <si>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</si>
  <si>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</si>
  <si>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</si>
  <si>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</si>
  <si>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</si>
  <si>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</si>
  <si>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</si>
  <si>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</si>
  <si>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</si>
  <si>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</si>
  <si>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</si>
  <si>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</si>
  <si>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</si>
  <si>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</si>
  <si>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</si>
  <si>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</si>
  <si>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</si>
  <si>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</si>
  <si>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</si>
  <si>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</si>
  <si>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</si>
  <si>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</si>
  <si>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</si>
  <si>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</si>
  <si>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</si>
  <si>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</si>
  <si>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</si>
  <si>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</si>
  <si>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</si>
  <si>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</si>
  <si>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</si>
  <si>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</si>
  <si>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</si>
  <si>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</si>
  <si>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</si>
  <si>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</si>
  <si>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</si>
  <si>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</si>
  <si>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</si>
  <si>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</si>
  <si>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</si>
  <si>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</si>
  <si>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</si>
  <si>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</si>
  <si>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</si>
  <si>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</si>
  <si>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</si>
  <si>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</si>
  <si>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</si>
  <si>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</si>
  <si>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</si>
  <si>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</si>
  <si>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</si>
  <si>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</si>
  <si>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</si>
  <si>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</si>
  <si>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</si>
  <si>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</si>
  <si>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</si>
  <si>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</si>
  <si>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</si>
  <si>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</si>
  <si>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</si>
  <si>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</si>
  <si>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</si>
  <si>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</si>
  <si>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</si>
  <si>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</si>
  <si>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</si>
  <si>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</si>
  <si>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</si>
  <si>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</si>
  <si>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</si>
  <si>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</si>
  <si>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</si>
  <si>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</si>
  <si>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</si>
  <si>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</si>
  <si>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</si>
  <si>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</si>
  <si>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</si>
  <si>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</si>
  <si>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</si>
  <si>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</si>
  <si>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</si>
  <si>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</si>
  <si>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</si>
  <si>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</si>
  <si>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</si>
  <si>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</si>
  <si>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</si>
  <si>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</si>
  <si>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</si>
  <si>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</si>
  <si>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</si>
  <si>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</si>
  <si>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</si>
  <si>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</si>
  <si>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</si>
  <si>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</si>
  <si>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</si>
  <si>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</si>
  <si>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</si>
  <si>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</si>
  <si>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</si>
  <si>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</si>
  <si>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</si>
  <si>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</si>
  <si>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</si>
  <si>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</si>
  <si>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</si>
  <si>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</si>
  <si>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</si>
  <si>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</si>
  <si>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</si>
  <si>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</si>
  <si>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</si>
  <si>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</si>
  <si>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</si>
  <si>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</si>
  <si>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</si>
  <si>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</si>
  <si>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</si>
  <si>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</si>
  <si>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</si>
  <si>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</si>
  <si>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</si>
  <si>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</si>
  <si>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</si>
  <si>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</si>
  <si>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</si>
  <si>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</si>
  <si>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</si>
  <si>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</si>
  <si>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</si>
  <si>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</si>
  <si>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</si>
  <si>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</si>
  <si>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</si>
  <si>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</si>
  <si>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</si>
  <si>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</si>
  <si>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</si>
  <si>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</si>
  <si>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</si>
  <si>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</si>
  <si>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</si>
  <si>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</si>
  <si>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</si>
  <si>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</si>
  <si>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</si>
  <si>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</si>
  <si>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</si>
  <si>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</si>
  <si>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</si>
  <si>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</si>
  <si>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</si>
  <si>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</si>
  <si>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</si>
  <si>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</si>
  <si>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</si>
  <si>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</si>
  <si>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</si>
  <si>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</si>
  <si>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</si>
  <si>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</si>
  <si>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</si>
  <si>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</si>
  <si>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</si>
  <si>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</si>
  <si>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</si>
  <si>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</si>
  <si>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</si>
  <si>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</si>
  <si>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</si>
  <si>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</si>
  <si>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</si>
  <si>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</si>
  <si>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</si>
  <si>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</si>
  <si>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</si>
  <si>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</si>
  <si>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</si>
  <si>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</si>
  <si>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</si>
  <si>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</si>
  <si>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</si>
  <si>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</si>
  <si>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</si>
  <si>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</si>
  <si>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</si>
  <si>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</si>
  <si>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</si>
  <si>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</si>
  <si>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</si>
  <si>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</si>
  <si>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</si>
  <si>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</si>
  <si>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</si>
  <si>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</si>
  <si>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</si>
  <si>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</si>
  <si>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</si>
  <si>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</si>
  <si>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</si>
  <si>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</si>
  <si>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</si>
  <si>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</si>
  <si>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</si>
  <si>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</si>
  <si>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</si>
  <si>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</si>
  <si>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</si>
  <si>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</si>
  <si>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</si>
  <si>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</si>
  <si>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</si>
  <si>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</si>
  <si>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</si>
  <si>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</si>
  <si>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</si>
  <si>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</si>
  <si>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</si>
  <si>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</si>
  <si>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</si>
  <si>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</si>
  <si>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</si>
  <si>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</si>
  <si>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</si>
  <si>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</si>
  <si>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</si>
  <si>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</si>
  <si>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</si>
  <si>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</si>
  <si>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</si>
  <si>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</si>
  <si>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</si>
  <si>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</si>
  <si>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</si>
  <si>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</si>
  <si>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</si>
  <si>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</si>
  <si>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</si>
  <si>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</si>
  <si>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</si>
  <si>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</si>
  <si>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</si>
  <si>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</si>
  <si>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</si>
  <si>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</si>
  <si>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</si>
  <si>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</si>
  <si>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</si>
  <si>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</si>
  <si>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</si>
  <si>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</si>
  <si>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</si>
  <si>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</si>
  <si>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</si>
  <si>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</si>
  <si>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</si>
  <si>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</si>
  <si>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</si>
  <si>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</si>
  <si>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</si>
  <si>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</si>
  <si>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</si>
  <si>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</si>
  <si>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</si>
  <si>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</si>
  <si>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</si>
  <si>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</si>
  <si>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</si>
  <si>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</si>
  <si>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</si>
  <si>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</si>
  <si>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</si>
  <si>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</si>
  <si>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</si>
  <si>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</si>
  <si>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</si>
  <si>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</si>
  <si>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</si>
  <si>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</si>
  <si>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</si>
  <si>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</si>
  <si>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</si>
  <si>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</si>
  <si>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</si>
  <si>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</si>
  <si>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</si>
  <si>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</si>
  <si>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</si>
  <si>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</si>
  <si>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</si>
  <si>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</si>
  <si>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</si>
  <si>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</si>
  <si>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</si>
  <si>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</si>
  <si>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</si>
  <si>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</si>
  <si>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</si>
  <si>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</si>
  <si>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</si>
  <si>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</si>
  <si>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</si>
  <si>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</si>
  <si>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</si>
  <si>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</si>
  <si>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</si>
  <si>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</si>
  <si>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</si>
  <si>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</si>
  <si>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</si>
  <si>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</si>
  <si>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</si>
  <si>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</si>
  <si>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</si>
  <si>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</si>
  <si>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</si>
  <si>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</si>
  <si>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</si>
  <si>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</si>
  <si>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</si>
  <si>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</si>
  <si>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</si>
  <si>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</si>
  <si>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</si>
  <si>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</si>
  <si>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</si>
  <si>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</si>
  <si>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</si>
  <si>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</si>
  <si>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</si>
  <si>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</si>
  <si>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</si>
  <si>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</si>
  <si>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</si>
  <si>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</si>
  <si>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</si>
  <si>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</si>
  <si>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</si>
  <si>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</si>
  <si>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</si>
  <si>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</si>
  <si>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</si>
  <si>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</si>
  <si>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</si>
  <si>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</si>
  <si>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</si>
  <si>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</si>
  <si>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</si>
  <si>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</si>
  <si>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</si>
  <si>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</si>
  <si>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</si>
  <si>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</si>
  <si>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</si>
  <si>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</si>
  <si>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</si>
  <si>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</si>
  <si>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</si>
  <si>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</si>
  <si>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</si>
  <si>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</si>
  <si>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</si>
  <si>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</si>
  <si>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</si>
  <si>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</si>
  <si>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</si>
  <si>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</si>
  <si>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</si>
  <si>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</si>
  <si>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</si>
  <si>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</si>
  <si>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</si>
  <si>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</si>
  <si>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</si>
  <si>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</si>
  <si>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</si>
  <si>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</si>
  <si>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</si>
  <si>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</si>
  <si>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</si>
  <si>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</si>
  <si>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</si>
  <si>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</si>
  <si>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</si>
  <si>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</si>
  <si>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</si>
  <si>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</si>
  <si>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</si>
  <si>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</si>
  <si>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</si>
  <si>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</si>
  <si>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</si>
  <si>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</si>
  <si>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</si>
  <si>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</si>
  <si>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</si>
  <si>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</si>
  <si>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</si>
  <si>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</si>
  <si>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</si>
  <si>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</si>
  <si>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</si>
  <si>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</si>
  <si>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</si>
  <si>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</si>
  <si>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</si>
  <si>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</si>
  <si>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</si>
  <si>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</si>
  <si>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</si>
  <si>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</si>
  <si>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</si>
  <si>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</si>
  <si>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</si>
  <si>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</si>
  <si>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</si>
  <si>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</si>
  <si>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</si>
  <si>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</si>
  <si>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</si>
  <si>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</si>
  <si>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</si>
  <si>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</si>
  <si>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</si>
  <si>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</si>
  <si>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</si>
  <si>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</si>
  <si>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</si>
  <si>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</si>
  <si>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</si>
  <si>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</si>
  <si>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</si>
  <si>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</si>
  <si>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</si>
  <si>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</si>
  <si>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</si>
  <si>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</si>
  <si>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</si>
  <si>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</si>
  <si>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</si>
  <si>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</si>
  <si>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</si>
  <si>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</si>
  <si>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</si>
  <si>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</si>
  <si>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</si>
  <si>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</si>
  <si>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</si>
  <si>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</si>
  <si>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</si>
  <si>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</si>
  <si>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</si>
  <si>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</si>
  <si>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</si>
  <si>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</si>
  <si>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</si>
  <si>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</si>
  <si>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</si>
  <si>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</si>
  <si>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</si>
  <si>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</si>
  <si>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</si>
  <si>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</si>
  <si>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</si>
  <si>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</si>
  <si>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</si>
  <si>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</si>
  <si>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</si>
  <si>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</si>
  <si>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</si>
  <si>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</si>
  <si>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</si>
  <si>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</si>
  <si>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</si>
  <si>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</si>
  <si>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</si>
  <si>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</si>
  <si>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</si>
  <si>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</si>
  <si>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</si>
  <si>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</si>
  <si>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</si>
  <si>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</si>
  <si>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</si>
  <si>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</si>
  <si>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</si>
  <si>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</si>
  <si>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</si>
  <si>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</si>
  <si>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</si>
  <si>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</si>
  <si>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</si>
  <si>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</si>
  <si>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</si>
  <si>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</si>
  <si>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</si>
  <si>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</si>
  <si>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</si>
  <si>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</si>
  <si>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</si>
  <si>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</si>
  <si>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</si>
  <si>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</si>
  <si>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</si>
  <si>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</si>
  <si>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</si>
  <si>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</si>
  <si>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</si>
  <si>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</si>
  <si>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</si>
  <si>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</si>
  <si>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</si>
  <si>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</si>
  <si>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</si>
  <si>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</si>
  <si>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</si>
  <si>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</si>
  <si>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</si>
  <si>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</si>
  <si>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</si>
  <si>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</si>
  <si>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</si>
  <si>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</si>
  <si>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</si>
  <si>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</si>
  <si>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</si>
  <si>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</si>
  <si>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</si>
  <si>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</si>
  <si>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</si>
  <si>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</si>
  <si>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</si>
  <si>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</si>
  <si>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</si>
  <si>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</si>
  <si>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</si>
  <si>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</si>
  <si>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</si>
  <si>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</si>
  <si>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</si>
  <si>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</si>
  <si>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</si>
  <si>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</si>
  <si>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</si>
  <si>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</si>
  <si>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</si>
  <si>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</si>
  <si>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</si>
  <si>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</si>
  <si>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</si>
  <si>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</si>
  <si>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</si>
  <si>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</si>
  <si>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</si>
  <si>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</si>
  <si>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</si>
  <si>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</si>
  <si>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</si>
  <si>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</si>
  <si>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</si>
  <si>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</si>
  <si>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</si>
  <si>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</si>
  <si>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</si>
  <si>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</si>
  <si>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</si>
  <si>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</si>
  <si>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</si>
  <si>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</si>
  <si>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</si>
  <si>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</si>
  <si>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</si>
  <si>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</si>
  <si>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</si>
  <si>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</si>
  <si>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</si>
  <si>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</si>
  <si>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</si>
  <si>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</si>
  <si>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</si>
  <si>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</si>
  <si>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</si>
  <si>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</si>
  <si>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</si>
  <si>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</si>
  <si>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</si>
  <si>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</si>
  <si>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</si>
  <si>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</si>
  <si>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</si>
  <si>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</si>
  <si>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</si>
  <si>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</si>
  <si>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</si>
  <si>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</si>
  <si>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</si>
  <si>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</si>
  <si>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</si>
  <si>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</si>
  <si>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</si>
  <si>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</si>
  <si>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</si>
  <si>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</si>
  <si>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</si>
  <si>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</si>
  <si>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</si>
  <si>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</si>
  <si>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</si>
  <si>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</si>
  <si>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</si>
  <si>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</si>
  <si>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</si>
  <si>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</si>
  <si>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</si>
  <si>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</si>
  <si>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</si>
  <si>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</si>
  <si>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</si>
  <si>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</si>
  <si>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</si>
  <si>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</si>
  <si>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</si>
  <si>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</si>
  <si>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</si>
  <si>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</si>
  <si>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</si>
  <si>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</si>
  <si>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</si>
  <si>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</si>
  <si>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</si>
  <si>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</si>
  <si>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</si>
  <si>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</si>
  <si>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</si>
  <si>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</si>
  <si>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</si>
  <si>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</si>
  <si>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</si>
  <si>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</si>
  <si>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</si>
  <si>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</si>
  <si>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</si>
  <si>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</si>
  <si>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</si>
  <si>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</si>
  <si>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</si>
  <si>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</si>
  <si>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</si>
  <si>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</si>
  <si>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</si>
  <si>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</si>
  <si>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</si>
  <si>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</si>
  <si>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</si>
  <si>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</si>
  <si>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</si>
  <si>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</si>
  <si>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</si>
  <si>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</si>
  <si>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</si>
  <si>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</si>
  <si>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</si>
  <si>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</si>
  <si>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</si>
  <si>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</si>
  <si>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</si>
  <si>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</si>
  <si>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</si>
  <si>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</si>
  <si>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</si>
  <si>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</si>
  <si>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</si>
  <si>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</si>
  <si>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</si>
  <si>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</si>
  <si>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</si>
  <si>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</si>
  <si>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</si>
  <si>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</si>
  <si>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</si>
  <si>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</si>
  <si>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</si>
  <si>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</si>
  <si>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</si>
  <si>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</si>
  <si>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</si>
  <si>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</si>
  <si>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</si>
  <si>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</si>
  <si>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</si>
  <si>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</si>
  <si>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</si>
  <si>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</si>
  <si>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</si>
  <si>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</si>
  <si>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</si>
  <si>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</si>
  <si>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</si>
  <si>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</si>
  <si>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</si>
  <si>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</si>
  <si>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</si>
  <si>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</si>
  <si>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</si>
  <si>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</si>
  <si>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</si>
  <si>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</si>
  <si>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</si>
  <si>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</si>
  <si>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</si>
  <si>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</si>
  <si>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</si>
  <si>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</si>
  <si>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</si>
  <si>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</si>
  <si>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</si>
  <si>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</si>
  <si>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</si>
  <si>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</si>
  <si>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</si>
  <si>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</si>
  <si>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</si>
  <si>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</si>
  <si>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</si>
  <si>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</si>
  <si>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</si>
  <si>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</si>
  <si>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</si>
  <si>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</si>
  <si>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</si>
  <si>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</si>
  <si>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</si>
  <si>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</si>
  <si>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</si>
  <si>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</si>
  <si>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</si>
  <si>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</si>
  <si>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</si>
  <si>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</si>
  <si>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</si>
  <si>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</si>
  <si>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</si>
  <si>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</si>
  <si>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</si>
  <si>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</si>
  <si>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</si>
  <si>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</si>
  <si>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</si>
  <si>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</si>
  <si>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</si>
  <si>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</si>
  <si>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</si>
  <si>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</si>
  <si>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</si>
  <si>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</si>
  <si>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</si>
  <si>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</si>
  <si>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</si>
  <si>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</si>
  <si>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</si>
  <si>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</si>
  <si>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</si>
  <si>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</si>
  <si>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</si>
  <si>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</si>
  <si>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</si>
  <si>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</si>
  <si>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</si>
  <si>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</si>
  <si>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</si>
  <si>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</si>
  <si>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</si>
  <si>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</si>
  <si>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</si>
  <si>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</si>
  <si>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</si>
  <si>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</si>
  <si>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</si>
  <si>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</si>
  <si>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</si>
  <si>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</si>
  <si>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</si>
  <si>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</si>
  <si>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</si>
  <si>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</si>
  <si>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</si>
  <si>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</si>
  <si>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</si>
  <si>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</si>
  <si>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</si>
  <si>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</si>
  <si>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</si>
  <si>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</si>
  <si>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</si>
  <si>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</si>
  <si>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</si>
  <si>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</si>
  <si>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</si>
  <si>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</si>
  <si>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</si>
  <si>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</si>
  <si>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</si>
  <si>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</si>
  <si>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</si>
  <si>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</si>
  <si>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</si>
  <si>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</si>
  <si>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</si>
  <si>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</si>
  <si>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</si>
  <si>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</si>
  <si>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</si>
  <si>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</si>
  <si>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</si>
  <si>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</si>
  <si>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</si>
  <si>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</si>
  <si>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</si>
  <si>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</si>
  <si>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</si>
  <si>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</si>
  <si>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</si>
  <si>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</si>
  <si>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</si>
  <si>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</si>
  <si>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</si>
  <si>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</si>
  <si>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</si>
  <si>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</si>
  <si>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</si>
  <si>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</si>
  <si>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</si>
  <si>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</si>
  <si>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</si>
  <si>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</si>
  <si>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</si>
  <si>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</si>
  <si>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</si>
  <si>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</si>
  <si>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</si>
  <si>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</si>
  <si>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</si>
  <si>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</si>
  <si>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</si>
  <si>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</si>
  <si>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</si>
  <si>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</si>
  <si>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</si>
  <si>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</si>
  <si>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</si>
  <si>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</si>
  <si>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</si>
  <si>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</si>
  <si>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</si>
  <si>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</si>
  <si>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</si>
  <si>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</si>
  <si>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</si>
  <si>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</si>
  <si>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</si>
  <si>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</si>
  <si>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</si>
  <si>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</si>
  <si>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</si>
  <si>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</si>
  <si>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</si>
  <si>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</si>
  <si>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</si>
  <si>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</si>
  <si>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</si>
  <si>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</si>
  <si>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</si>
  <si>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</si>
  <si>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</si>
  <si>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</si>
  <si>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</si>
  <si>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</si>
  <si>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</si>
  <si>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</si>
  <si>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</si>
  <si>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</si>
  <si>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</si>
  <si>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</si>
  <si>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</si>
  <si>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</si>
  <si>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</si>
  <si>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</si>
  <si>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</si>
  <si>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</si>
  <si>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</si>
  <si>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</si>
  <si>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</si>
  <si>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</si>
  <si>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</si>
  <si>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</si>
  <si>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</si>
  <si>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</si>
  <si>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</si>
  <si>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</si>
  <si>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</si>
  <si>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</si>
  <si>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</si>
  <si>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</si>
  <si>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</si>
  <si>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</si>
  <si>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</si>
  <si>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</si>
  <si>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</si>
  <si>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</si>
  <si>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</si>
  <si>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</si>
  <si>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</si>
  <si>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</si>
  <si>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</si>
  <si>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</si>
  <si>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</si>
  <si>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</si>
  <si>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</si>
  <si>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</si>
  <si>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</si>
  <si>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</si>
  <si>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</si>
  <si>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</si>
  <si>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</si>
  <si>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</si>
  <si>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</si>
  <si>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</si>
  <si>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</si>
  <si>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</si>
  <si>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</si>
  <si>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</si>
  <si>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</si>
  <si>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</si>
  <si>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</si>
  <si>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</si>
  <si>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</si>
  <si>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</si>
  <si>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</si>
  <si>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</si>
  <si>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</si>
  <si>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</si>
  <si>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</si>
  <si>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</si>
  <si>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</si>
  <si>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</si>
  <si>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</si>
  <si>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</si>
  <si>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</si>
  <si>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</si>
  <si>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</si>
  <si>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</si>
  <si>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</si>
  <si>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</si>
  <si>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</si>
  <si>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</si>
  <si>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</si>
  <si>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</si>
  <si>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</si>
  <si>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</si>
  <si>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</si>
  <si>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</si>
  <si>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</si>
  <si>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</si>
  <si>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</si>
  <si>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</si>
  <si>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</si>
  <si>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</si>
  <si>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</si>
  <si>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</si>
  <si>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</si>
  <si>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</si>
  <si>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</si>
  <si>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</si>
  <si>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</si>
  <si>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</si>
  <si>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</si>
  <si>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</si>
  <si>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</si>
  <si>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</si>
  <si>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</si>
  <si>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</si>
  <si>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</si>
  <si>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</si>
  <si>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</si>
  <si>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</si>
  <si>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</si>
  <si>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</si>
  <si>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</si>
  <si>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</si>
  <si>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</si>
  <si>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</si>
  <si>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</si>
  <si>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</si>
  <si>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</si>
  <si>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</si>
  <si>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</si>
  <si>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</si>
  <si>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</si>
  <si>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</si>
  <si>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</si>
  <si>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</si>
  <si>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</si>
  <si>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</si>
  <si>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</si>
  <si>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</si>
  <si>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</si>
  <si>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</si>
  <si>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</si>
  <si>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</si>
  <si>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</si>
  <si>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</si>
  <si>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</si>
  <si>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</si>
  <si>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</si>
  <si>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</si>
  <si>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</si>
  <si>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</si>
  <si>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</si>
  <si>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</si>
  <si>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</si>
  <si>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</si>
  <si>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</si>
  <si>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</si>
  <si>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</si>
  <si>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</si>
  <si>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</si>
  <si>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</si>
  <si>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</si>
  <si>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</si>
  <si>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</si>
  <si>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</si>
  <si>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</si>
  <si>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</si>
  <si>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</si>
  <si>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</si>
  <si>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</si>
  <si>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</si>
  <si>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</si>
  <si>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</si>
  <si>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</si>
  <si>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</si>
  <si>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</si>
  <si>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</si>
  <si>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</si>
  <si>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</si>
  <si>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</si>
  <si>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</si>
  <si>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</si>
  <si>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</si>
  <si>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</si>
  <si>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</si>
  <si>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</si>
  <si>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</si>
  <si>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</si>
  <si>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</si>
  <si>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</si>
  <si>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</si>
  <si>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</si>
  <si>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</si>
  <si>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</si>
  <si>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</si>
  <si>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</si>
  <si>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</si>
  <si>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</si>
  <si>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</si>
  <si>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</si>
  <si>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</si>
  <si>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</si>
  <si>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</si>
  <si>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</si>
  <si>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</si>
  <si>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</si>
  <si>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</si>
  <si>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</si>
  <si>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</si>
  <si>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</si>
  <si>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</si>
  <si>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</si>
  <si>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</si>
  <si>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</si>
  <si>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</si>
  <si>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</si>
  <si>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</si>
  <si>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</si>
  <si>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</si>
  <si>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</si>
  <si>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</si>
  <si>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</si>
  <si>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</si>
  <si>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</si>
  <si>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</si>
  <si>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</si>
  <si>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</si>
  <si>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</si>
  <si>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</si>
  <si>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</si>
  <si>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</si>
  <si>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</si>
  <si>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</si>
  <si>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</si>
  <si>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</si>
  <si>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</si>
  <si>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</si>
  <si>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</si>
  <si>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</si>
  <si>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</si>
  <si>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</si>
  <si>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</si>
  <si>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</si>
  <si>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</si>
  <si>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</si>
  <si>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</si>
  <si>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</si>
  <si>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</si>
  <si>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</si>
  <si>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</si>
  <si>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</si>
  <si>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</si>
  <si>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</si>
  <si>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</si>
  <si>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</si>
  <si>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</si>
  <si>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</si>
  <si>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</si>
  <si>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</si>
  <si>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</si>
  <si>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</si>
  <si>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</si>
  <si>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</si>
  <si>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</si>
  <si>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</si>
  <si>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</si>
  <si>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</si>
  <si>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</si>
  <si>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</si>
  <si>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</si>
  <si>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</si>
  <si>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</si>
  <si>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</si>
  <si>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</si>
  <si>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</si>
  <si>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</si>
  <si>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</si>
  <si>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</si>
  <si>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</si>
  <si>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</si>
  <si>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</si>
  <si>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</si>
  <si>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</si>
  <si>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</si>
  <si>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</si>
  <si>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</si>
  <si>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</si>
  <si>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</si>
  <si>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</si>
  <si>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</si>
  <si>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</si>
  <si>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</si>
  <si>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</si>
  <si>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</si>
  <si>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</si>
  <si>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</si>
  <si>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</si>
  <si>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</si>
  <si>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</si>
  <si>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</si>
  <si>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</si>
  <si>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</si>
  <si>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</si>
  <si>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</si>
  <si>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</si>
  <si>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</si>
  <si>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</si>
  <si>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</si>
  <si>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</si>
  <si>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</si>
  <si>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</si>
  <si>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</si>
  <si>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</si>
  <si>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</si>
  <si>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</si>
  <si>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</si>
  <si>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</si>
  <si>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</si>
  <si>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</si>
  <si>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</si>
  <si>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</si>
  <si>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</si>
  <si>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</si>
  <si>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</si>
  <si>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</si>
  <si>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</si>
  <si>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</si>
  <si>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</si>
  <si>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</si>
  <si>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</si>
  <si>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</si>
  <si>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</si>
  <si>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</si>
  <si>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</si>
  <si>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</si>
  <si>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</si>
  <si>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</si>
  <si>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</si>
  <si>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</si>
  <si>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</si>
  <si>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</si>
  <si>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</si>
  <si>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</si>
  <si>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</si>
  <si>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</si>
  <si>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</si>
  <si>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</si>
  <si>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</si>
  <si>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</si>
  <si>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</si>
  <si>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</si>
  <si>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</si>
  <si>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</si>
  <si>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</si>
  <si>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</si>
  <si>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</si>
  <si>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</si>
  <si>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</si>
  <si>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</si>
  <si>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</si>
  <si>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</si>
  <si>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</si>
  <si>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</si>
  <si>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</si>
  <si>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</si>
  <si>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</si>
  <si>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</si>
  <si>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</si>
  <si>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</si>
  <si>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</si>
  <si>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</si>
  <si>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</si>
  <si>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</si>
  <si>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</si>
  <si>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</si>
  <si>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</si>
  <si>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</si>
  <si>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</si>
  <si>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</si>
  <si>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</si>
  <si>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</si>
  <si>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</si>
  <si>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</si>
  <si>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</si>
  <si>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</si>
  <si>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</si>
  <si>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</si>
  <si>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</si>
  <si>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</si>
  <si>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</si>
  <si>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</si>
  <si>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</si>
  <si>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</si>
  <si>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</si>
  <si>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</si>
  <si>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</si>
  <si>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</si>
  <si>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</si>
  <si>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</si>
  <si>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</si>
  <si>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</si>
  <si>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</si>
  <si>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</si>
  <si>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</si>
  <si>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</si>
  <si>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</si>
  <si>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</si>
  <si>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</si>
  <si>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</si>
  <si>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</si>
  <si>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</si>
  <si>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</si>
  <si>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</si>
  <si>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</si>
  <si>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</si>
  <si>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</si>
  <si>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</si>
  <si>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</si>
  <si>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</si>
  <si>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</si>
  <si>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</si>
  <si>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</si>
  <si>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</si>
  <si>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</si>
  <si>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</si>
  <si>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</si>
  <si>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</si>
  <si>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</si>
  <si>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</si>
  <si>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</si>
  <si>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</si>
  <si>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</si>
  <si>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</si>
  <si>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</si>
  <si>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</si>
  <si>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</si>
  <si>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</si>
  <si>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</si>
  <si>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</si>
  <si>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</si>
  <si>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</si>
  <si>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</si>
  <si>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</si>
  <si>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</si>
  <si>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</si>
  <si>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</si>
  <si>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</si>
  <si>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</si>
  <si>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</si>
  <si>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</si>
  <si>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</si>
  <si>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</si>
  <si>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</si>
  <si>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</si>
  <si>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</si>
  <si>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</si>
  <si>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</si>
  <si>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</si>
  <si>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</si>
  <si>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</si>
  <si>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</si>
  <si>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</si>
  <si>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</si>
  <si>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</si>
  <si>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</si>
  <si>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</si>
  <si>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</si>
  <si>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</si>
  <si>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</si>
  <si>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</si>
  <si>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</si>
  <si>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</si>
  <si>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</si>
  <si>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</si>
  <si>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</si>
  <si>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</si>
  <si>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</si>
  <si>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</si>
  <si>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</si>
  <si>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</si>
  <si>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</si>
  <si>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</si>
  <si>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</si>
  <si>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</si>
  <si>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</si>
  <si>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</si>
  <si>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</si>
  <si>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</si>
  <si>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</si>
  <si>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</si>
  <si>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</si>
  <si>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</si>
  <si>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</si>
  <si>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</si>
  <si>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</si>
  <si>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</si>
  <si>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</si>
  <si>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</si>
  <si>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</si>
  <si>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</si>
  <si>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</si>
  <si>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</si>
  <si>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</si>
  <si>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</si>
  <si>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</si>
  <si>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</si>
  <si>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</si>
  <si>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</si>
  <si>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</si>
  <si>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</si>
  <si>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</si>
  <si>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</si>
  <si>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</si>
  <si>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</si>
  <si>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</si>
  <si>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</si>
  <si>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</si>
  <si>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</si>
  <si>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</si>
  <si>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</si>
  <si>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</si>
  <si>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</si>
  <si>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</si>
  <si>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</si>
  <si>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</si>
  <si>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</si>
  <si>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</si>
  <si>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</si>
  <si>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</si>
  <si>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</si>
  <si>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</si>
  <si>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</si>
  <si>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</si>
  <si>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</si>
  <si>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</si>
  <si>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</si>
  <si>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</si>
  <si>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</si>
  <si>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</si>
  <si>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</si>
  <si>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</si>
  <si>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</si>
  <si>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</si>
  <si>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</si>
  <si>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</si>
  <si>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</si>
  <si>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</si>
  <si>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</si>
  <si>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</si>
  <si>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</si>
  <si>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</si>
  <si>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</si>
  <si>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</si>
  <si>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</si>
  <si>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</si>
  <si>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</si>
  <si>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</si>
  <si>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</si>
  <si>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</si>
  <si>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</si>
  <si>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</si>
  <si>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</si>
  <si>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</si>
  <si>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</si>
  <si>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</si>
  <si>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</si>
  <si>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</si>
  <si>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</si>
  <si>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</si>
  <si>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</si>
  <si>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</si>
  <si>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</si>
  <si>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</si>
  <si>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</si>
  <si>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</si>
  <si>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</si>
  <si>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</si>
  <si>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</si>
  <si>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</si>
  <si>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</si>
  <si>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</si>
  <si>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</si>
  <si>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</si>
  <si>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</si>
  <si>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</si>
  <si>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</si>
  <si>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</si>
  <si>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</si>
  <si>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</si>
  <si>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</si>
  <si>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</si>
  <si>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</si>
  <si>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</si>
  <si>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</si>
  <si>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</si>
  <si>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</si>
  <si>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</si>
  <si>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</si>
  <si>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</si>
  <si>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</si>
  <si>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</si>
  <si>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</si>
  <si>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</si>
  <si>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</si>
  <si>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</si>
  <si>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</si>
  <si>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</si>
  <si>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</si>
  <si>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</si>
  <si>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</si>
  <si>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</si>
  <si>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</si>
  <si>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</si>
  <si>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</si>
  <si>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</si>
  <si>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</si>
  <si>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</si>
  <si>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</si>
  <si>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</si>
  <si>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</si>
  <si>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</si>
  <si>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</si>
  <si>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</si>
  <si>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</si>
  <si>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</si>
  <si>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</si>
  <si>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</si>
  <si>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</si>
  <si>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</si>
  <si>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</si>
  <si>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</si>
  <si>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</si>
  <si>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</si>
  <si>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</si>
  <si>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</si>
  <si>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</si>
  <si>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</si>
  <si>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</si>
  <si>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</si>
  <si>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</si>
  <si>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</si>
  <si>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</si>
  <si>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</si>
  <si>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</si>
  <si>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</si>
  <si>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</si>
  <si>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</si>
  <si>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</si>
  <si>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</si>
  <si>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</si>
  <si>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</si>
  <si>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</si>
  <si>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</si>
  <si>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</si>
  <si>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</si>
  <si>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</si>
  <si>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</si>
  <si>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</si>
  <si>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</si>
  <si>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</si>
  <si>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</si>
  <si>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</si>
  <si>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</si>
  <si>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</si>
  <si>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</si>
  <si>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</si>
  <si>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</si>
  <si>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</si>
  <si>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</si>
  <si>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</si>
  <si>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</si>
  <si>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</si>
  <si>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</si>
  <si>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</si>
  <si>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</si>
  <si>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</si>
  <si>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</si>
  <si>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</si>
  <si>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</si>
  <si>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</si>
  <si>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</si>
  <si>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</si>
  <si>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</si>
  <si>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</si>
  <si>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</si>
  <si>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</si>
  <si>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</si>
  <si>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</si>
  <si>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</si>
  <si>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</si>
  <si>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</si>
  <si>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</si>
  <si>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</si>
  <si>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</si>
  <si>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</si>
  <si>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</si>
  <si>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</si>
  <si>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</si>
  <si>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</si>
  <si>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</si>
  <si>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</si>
  <si>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</si>
  <si>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</si>
  <si>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</si>
  <si>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</si>
  <si>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</si>
  <si>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</si>
  <si>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</si>
  <si>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</si>
  <si>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</si>
  <si>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</si>
  <si>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</si>
  <si>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</si>
  <si>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</si>
  <si>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</si>
  <si>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</si>
  <si>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</si>
  <si>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</si>
  <si>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</si>
  <si>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</si>
  <si>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</si>
  <si>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</si>
  <si>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</si>
  <si>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</si>
  <si>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</si>
  <si>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</si>
  <si>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</si>
  <si>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</si>
  <si>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</si>
  <si>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</si>
  <si>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</si>
  <si>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</si>
  <si>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</si>
  <si>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</si>
  <si>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</si>
  <si>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</si>
  <si>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</si>
  <si>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</si>
  <si>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</si>
  <si>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</si>
  <si>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</si>
  <si>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</si>
  <si>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</si>
  <si>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</si>
  <si>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</si>
  <si>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</si>
  <si>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</si>
  <si>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</si>
  <si>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</si>
  <si>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</si>
  <si>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</si>
  <si>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</si>
  <si>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</si>
  <si>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</si>
  <si>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</si>
  <si>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</si>
  <si>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</si>
  <si>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</si>
  <si>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</si>
  <si>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</si>
  <si>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</si>
  <si>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</si>
  <si>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</si>
  <si>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</si>
  <si>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</si>
  <si>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</si>
  <si>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</si>
  <si>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</si>
  <si>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</si>
  <si>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</si>
  <si>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</si>
  <si>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</si>
  <si>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</si>
  <si>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</si>
  <si>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</si>
  <si>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</si>
  <si>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</si>
  <si>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</si>
  <si>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</si>
  <si>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</si>
  <si>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</si>
  <si>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</si>
  <si>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</si>
  <si>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</si>
  <si>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</si>
  <si>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</si>
  <si>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</si>
  <si>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</si>
  <si>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</si>
  <si>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</si>
  <si>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</si>
  <si>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</si>
  <si>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</si>
  <si>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</si>
  <si>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</si>
  <si>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</si>
  <si>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</si>
  <si>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</si>
  <si>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</si>
  <si>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</si>
  <si>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</si>
  <si>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</si>
  <si>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</si>
  <si>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</si>
  <si>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</si>
  <si>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</si>
  <si>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</si>
  <si>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</si>
  <si>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</si>
  <si>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</si>
  <si>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</si>
  <si>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</si>
  <si>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</si>
  <si>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</si>
  <si>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</si>
  <si>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</si>
  <si>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</si>
  <si>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</si>
  <si>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</si>
  <si>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</si>
  <si>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</si>
  <si>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</si>
  <si>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</si>
  <si>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</si>
  <si>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</si>
  <si>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</si>
  <si>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</si>
  <si>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</si>
  <si>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</si>
  <si>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</si>
  <si>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</si>
  <si>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</si>
  <si>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</si>
  <si>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</si>
  <si>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</si>
  <si>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</si>
  <si>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</si>
  <si>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</si>
  <si>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</si>
  <si>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</si>
  <si>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</si>
  <si>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</si>
  <si>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</si>
  <si>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</si>
  <si>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</si>
  <si>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</si>
  <si>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</si>
  <si>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</si>
  <si>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</si>
  <si>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</si>
  <si>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</si>
  <si>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</si>
  <si>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</si>
  <si>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</si>
  <si>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</si>
  <si>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</si>
  <si>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</si>
  <si>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</si>
  <si>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</si>
  <si>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</si>
  <si>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</si>
  <si>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</si>
  <si>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</si>
  <si>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</si>
  <si>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</si>
  <si>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</si>
  <si>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</si>
  <si>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</si>
  <si>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</si>
  <si>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</si>
  <si>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</si>
  <si>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</si>
  <si>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</si>
  <si>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</si>
  <si>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</si>
  <si>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</si>
  <si>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</si>
  <si>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</si>
  <si>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</si>
  <si>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</si>
  <si>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</si>
  <si>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</si>
  <si>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</si>
  <si>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</si>
  <si>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</si>
  <si>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</si>
  <si>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</si>
  <si>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</si>
  <si>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</si>
  <si>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</si>
  <si>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</si>
  <si>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</si>
  <si>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</si>
  <si>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</si>
  <si>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</si>
  <si>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</si>
  <si>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</si>
  <si>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</si>
  <si>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</si>
  <si>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</si>
  <si>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</si>
  <si>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</si>
  <si>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</si>
  <si>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</si>
  <si>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</si>
  <si>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</si>
  <si>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</si>
  <si>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</si>
  <si>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</si>
  <si>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</si>
  <si>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</si>
  <si>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</si>
  <si>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</si>
  <si>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</si>
  <si>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</si>
  <si>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</si>
  <si>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</si>
  <si>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</si>
  <si>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</si>
  <si>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</si>
  <si>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</si>
  <si>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</si>
  <si>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</si>
  <si>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</si>
  <si>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</si>
  <si>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</si>
  <si>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</si>
  <si>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</si>
  <si>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</si>
  <si>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</si>
  <si>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</si>
  <si>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</si>
  <si>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</si>
  <si>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</si>
  <si>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</si>
  <si>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</si>
  <si>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</si>
  <si>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</si>
  <si>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</si>
  <si>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</si>
  <si>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</si>
  <si>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</si>
  <si>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</si>
  <si>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</si>
  <si>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</si>
  <si>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</si>
  <si>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</si>
  <si>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</si>
  <si>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</si>
  <si>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</si>
  <si>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</si>
  <si>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</si>
  <si>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</si>
  <si>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</si>
  <si>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</si>
  <si>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</si>
  <si>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</si>
  <si>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</si>
  <si>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</si>
  <si>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</si>
  <si>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</si>
  <si>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</si>
  <si>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</si>
  <si>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</si>
  <si>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</si>
  <si>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</si>
  <si>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</si>
  <si>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</si>
  <si>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</si>
  <si>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</si>
  <si>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</si>
  <si>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</si>
  <si>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</si>
  <si>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</si>
  <si>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</si>
  <si>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</si>
  <si>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</si>
  <si>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</si>
  <si>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</si>
  <si>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</si>
  <si>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</si>
  <si>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</si>
  <si>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</si>
  <si>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</si>
  <si>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</si>
  <si>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</si>
  <si>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</si>
  <si>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</si>
  <si>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</si>
  <si>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</si>
  <si>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</si>
  <si>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</si>
  <si>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</si>
  <si>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</si>
  <si>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</si>
  <si>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</si>
  <si>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</si>
  <si>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</si>
  <si>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</si>
  <si>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</si>
  <si>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</si>
  <si>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</si>
  <si>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</si>
  <si>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</si>
  <si>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</si>
  <si>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</si>
  <si>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</si>
  <si>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</si>
  <si>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</si>
  <si>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</si>
  <si>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</si>
  <si>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</si>
  <si>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</si>
  <si>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</si>
  <si>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</si>
  <si>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</si>
  <si>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</si>
  <si>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</si>
  <si>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</si>
  <si>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</si>
  <si>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</si>
  <si>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</si>
  <si>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</si>
  <si>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</si>
  <si>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</si>
  <si>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</si>
  <si>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</si>
  <si>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</si>
  <si>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</si>
  <si>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</si>
  <si>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</si>
  <si>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</si>
  <si>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</si>
  <si>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</si>
  <si>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</si>
  <si>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</si>
  <si>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</si>
  <si>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</si>
  <si>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</si>
  <si>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</si>
  <si>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</si>
  <si>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</si>
  <si>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</si>
  <si>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</si>
  <si>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</si>
  <si>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</si>
  <si>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</si>
  <si>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</si>
  <si>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</si>
  <si>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</si>
  <si>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</si>
  <si>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</si>
  <si>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</si>
  <si>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</si>
  <si>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</si>
  <si>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</si>
  <si>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</si>
  <si>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</si>
  <si>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</si>
  <si>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</si>
  <si>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</si>
  <si>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</si>
  <si>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</si>
  <si>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</si>
  <si>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</si>
  <si>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</si>
  <si>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</si>
  <si>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</si>
  <si>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</si>
  <si>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</si>
  <si>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</si>
  <si>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</si>
  <si>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</si>
  <si>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</si>
  <si>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</si>
  <si>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</si>
  <si>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</si>
  <si>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</si>
  <si>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</si>
  <si>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</si>
  <si>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</si>
  <si>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</si>
  <si>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</si>
  <si>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</si>
  <si>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</si>
  <si>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</si>
  <si>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</si>
  <si>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</si>
  <si>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</si>
  <si>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</si>
  <si>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</si>
  <si>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</si>
  <si>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</si>
  <si>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</si>
  <si>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</si>
  <si>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</si>
  <si>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</si>
  <si>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</si>
  <si>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</si>
  <si>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</si>
  <si>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</si>
  <si>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</si>
  <si>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</si>
  <si>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</si>
  <si>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</si>
  <si>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</si>
  <si>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</si>
  <si>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</si>
  <si>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</si>
  <si>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</si>
  <si>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</si>
  <si>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</si>
  <si>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</si>
  <si>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</si>
  <si>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</si>
  <si>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</si>
  <si>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</si>
  <si>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</si>
  <si>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</si>
  <si>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</si>
  <si>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</si>
  <si>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</si>
  <si>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</si>
  <si>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</si>
  <si>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</si>
  <si>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</si>
  <si>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</si>
  <si>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</si>
  <si>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</si>
  <si>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</si>
  <si>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</si>
  <si>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</si>
  <si>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</si>
  <si>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</si>
  <si>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</si>
  <si>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</si>
  <si>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</si>
  <si>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</si>
  <si>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</si>
  <si>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</si>
  <si>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</si>
  <si>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</si>
  <si>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</si>
  <si>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</si>
  <si>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</si>
  <si>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</si>
  <si>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</si>
  <si>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</si>
  <si>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</si>
  <si>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</si>
  <si>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</si>
  <si>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</si>
  <si>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</si>
  <si>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</si>
  <si>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</si>
  <si>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</si>
  <si>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</si>
  <si>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</si>
  <si>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</si>
  <si>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</si>
  <si>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</si>
  <si>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</si>
  <si>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</si>
  <si>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</si>
  <si>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</si>
  <si>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</si>
  <si>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</si>
  <si>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</si>
  <si>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</si>
  <si>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</si>
  <si>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</si>
  <si>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</si>
  <si>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</si>
  <si>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</si>
  <si>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</si>
  <si>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</si>
  <si>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</si>
  <si>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</si>
  <si>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</si>
  <si>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</si>
  <si>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</si>
  <si>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</si>
  <si>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</si>
  <si>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</si>
  <si>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</si>
  <si>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</si>
  <si>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</si>
  <si>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</si>
  <si>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</si>
  <si>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</si>
  <si>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</si>
  <si>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</si>
  <si>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</si>
  <si>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</si>
  <si>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</si>
  <si>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</si>
  <si>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</si>
  <si>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</si>
  <si>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</si>
  <si>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</si>
  <si>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</si>
  <si>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</si>
  <si>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</si>
  <si>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</si>
  <si>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</si>
  <si>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</si>
  <si>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</si>
  <si>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</si>
  <si>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</si>
  <si>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</si>
  <si>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</si>
  <si>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</si>
  <si>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</si>
  <si>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</si>
  <si>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</si>
  <si>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</si>
  <si>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</si>
  <si>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</si>
  <si>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</si>
  <si>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</si>
  <si>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</si>
  <si>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</si>
  <si>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</si>
  <si>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</si>
  <si>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</si>
  <si>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</si>
  <si>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</si>
  <si>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</si>
  <si>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</si>
  <si>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</si>
  <si>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</si>
  <si>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</si>
  <si>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</si>
  <si>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</si>
  <si>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</si>
  <si>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</si>
  <si>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</si>
  <si>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</si>
  <si>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</si>
  <si>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</si>
  <si>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</si>
  <si>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</si>
  <si>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</si>
  <si>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</si>
  <si>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</si>
  <si>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</si>
  <si>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</si>
  <si>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</si>
  <si>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</si>
  <si>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</si>
  <si>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</si>
  <si>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</si>
  <si>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</si>
  <si>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</si>
  <si>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</si>
  <si>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</si>
  <si>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</si>
  <si>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</si>
  <si>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</si>
  <si>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</si>
  <si>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</si>
  <si>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</si>
  <si>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</si>
  <si>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</si>
  <si>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</si>
  <si>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</si>
  <si>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</si>
  <si>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</si>
  <si>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</si>
  <si>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</si>
  <si>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</si>
  <si>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</si>
  <si>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</si>
  <si>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</si>
  <si>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</si>
  <si>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</si>
  <si>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</si>
  <si>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</si>
  <si>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</si>
  <si>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</si>
  <si>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</si>
  <si>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</si>
  <si>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</si>
  <si>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</si>
  <si>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</si>
  <si>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</si>
  <si>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</si>
  <si>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</si>
  <si>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</si>
  <si>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</si>
  <si>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</si>
  <si>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</si>
  <si>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</si>
  <si>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</si>
  <si>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</si>
  <si>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</si>
  <si>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</si>
  <si>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</si>
  <si>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</si>
  <si>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</si>
  <si>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</si>
  <si>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</si>
  <si>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</si>
  <si>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</si>
  <si>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</si>
  <si>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</si>
  <si>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</si>
  <si>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</si>
  <si>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</si>
  <si>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</si>
  <si>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</si>
  <si>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</si>
  <si>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</si>
  <si>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</si>
  <si>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</si>
  <si>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</si>
  <si>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</si>
  <si>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</si>
  <si>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</si>
  <si>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</si>
  <si>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</si>
  <si>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</si>
  <si>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</si>
  <si>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</si>
  <si>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</si>
  <si>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</si>
  <si>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</si>
  <si>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</si>
  <si>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</si>
  <si>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</si>
  <si>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</si>
  <si>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</si>
  <si>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</si>
  <si>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</si>
  <si>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</si>
  <si>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</si>
  <si>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</si>
  <si>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</si>
  <si>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</si>
  <si>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</si>
  <si>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</si>
  <si>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</si>
  <si>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</si>
  <si>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</si>
  <si>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</si>
  <si>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</si>
  <si>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</si>
  <si>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</si>
  <si>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</si>
  <si>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</si>
  <si>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</si>
  <si>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</si>
  <si>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</si>
  <si>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</si>
  <si>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</si>
  <si>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</si>
  <si>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</si>
  <si>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</si>
  <si>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</si>
  <si>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</si>
  <si>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</si>
  <si>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</si>
  <si>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</si>
  <si>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</si>
  <si>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</si>
  <si>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</si>
  <si>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</si>
  <si>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</si>
  <si>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</si>
  <si>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</si>
  <si>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</si>
  <si>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</si>
  <si>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</si>
  <si>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</si>
  <si>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</si>
  <si>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</si>
  <si>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</si>
  <si>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</si>
  <si>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</si>
  <si>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</si>
  <si>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</si>
  <si>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</si>
  <si>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</si>
  <si>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</si>
  <si>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</si>
  <si>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</si>
  <si>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</si>
  <si>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</si>
  <si>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</si>
  <si>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</si>
  <si>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</si>
  <si>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</si>
  <si>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</si>
  <si>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</si>
  <si>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</si>
  <si>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</si>
  <si>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</si>
  <si>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</si>
  <si>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</si>
  <si>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</si>
  <si>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</si>
  <si>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</si>
  <si>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</si>
  <si>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</si>
  <si>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</si>
  <si>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</si>
  <si>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</si>
  <si>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</si>
  <si>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</si>
  <si>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</si>
  <si>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</si>
  <si>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</si>
  <si>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</si>
  <si>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</si>
  <si>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</si>
  <si>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</si>
  <si>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</si>
  <si>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</si>
  <si>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</si>
  <si>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</si>
  <si>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</si>
  <si>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</si>
  <si>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</si>
  <si>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</si>
  <si>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</si>
  <si>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</si>
  <si>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</si>
  <si>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</si>
  <si>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</si>
  <si>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</si>
  <si>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</si>
  <si>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</si>
  <si>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</si>
  <si>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</si>
  <si>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</si>
  <si>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</si>
  <si>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</si>
  <si>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</si>
  <si>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</si>
  <si>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</si>
  <si>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</si>
  <si>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</si>
  <si>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</si>
  <si>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</si>
  <si>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</si>
  <si>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</si>
  <si>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</si>
  <si>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</si>
  <si>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</si>
  <si>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</si>
  <si>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</si>
  <si>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</si>
  <si>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</si>
  <si>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</si>
  <si>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</si>
  <si>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</si>
  <si>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</si>
  <si>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</si>
  <si>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</si>
  <si>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</si>
  <si>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</si>
  <si>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</si>
  <si>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</si>
  <si>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</si>
  <si>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</si>
  <si>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</si>
  <si>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</si>
  <si>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</si>
  <si>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</si>
  <si>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</si>
  <si>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</si>
  <si>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</si>
  <si>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</si>
  <si>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</si>
  <si>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</si>
  <si>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</si>
  <si>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</si>
  <si>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</si>
  <si>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</si>
  <si>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</si>
  <si>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</si>
  <si>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</si>
  <si>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</si>
  <si>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</si>
  <si>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</si>
  <si>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</si>
  <si>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</si>
  <si>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</si>
  <si>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</si>
  <si>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</si>
  <si>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</si>
  <si>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</si>
  <si>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</si>
  <si>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</si>
  <si>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</si>
  <si>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</si>
  <si>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</si>
  <si>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</si>
  <si>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</si>
  <si>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</si>
  <si>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</si>
  <si>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</si>
  <si>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</si>
  <si>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</si>
  <si>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</si>
  <si>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</si>
  <si>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</si>
  <si>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</si>
  <si>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</si>
  <si>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</si>
  <si>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</si>
  <si>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</si>
  <si>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</si>
  <si>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</si>
  <si>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</si>
  <si>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</si>
  <si>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</si>
  <si>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</si>
  <si>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</si>
  <si>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</si>
  <si>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</si>
  <si>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</si>
  <si>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</si>
  <si>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</si>
  <si>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</si>
  <si>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</si>
  <si>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</si>
  <si>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</si>
  <si>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</si>
  <si>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</si>
  <si>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</si>
  <si>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</si>
  <si>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</si>
  <si>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</si>
  <si>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</si>
  <si>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</si>
  <si>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</si>
  <si>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</si>
  <si>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</si>
  <si>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</si>
  <si>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</si>
  <si>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</si>
  <si>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</si>
  <si>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</si>
  <si>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</si>
  <si>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</si>
  <si>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</si>
  <si>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</si>
  <si>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</si>
  <si>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</si>
  <si>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</si>
  <si>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</si>
  <si>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</si>
  <si>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</si>
  <si>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</si>
  <si>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</si>
  <si>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</si>
  <si>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</si>
  <si>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</si>
  <si>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</si>
  <si>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</si>
  <si>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</si>
  <si>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</si>
  <si>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</si>
  <si>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</si>
  <si>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</si>
  <si>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</si>
  <si>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</si>
  <si>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</si>
  <si>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</si>
  <si>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</si>
  <si>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</si>
  <si>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</si>
  <si>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</si>
  <si>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</si>
  <si>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</si>
  <si>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</si>
  <si>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</si>
  <si>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</si>
  <si>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</si>
  <si>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</si>
  <si>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</si>
  <si>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</si>
  <si>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</si>
  <si>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</si>
  <si>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</si>
  <si>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</si>
  <si>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</si>
  <si>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</si>
  <si>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</si>
  <si>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</si>
  <si>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</si>
  <si>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</si>
  <si>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</si>
  <si>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</si>
  <si>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</si>
  <si>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</si>
  <si>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</si>
  <si>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</si>
  <si>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</si>
  <si>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</si>
  <si>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</si>
  <si>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</si>
  <si>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</si>
  <si>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</si>
  <si>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</si>
  <si>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</si>
  <si>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</si>
  <si>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</si>
  <si>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</si>
  <si>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</si>
  <si>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</si>
  <si>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</si>
  <si>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</si>
  <si>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</si>
  <si>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</si>
  <si>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</si>
  <si>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</si>
  <si>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</si>
  <si>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</si>
  <si>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</si>
  <si>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</si>
  <si>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</si>
  <si>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</si>
  <si>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</si>
  <si>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</si>
  <si>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</si>
  <si>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</si>
  <si>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</si>
  <si>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</si>
  <si>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</si>
  <si>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</si>
  <si>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</si>
  <si>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</si>
  <si>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</si>
  <si>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</si>
  <si>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</si>
  <si>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</si>
  <si>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</si>
  <si>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</si>
  <si>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</si>
  <si>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</si>
  <si>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</si>
  <si>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</si>
  <si>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</si>
  <si>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</si>
  <si>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</si>
  <si>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</si>
  <si>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</si>
  <si>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</si>
  <si>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</si>
  <si>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</si>
  <si>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</si>
  <si>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</si>
  <si>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</si>
  <si>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</si>
  <si>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</si>
  <si>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</si>
  <si>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</si>
  <si>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</si>
  <si>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</si>
  <si>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</si>
  <si>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</si>
  <si>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</si>
  <si>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</si>
  <si>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</si>
  <si>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</si>
  <si>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</si>
  <si>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</si>
  <si>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</si>
  <si>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</si>
  <si>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</si>
  <si>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</si>
  <si>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</si>
  <si>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</si>
  <si>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</si>
  <si>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</si>
  <si>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</si>
  <si>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</si>
  <si>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</si>
  <si>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</si>
  <si>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</si>
  <si>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</si>
  <si>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</si>
  <si>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</si>
  <si>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</si>
  <si>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</si>
  <si>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</si>
  <si>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</si>
  <si>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</si>
  <si>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</si>
  <si>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</si>
  <si>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</si>
  <si>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</si>
  <si>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</si>
  <si>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</si>
  <si>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</si>
  <si>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</si>
  <si>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</si>
  <si>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</si>
  <si>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</si>
  <si>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</si>
  <si>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</si>
  <si>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</si>
  <si>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</si>
  <si>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</si>
  <si>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</si>
  <si>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</si>
  <si>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</si>
  <si>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</si>
  <si>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</si>
  <si>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</si>
  <si>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</si>
  <si>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</si>
  <si>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</si>
  <si>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</si>
  <si>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</si>
  <si>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</si>
  <si>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</si>
  <si>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</si>
  <si>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</si>
  <si>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</si>
  <si>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</si>
  <si>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</si>
  <si>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</si>
  <si>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</si>
  <si>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</si>
  <si>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</si>
  <si>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</si>
  <si>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</si>
  <si>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</si>
  <si>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</si>
  <si>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</si>
  <si>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</si>
  <si>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</si>
  <si>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</si>
  <si>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</si>
  <si>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</si>
  <si>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</si>
  <si>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</si>
  <si>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</si>
  <si>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</si>
  <si>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</si>
  <si>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</si>
  <si>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</si>
  <si>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</si>
  <si>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</si>
  <si>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</si>
  <si>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</si>
  <si>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</si>
  <si>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</si>
  <si>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</si>
  <si>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</si>
  <si>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</si>
  <si>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</si>
  <si>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</si>
  <si>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</si>
  <si>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</si>
  <si>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</si>
  <si>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</si>
  <si>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</si>
  <si>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</si>
  <si>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</si>
  <si>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</si>
  <si>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</si>
  <si>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</si>
  <si>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</si>
  <si>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</si>
  <si>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</si>
  <si>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</si>
  <si>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</si>
  <si>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</si>
  <si>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</si>
  <si>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</si>
  <si>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</si>
  <si>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</si>
  <si>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</si>
  <si>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</si>
  <si>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</si>
  <si>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</si>
  <si>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</si>
  <si>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</si>
  <si>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</si>
  <si>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</si>
  <si>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</si>
  <si>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</si>
  <si>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</si>
  <si>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</si>
  <si>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</si>
  <si>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</si>
  <si>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</si>
  <si>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</si>
  <si>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</si>
  <si>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</si>
  <si>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</si>
  <si>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</si>
  <si>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</si>
  <si>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</si>
  <si>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</si>
  <si>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</si>
  <si>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</si>
  <si>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</si>
  <si>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</si>
  <si>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</si>
  <si>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</si>
  <si>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</si>
  <si>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</si>
  <si>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</si>
  <si>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</si>
  <si>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</si>
  <si>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</si>
  <si>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</si>
  <si>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</si>
  <si>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</si>
  <si>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</si>
  <si>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</si>
  <si>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</si>
  <si>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</si>
  <si>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</si>
  <si>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</si>
  <si>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</si>
  <si>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</si>
  <si>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</si>
  <si>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</si>
  <si>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</si>
  <si>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</si>
  <si>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</si>
  <si>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</si>
  <si>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</si>
  <si>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</si>
  <si>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</si>
  <si>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</si>
  <si>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</si>
  <si>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</si>
  <si>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</si>
  <si>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</si>
  <si>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</si>
  <si>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</si>
  <si>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</si>
  <si>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</si>
  <si>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</si>
  <si>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</si>
  <si>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</si>
  <si>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</si>
  <si>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</si>
  <si>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</si>
  <si>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</si>
  <si>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</si>
  <si>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</si>
  <si>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</si>
  <si>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</si>
  <si>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</si>
  <si>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</si>
  <si>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</si>
  <si>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</si>
  <si>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</si>
  <si>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</si>
  <si>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</si>
  <si>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</si>
  <si>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</si>
  <si>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</si>
  <si>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</si>
  <si>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</si>
  <si>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</si>
  <si>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</si>
  <si>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</si>
  <si>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</si>
  <si>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</si>
  <si>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</si>
  <si>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</si>
  <si>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</si>
  <si>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</si>
  <si>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</si>
  <si>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</si>
  <si>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</si>
  <si>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</si>
  <si>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</si>
  <si>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</si>
  <si>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</si>
  <si>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</si>
  <si>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</si>
  <si>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</si>
  <si>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</si>
  <si>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</si>
  <si>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</si>
  <si>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</si>
  <si>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</si>
  <si>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</si>
  <si>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</si>
  <si>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</si>
  <si>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</si>
  <si>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</si>
  <si>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</si>
  <si>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</si>
  <si>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</si>
  <si>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</si>
  <si>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</si>
  <si>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</si>
  <si>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</si>
  <si>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</si>
  <si>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</si>
  <si>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</si>
  <si>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</si>
  <si>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</si>
  <si>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</si>
  <si>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</si>
  <si>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</si>
  <si>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</si>
  <si>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</si>
  <si>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</si>
  <si>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</si>
  <si>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</si>
  <si>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</si>
  <si>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</si>
  <si>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</si>
  <si>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</si>
  <si>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</si>
  <si>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</si>
  <si>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</si>
  <si>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</si>
  <si>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</si>
  <si>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</si>
  <si>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</si>
  <si>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</si>
  <si>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</si>
  <si>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</si>
  <si>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</si>
  <si>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</si>
  <si>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</si>
  <si>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</si>
  <si>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</si>
  <si>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</si>
  <si>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</si>
  <si>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</si>
  <si>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</si>
  <si>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</si>
  <si>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</si>
  <si>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</si>
  <si>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</si>
  <si>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</si>
  <si>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</si>
  <si>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</si>
  <si>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</si>
  <si>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</si>
  <si>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</si>
  <si>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</si>
  <si>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</si>
  <si>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</si>
  <si>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</si>
  <si>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</si>
  <si>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</si>
  <si>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</si>
  <si>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</si>
  <si>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</si>
  <si>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</si>
  <si>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</si>
  <si>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</si>
  <si>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</si>
  <si>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</si>
  <si>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</si>
  <si>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</si>
  <si>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</si>
  <si>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</si>
  <si>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</si>
  <si>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</si>
  <si>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</si>
  <si>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</si>
  <si>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</si>
  <si>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</si>
  <si>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</si>
  <si>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</si>
  <si>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</si>
  <si>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</si>
  <si>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</si>
  <si>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</si>
  <si>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</si>
  <si>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</si>
  <si>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</si>
  <si>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</si>
  <si>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</si>
  <si>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</si>
  <si>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</si>
  <si>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</si>
  <si>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</si>
  <si>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</si>
  <si>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</si>
  <si>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</si>
  <si>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</si>
  <si>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</si>
  <si>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</si>
  <si>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</si>
  <si>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</si>
  <si>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</si>
  <si>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</si>
  <si>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</si>
  <si>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</si>
  <si>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</si>
  <si>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</si>
  <si>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</si>
  <si>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</si>
  <si>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</si>
  <si>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</si>
  <si>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</si>
  <si>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</si>
  <si>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</si>
  <si>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</si>
  <si>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</si>
  <si>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</si>
  <si>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</si>
  <si>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</si>
  <si>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</si>
  <si>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</si>
  <si>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</si>
  <si>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</si>
  <si>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</si>
  <si>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</si>
  <si>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</si>
  <si>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</si>
  <si>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</si>
  <si>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</si>
  <si>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</si>
  <si>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</si>
  <si>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</si>
  <si>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</si>
  <si>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</si>
  <si>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</si>
  <si>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</si>
  <si>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</si>
  <si>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</si>
  <si>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</si>
  <si>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</si>
  <si>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</si>
  <si>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</si>
  <si>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</si>
  <si>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</si>
  <si>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</si>
  <si>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</si>
  <si>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</si>
  <si>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</si>
  <si>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</si>
  <si>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</si>
  <si>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</si>
  <si>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</si>
  <si>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</si>
  <si>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</si>
  <si>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</si>
  <si>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</si>
  <si>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</si>
  <si>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</si>
  <si>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</si>
  <si>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</si>
  <si>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</si>
  <si>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</si>
  <si>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</si>
  <si>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</si>
  <si>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</si>
  <si>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</si>
  <si>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</si>
  <si>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</si>
  <si>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</si>
  <si>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</si>
  <si>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</si>
  <si>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</si>
  <si>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</si>
  <si>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</si>
  <si>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</si>
  <si>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</si>
  <si>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</si>
  <si>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</si>
  <si>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</si>
  <si>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</si>
  <si>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</si>
  <si>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</si>
  <si>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</si>
  <si>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</si>
  <si>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</si>
  <si>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</si>
  <si>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</si>
  <si>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</si>
  <si>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</si>
  <si>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</si>
  <si>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</si>
  <si>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</si>
  <si>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</si>
  <si>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</si>
  <si>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</si>
  <si>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</si>
  <si>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</si>
  <si>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</si>
  <si>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</si>
  <si>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</si>
  <si>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</si>
  <si>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</si>
  <si>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</si>
  <si>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</si>
  <si>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</si>
  <si>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</si>
  <si>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</si>
  <si>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</si>
  <si>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</si>
  <si>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</si>
  <si>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</si>
  <si>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</si>
  <si>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</si>
  <si>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</si>
  <si>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</si>
  <si>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</si>
  <si>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</si>
  <si>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</si>
  <si>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</si>
  <si>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</si>
  <si>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</si>
  <si>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</si>
  <si>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</si>
  <si>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</si>
  <si>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</si>
  <si>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</si>
  <si>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</si>
  <si>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</si>
  <si>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</si>
  <si>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</si>
  <si>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</si>
  <si>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</si>
  <si>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</si>
  <si>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</si>
  <si>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</si>
  <si>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</si>
  <si>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</si>
  <si>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</si>
  <si>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</si>
  <si>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</si>
  <si>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</si>
  <si>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</si>
  <si>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</si>
  <si>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</si>
  <si>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</si>
  <si>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</si>
  <si>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</si>
  <si>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</si>
  <si>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</si>
  <si>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</si>
  <si>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</si>
  <si>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</si>
  <si>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</si>
  <si>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</si>
  <si>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</si>
  <si>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</si>
  <si>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</si>
  <si>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</si>
  <si>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</si>
  <si>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</si>
  <si>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</si>
  <si>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</si>
  <si>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</si>
  <si>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</si>
  <si>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</si>
  <si>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</si>
  <si>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</si>
  <si>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</si>
  <si>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</si>
  <si>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</si>
  <si>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</si>
  <si>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</si>
  <si>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</si>
  <si>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</si>
  <si>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</si>
  <si>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</si>
  <si>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</si>
  <si>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</si>
  <si>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</si>
  <si>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</si>
  <si>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</si>
  <si>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</si>
  <si>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</si>
  <si>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</si>
  <si>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</si>
  <si>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</si>
  <si>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</si>
  <si>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</si>
  <si>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</si>
  <si>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</si>
  <si>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</si>
  <si>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</si>
  <si>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</si>
  <si>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</si>
  <si>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</si>
  <si>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</si>
  <si>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</si>
  <si>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</si>
  <si>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</si>
  <si>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</si>
  <si>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</si>
  <si>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</si>
  <si>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</si>
  <si>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</si>
  <si>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</si>
  <si>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</si>
  <si>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</si>
  <si>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</si>
  <si>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</si>
  <si>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</si>
  <si>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</si>
  <si>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</si>
  <si>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</si>
  <si>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</si>
  <si>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</si>
  <si>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</si>
  <si>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</si>
  <si>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</si>
  <si>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</si>
  <si>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</si>
  <si>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</si>
  <si>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</si>
  <si>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</si>
  <si>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</si>
  <si>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</si>
  <si>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</si>
  <si>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</si>
  <si>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</si>
  <si>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</si>
  <si>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</si>
  <si>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</si>
  <si>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</si>
  <si>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</si>
  <si>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</si>
  <si>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</si>
  <si>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</si>
  <si>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</si>
  <si>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</si>
  <si>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</si>
  <si>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</si>
  <si>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</si>
  <si>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</si>
  <si>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</si>
  <si>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</si>
  <si>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</si>
  <si>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</si>
  <si>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</si>
  <si>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</si>
  <si>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</si>
  <si>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</si>
  <si>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</si>
  <si>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</si>
  <si>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</si>
  <si>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</si>
  <si>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</si>
  <si>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</si>
  <si>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</si>
  <si>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</si>
  <si>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</si>
  <si>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</si>
  <si>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</si>
  <si>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</si>
  <si>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</si>
  <si>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</si>
  <si>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</si>
  <si>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</si>
  <si>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</si>
  <si>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</si>
  <si>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</si>
  <si>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</si>
  <si>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</si>
  <si>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</si>
  <si>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</si>
  <si>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</si>
  <si>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</si>
  <si>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</si>
  <si>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</si>
  <si>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</si>
  <si>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</si>
  <si>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</si>
  <si>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</si>
  <si>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</si>
  <si>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</si>
  <si>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</si>
  <si>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</si>
  <si>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</si>
  <si>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</si>
  <si>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</si>
  <si>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</si>
  <si>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</si>
  <si>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</si>
  <si>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</si>
  <si>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</si>
  <si>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</si>
  <si>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</si>
  <si>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</si>
  <si>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</si>
  <si>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</si>
  <si>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</si>
  <si>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</si>
  <si>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</si>
  <si>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</si>
  <si>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</si>
  <si>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</si>
  <si>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</si>
  <si>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</si>
  <si>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</si>
  <si>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</si>
  <si>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</si>
  <si>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</si>
  <si>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</si>
  <si>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</si>
  <si>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</si>
  <si>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</si>
  <si>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</si>
  <si>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</si>
  <si>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</si>
  <si>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</si>
  <si>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</si>
  <si>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</si>
  <si>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</si>
  <si>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</si>
  <si>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</si>
  <si>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</si>
  <si>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</si>
  <si>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</si>
  <si>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</si>
  <si>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</si>
  <si>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</si>
  <si>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</si>
  <si>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</si>
  <si>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</si>
  <si>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</si>
  <si>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</si>
  <si>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</si>
  <si>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</si>
  <si>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</si>
  <si>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</si>
  <si>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</si>
  <si>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</si>
  <si>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</si>
  <si>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</si>
  <si>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</si>
  <si>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</si>
  <si>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</si>
  <si>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</si>
  <si>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</si>
  <si>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</si>
  <si>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</si>
  <si>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</si>
  <si>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</si>
  <si>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</si>
  <si>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</si>
  <si>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</si>
  <si>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</si>
  <si>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</si>
  <si>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</si>
  <si>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</si>
  <si>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</si>
  <si>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</si>
  <si>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</si>
  <si>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</si>
  <si>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</si>
  <si>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</si>
  <si>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</si>
  <si>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</si>
  <si>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</si>
  <si>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</si>
  <si>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</si>
  <si>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</si>
  <si>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</si>
  <si>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</si>
  <si>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</si>
  <si>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</si>
  <si>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</si>
  <si>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</si>
  <si>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</si>
  <si>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</si>
  <si>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</si>
  <si>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</si>
  <si>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</si>
  <si>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</si>
  <si>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</si>
  <si>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</si>
  <si>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</si>
  <si>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</si>
  <si>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</si>
  <si>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</si>
  <si>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</si>
  <si>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</si>
  <si>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</si>
  <si>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</si>
  <si>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</si>
  <si>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</si>
  <si>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</si>
  <si>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</si>
  <si>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</si>
  <si>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</si>
  <si>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</si>
  <si>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</si>
  <si>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</si>
  <si>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</si>
  <si>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</si>
  <si>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</si>
  <si>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</si>
  <si>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</si>
  <si>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</si>
  <si>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</si>
  <si>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</si>
  <si>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</si>
  <si>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</si>
  <si>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</si>
  <si>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</si>
  <si>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</si>
  <si>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</si>
  <si>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</si>
  <si>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</si>
  <si>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</si>
  <si>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</si>
  <si>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</si>
  <si>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</si>
  <si>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</si>
  <si>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</si>
  <si>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</si>
  <si>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</si>
  <si>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</si>
  <si>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</si>
  <si>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</si>
  <si>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</si>
  <si>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</si>
  <si>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</si>
  <si>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</si>
  <si>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</si>
  <si>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</si>
  <si>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</si>
  <si>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</si>
  <si>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</si>
  <si>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</si>
  <si>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</si>
  <si>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</si>
  <si>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</si>
  <si>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</si>
  <si>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</si>
  <si>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</si>
  <si>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</si>
  <si>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</si>
  <si>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</si>
  <si>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</si>
  <si>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</si>
  <si>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</si>
  <si>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</si>
  <si>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</si>
  <si>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</si>
  <si>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</si>
  <si>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</si>
  <si>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</si>
  <si>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</si>
  <si>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</si>
  <si>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</si>
  <si>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</si>
  <si>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</si>
  <si>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</si>
  <si>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</si>
  <si>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</si>
  <si>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</si>
  <si>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</si>
  <si>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</si>
  <si>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</si>
  <si>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</si>
  <si>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</si>
  <si>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</si>
  <si>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</si>
  <si>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</si>
  <si>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</si>
  <si>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</si>
  <si>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</si>
  <si>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</si>
  <si>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</si>
  <si>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</si>
  <si>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</si>
  <si>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</si>
  <si>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</si>
  <si>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</si>
  <si>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</si>
  <si>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</si>
  <si>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</si>
  <si>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</si>
  <si>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</si>
  <si>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</si>
  <si>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</si>
  <si>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</si>
  <si>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</si>
  <si>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</si>
  <si>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</si>
  <si>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</si>
  <si>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</si>
  <si>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</si>
  <si>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</si>
  <si>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</si>
  <si>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</si>
  <si>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</si>
  <si>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</si>
  <si>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</si>
  <si>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</si>
  <si>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</si>
  <si>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</si>
  <si>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</si>
  <si>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</si>
  <si>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</si>
  <si>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</si>
  <si>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</si>
  <si>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</si>
  <si>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</si>
  <si>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</si>
  <si>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</si>
  <si>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</si>
  <si>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</si>
  <si>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</si>
  <si>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</si>
  <si>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</si>
  <si>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</si>
  <si>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</si>
  <si>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</si>
  <si>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</si>
  <si>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</si>
  <si>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</si>
  <si>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</si>
  <si>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</si>
  <si>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</si>
  <si>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</si>
  <si>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</si>
  <si>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</si>
  <si>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</si>
  <si>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</si>
  <si>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</si>
  <si>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</si>
  <si>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</si>
  <si>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</si>
  <si>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</si>
  <si>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</si>
  <si>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</si>
  <si>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</si>
  <si>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</si>
  <si>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</si>
  <si>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</si>
  <si>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</si>
  <si>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</si>
  <si>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</si>
  <si>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</si>
  <si>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</si>
  <si>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</si>
  <si>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</si>
  <si>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</si>
  <si>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</si>
  <si>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</si>
  <si>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</si>
  <si>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</si>
  <si>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</si>
  <si>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</si>
  <si>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</si>
  <si>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</si>
  <si>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</si>
  <si>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</si>
  <si>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</si>
  <si>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</si>
  <si>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</si>
  <si>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</si>
  <si>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</si>
  <si>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</si>
  <si>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</si>
  <si>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</si>
  <si>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</si>
  <si>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</si>
  <si>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</si>
  <si>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</si>
  <si>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</si>
  <si>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</si>
  <si>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</si>
  <si>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</si>
  <si>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</si>
  <si>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</si>
  <si>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</si>
  <si>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</si>
  <si>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</si>
  <si>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</si>
  <si>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</si>
  <si>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</si>
  <si>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</si>
  <si>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</si>
  <si>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</si>
  <si>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</si>
  <si>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</si>
  <si>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</si>
  <si>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</si>
  <si>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</si>
  <si>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</si>
  <si>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</si>
  <si>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</si>
  <si>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</si>
  <si>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</si>
  <si>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</si>
  <si>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</si>
  <si>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</si>
  <si>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</si>
  <si>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</si>
  <si>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</si>
  <si>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</si>
  <si>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</si>
  <si>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</si>
  <si>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</si>
  <si>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</si>
  <si>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</si>
  <si>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</si>
  <si>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</si>
  <si>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</si>
  <si>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</si>
  <si>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</si>
  <si>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</si>
  <si>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</si>
  <si>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</si>
  <si>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</si>
  <si>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</si>
  <si>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</si>
  <si>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</si>
  <si>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</si>
  <si>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</si>
  <si>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</si>
  <si>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</si>
  <si>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</si>
  <si>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</si>
  <si>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</si>
  <si>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</si>
  <si>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</si>
  <si>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</si>
  <si>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</si>
  <si>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</si>
  <si>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</si>
  <si>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</si>
  <si>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</si>
  <si>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</si>
  <si>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</si>
  <si>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</si>
  <si>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</si>
  <si>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</si>
  <si>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</si>
  <si>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</si>
  <si>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</si>
  <si>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</si>
  <si>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</si>
  <si>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</si>
  <si>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</si>
  <si>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</si>
  <si>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</si>
  <si>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</si>
  <si>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</si>
  <si>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</si>
  <si>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</si>
  <si>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</si>
  <si>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</si>
  <si>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</si>
  <si>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</si>
  <si>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</si>
  <si>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</si>
  <si>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</si>
  <si>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</si>
  <si>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</si>
  <si>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</si>
  <si>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</si>
  <si>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</si>
  <si>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</si>
  <si>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</si>
  <si>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</si>
  <si>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</si>
  <si>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</si>
  <si>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</si>
  <si>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</si>
  <si>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</si>
  <si>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</si>
  <si>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</si>
  <si>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</si>
  <si>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</si>
  <si>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</si>
  <si>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</si>
  <si>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</si>
  <si>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</si>
  <si>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</si>
  <si>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</si>
  <si>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</si>
  <si>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</si>
  <si>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</si>
  <si>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</si>
  <si>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</si>
  <si>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</si>
  <si>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</si>
  <si>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</si>
  <si>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</si>
  <si>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</si>
  <si>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</si>
  <si>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</si>
  <si>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</si>
  <si>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</si>
  <si>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</si>
  <si>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</si>
  <si>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</si>
  <si>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</si>
  <si>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</si>
  <si>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</si>
  <si>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</si>
  <si>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</si>
  <si>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</si>
  <si>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</si>
  <si>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</si>
  <si>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</si>
  <si>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</si>
  <si>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</si>
  <si>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</si>
  <si>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</si>
  <si>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</si>
  <si>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</si>
  <si>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</si>
  <si>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</si>
  <si>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</si>
  <si>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</si>
  <si>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</si>
  <si>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</si>
  <si>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</si>
  <si>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</si>
  <si>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</si>
  <si>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</si>
  <si>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</si>
  <si>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</si>
  <si>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</si>
  <si>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</si>
  <si>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</si>
  <si>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</si>
  <si>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</si>
  <si>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</si>
  <si>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</si>
  <si>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</si>
  <si>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</si>
  <si>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</si>
  <si>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</si>
  <si>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</si>
  <si>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</si>
  <si>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</si>
  <si>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</si>
  <si>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</si>
  <si>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</si>
  <si>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</si>
  <si>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</si>
  <si>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</si>
  <si>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</si>
  <si>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</si>
  <si>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</si>
  <si>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</si>
  <si>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</si>
  <si>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</si>
  <si>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</si>
  <si>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</si>
  <si>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</si>
  <si>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</si>
  <si>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</si>
  <si>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</si>
  <si>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</si>
  <si>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</si>
  <si>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</si>
  <si>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</si>
  <si>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</si>
  <si>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</si>
  <si>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</si>
  <si>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</si>
  <si>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</si>
  <si>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</si>
  <si>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</si>
  <si>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</si>
  <si>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</si>
  <si>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</si>
  <si>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</si>
  <si>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</si>
  <si>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</si>
  <si>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</si>
  <si>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</si>
  <si>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</si>
  <si>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</si>
  <si>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</si>
  <si>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</si>
  <si>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</si>
  <si>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</si>
  <si>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</si>
  <si>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</si>
  <si>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</si>
  <si>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</si>
  <si>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</si>
  <si>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</si>
  <si>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</si>
  <si>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</si>
  <si>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</si>
  <si>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</si>
  <si>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</si>
  <si>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</si>
  <si>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</si>
  <si>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</si>
  <si>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</si>
  <si>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</si>
  <si>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</si>
  <si>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</si>
  <si>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</si>
  <si>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</si>
  <si>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</si>
  <si>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</si>
  <si>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</si>
  <si>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</si>
  <si>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</si>
  <si>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</si>
  <si>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</si>
  <si>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</si>
  <si>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</si>
  <si>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</si>
  <si>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</si>
  <si>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</si>
  <si>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</si>
  <si>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</si>
  <si>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</si>
  <si>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</si>
  <si>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</si>
  <si>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</si>
  <si>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</si>
  <si>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</si>
  <si>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</si>
  <si>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</si>
  <si>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</si>
  <si>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</si>
  <si>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</si>
  <si>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</si>
  <si>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</si>
  <si>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</si>
  <si>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</si>
  <si>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</si>
  <si>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</si>
  <si>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</si>
  <si>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</si>
  <si>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</si>
  <si>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</si>
  <si>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</si>
  <si>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</si>
  <si>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</si>
  <si>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</si>
  <si>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</si>
  <si>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</si>
  <si>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</si>
  <si>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</si>
  <si>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</si>
  <si>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</si>
  <si>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</si>
  <si>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</si>
  <si>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</si>
  <si>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</si>
  <si>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</si>
  <si>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</si>
  <si>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</si>
  <si>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</si>
  <si>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</si>
  <si>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</si>
  <si>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</si>
  <si>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</si>
  <si>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</si>
  <si>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</si>
  <si>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</si>
  <si>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</si>
  <si>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</si>
  <si>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</si>
  <si>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</si>
  <si>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</si>
  <si>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</si>
  <si>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</si>
  <si>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</si>
  <si>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</si>
  <si>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</si>
  <si>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</si>
  <si>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</si>
  <si>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</si>
  <si>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</si>
  <si>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</si>
  <si>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</si>
  <si>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</si>
  <si>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</si>
  <si>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</si>
  <si>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</si>
  <si>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</si>
  <si>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</si>
  <si>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</si>
  <si>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</si>
  <si>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</si>
  <si>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</si>
  <si>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</si>
  <si>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</si>
  <si>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</si>
  <si>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</si>
  <si>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</si>
  <si>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</si>
  <si>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</si>
  <si>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</si>
  <si>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</si>
  <si>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</si>
  <si>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</si>
  <si>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</si>
  <si>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</si>
  <si>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</si>
  <si>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</si>
  <si>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</si>
  <si>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</si>
  <si>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</si>
  <si>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</si>
  <si>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</si>
  <si>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</si>
  <si>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</si>
  <si>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</si>
  <si>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</si>
  <si>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</si>
  <si>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</si>
  <si>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</si>
  <si>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</si>
  <si>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</si>
  <si>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</si>
  <si>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</si>
  <si>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</si>
  <si>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</si>
  <si>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</si>
  <si>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</si>
  <si>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</si>
  <si>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</si>
  <si>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</si>
  <si>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</si>
  <si>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</si>
  <si>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</si>
  <si>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</si>
  <si>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</si>
  <si>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</si>
  <si>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</si>
  <si>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</si>
  <si>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</si>
  <si>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</si>
  <si>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</si>
  <si>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</si>
  <si>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</si>
  <si>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</si>
  <si>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</si>
  <si>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</si>
  <si>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</si>
  <si>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</si>
  <si>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</si>
  <si>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</si>
  <si>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</si>
  <si>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</si>
  <si>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</si>
  <si>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</si>
  <si>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</si>
  <si>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</si>
  <si>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</si>
  <si>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</si>
  <si>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</si>
  <si>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</si>
  <si>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</si>
  <si>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</si>
  <si>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</si>
  <si>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</si>
  <si>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</si>
  <si>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</si>
  <si>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</si>
  <si>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</si>
  <si>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</si>
  <si>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</si>
  <si>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</si>
  <si>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</si>
  <si>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</si>
  <si>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</si>
  <si>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</si>
  <si>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</si>
  <si>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</si>
  <si>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</si>
  <si>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</si>
  <si>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</si>
  <si>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</si>
  <si>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</si>
  <si>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</si>
  <si>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</si>
  <si>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</si>
  <si>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</si>
  <si>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</si>
  <si>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</si>
  <si>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</si>
  <si>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</si>
  <si>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</si>
  <si>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</si>
  <si>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</si>
  <si>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</si>
  <si>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</si>
  <si>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</si>
  <si>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</si>
  <si>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</si>
  <si>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</si>
  <si>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</si>
  <si>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</si>
  <si>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</si>
  <si>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</si>
  <si>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</si>
  <si>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</si>
  <si>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</si>
  <si>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</si>
  <si>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</si>
  <si>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</si>
  <si>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</si>
  <si>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</si>
  <si>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</si>
  <si>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</si>
  <si>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</si>
  <si>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</si>
  <si>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</si>
  <si>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</si>
  <si>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</si>
  <si>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</si>
  <si>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</si>
  <si>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</si>
  <si>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</si>
  <si>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</si>
  <si>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</si>
  <si>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</si>
  <si>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</si>
  <si>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</si>
  <si>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</si>
  <si>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</si>
  <si>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</si>
  <si>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</si>
  <si>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</si>
  <si>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</si>
  <si>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</si>
  <si>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</si>
  <si>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</si>
  <si>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</si>
  <si>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</si>
  <si>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</si>
  <si>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</si>
  <si>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</si>
  <si>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</si>
  <si>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</si>
  <si>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</si>
  <si>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</si>
  <si>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</si>
  <si>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</si>
  <si>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</si>
  <si>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</si>
  <si>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</si>
  <si>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</si>
  <si>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</si>
  <si>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</si>
  <si>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</si>
  <si>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</si>
  <si>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</si>
  <si>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</si>
  <si>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</si>
  <si>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</si>
  <si>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</si>
  <si>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</si>
  <si>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</si>
  <si>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</si>
  <si>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</si>
  <si>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</si>
  <si>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</si>
  <si>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</si>
  <si>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</si>
  <si>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</si>
  <si>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</si>
  <si>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</si>
  <si>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</si>
  <si>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</si>
  <si>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</si>
  <si>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</si>
  <si>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</si>
  <si>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</si>
  <si>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</si>
  <si>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</si>
  <si>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</si>
  <si>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</si>
  <si>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</si>
  <si>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</si>
  <si>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</si>
  <si>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</si>
  <si>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</si>
  <si>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</si>
  <si>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</si>
  <si>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</si>
  <si>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</si>
  <si>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</si>
  <si>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</si>
  <si>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</si>
  <si>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</si>
  <si>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</si>
  <si>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</si>
  <si>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</si>
  <si>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</si>
  <si>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</si>
  <si>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</si>
  <si>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</si>
  <si>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</si>
  <si>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</si>
  <si>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</si>
  <si>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</si>
  <si>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</si>
  <si>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</si>
  <si>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</si>
  <si>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</si>
  <si>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</si>
  <si>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</si>
  <si>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</si>
  <si>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</si>
  <si>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</si>
  <si>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</si>
  <si>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</si>
  <si>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</si>
  <si>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</si>
  <si>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</si>
  <si>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</si>
  <si>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</si>
  <si>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</si>
  <si>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</si>
  <si>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</si>
  <si>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</si>
  <si>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</si>
  <si>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</si>
  <si>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</si>
  <si>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</si>
  <si>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</si>
  <si>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</si>
  <si>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</si>
  <si>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</si>
  <si>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</si>
  <si>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</si>
  <si>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</si>
  <si>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</si>
  <si>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</si>
  <si>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</si>
  <si>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</si>
  <si>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</si>
  <si>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</si>
  <si>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</si>
  <si>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</si>
  <si>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</si>
  <si>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</si>
  <si>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</si>
  <si>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</si>
  <si>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</si>
  <si>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</si>
  <si>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</si>
  <si>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</si>
  <si>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</si>
  <si>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</si>
  <si>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</si>
  <si>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</si>
  <si>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</si>
  <si>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</si>
  <si>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</si>
  <si>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</si>
  <si>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</si>
  <si>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</si>
  <si>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</si>
  <si>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</si>
  <si>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</si>
  <si>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</si>
  <si>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</si>
  <si>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</si>
  <si>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</si>
  <si>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</si>
  <si>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</si>
  <si>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</si>
  <si>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</si>
  <si>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</si>
  <si>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</si>
  <si>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</si>
  <si>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</si>
  <si>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</si>
  <si>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</si>
  <si>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</si>
  <si>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</si>
  <si>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</si>
  <si>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</si>
  <si>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</si>
  <si>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</si>
  <si>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</si>
  <si>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</si>
  <si>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</si>
  <si>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</si>
  <si>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</si>
  <si>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</si>
  <si>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</si>
  <si>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</si>
  <si>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</si>
  <si>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</si>
  <si>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</si>
  <si>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</si>
  <si>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</si>
  <si>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</si>
  <si>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</si>
  <si>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</si>
  <si>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</si>
  <si>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</si>
  <si>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</si>
  <si>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</si>
  <si>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</si>
  <si>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</si>
  <si>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</si>
  <si>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</si>
  <si>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</si>
  <si>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</si>
  <si>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</si>
  <si>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</si>
  <si>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</si>
  <si>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</si>
  <si>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</si>
  <si>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</si>
  <si>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</si>
  <si>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</si>
  <si>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</si>
  <si>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</si>
  <si>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</si>
  <si>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</si>
  <si>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</si>
  <si>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</si>
  <si>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</si>
  <si>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</si>
  <si>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</si>
  <si>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</si>
  <si>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</si>
  <si>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</si>
  <si>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</si>
  <si>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</si>
  <si>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</si>
  <si>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</si>
  <si>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</si>
  <si>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</si>
  <si>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</si>
  <si>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</si>
  <si>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</si>
  <si>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</si>
  <si>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</si>
  <si>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</si>
  <si>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</si>
  <si>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</si>
  <si>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</si>
  <si>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</si>
  <si>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</si>
  <si>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</si>
  <si>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</si>
  <si>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</si>
  <si>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</si>
  <si>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</si>
  <si>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</si>
  <si>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</si>
  <si>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</si>
  <si>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</si>
  <si>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</si>
  <si>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</si>
  <si>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</si>
  <si>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</si>
  <si>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</si>
  <si>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</si>
  <si>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</si>
  <si>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</si>
  <si>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</si>
  <si>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</si>
  <si>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</si>
  <si>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</si>
  <si>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</si>
  <si>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</si>
  <si>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</si>
  <si>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</si>
  <si>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</si>
  <si>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</si>
  <si>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</si>
  <si>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</si>
  <si>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</si>
  <si>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</si>
  <si>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</si>
  <si>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</si>
  <si>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</si>
  <si>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</si>
  <si>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</si>
  <si>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</si>
  <si>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</si>
  <si>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</si>
  <si>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</si>
  <si>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</si>
  <si>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</si>
  <si>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</si>
  <si>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</si>
  <si>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</si>
  <si>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</si>
  <si>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</si>
  <si>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</si>
  <si>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</si>
  <si>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</si>
  <si>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</si>
  <si>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</si>
  <si>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</si>
  <si>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</si>
  <si>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</si>
  <si>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</si>
  <si>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</si>
  <si>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</si>
  <si>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</si>
  <si>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</si>
  <si>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</si>
  <si>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</si>
  <si>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</si>
  <si>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</si>
  <si>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</si>
  <si>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</si>
  <si>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</si>
  <si>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</si>
  <si>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</si>
  <si>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</si>
  <si>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</si>
  <si>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</si>
  <si>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</si>
  <si>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</si>
  <si>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</si>
  <si>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</si>
  <si>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</si>
  <si>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</si>
  <si>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</si>
  <si>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</si>
  <si>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</si>
  <si>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</si>
  <si>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</si>
  <si>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</si>
  <si>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</si>
  <si>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</si>
  <si>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</si>
  <si>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</si>
  <si>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</si>
  <si>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</si>
  <si>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</si>
  <si>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</si>
  <si>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</si>
  <si>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</si>
  <si>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</si>
  <si>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</si>
  <si>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</si>
  <si>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</si>
  <si>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</si>
  <si>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</si>
  <si>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</si>
  <si>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</si>
  <si>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</si>
  <si>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</si>
  <si>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</si>
  <si>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</si>
  <si>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</si>
  <si>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</si>
  <si>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</si>
  <si>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</si>
  <si>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</si>
  <si>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</si>
  <si>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</si>
  <si>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</si>
  <si>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</si>
  <si>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</si>
  <si>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</si>
  <si>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</si>
  <si>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</si>
  <si>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</si>
  <si>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</si>
  <si>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</si>
  <si>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</si>
  <si>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</si>
  <si>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</si>
  <si>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</si>
  <si>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</si>
  <si>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</si>
  <si>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</si>
  <si>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</si>
  <si>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</si>
  <si>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</si>
  <si>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</si>
  <si>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</si>
  <si>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</si>
  <si>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</si>
  <si>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</si>
  <si>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</si>
  <si>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</si>
  <si>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</si>
  <si>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</si>
  <si>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</si>
  <si>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</si>
  <si>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</si>
  <si>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</si>
  <si>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</si>
  <si>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</si>
  <si>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</si>
  <si>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</si>
  <si>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</si>
  <si>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</si>
  <si>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</si>
  <si>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</si>
  <si>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</si>
  <si>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</si>
  <si>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</si>
  <si>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</si>
  <si>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</si>
  <si>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</si>
  <si>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</si>
  <si>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</si>
  <si>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</si>
  <si>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</si>
  <si>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</si>
  <si>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</si>
  <si>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</si>
  <si>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</si>
  <si>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</si>
  <si>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</si>
  <si>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</si>
  <si>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</si>
  <si>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</si>
  <si>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</si>
  <si>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</si>
  <si>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</si>
  <si>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</si>
  <si>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</si>
  <si>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</si>
  <si>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</si>
  <si>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</si>
  <si>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</si>
  <si>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</si>
  <si>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</si>
  <si>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</si>
  <si>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</si>
  <si>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</si>
  <si>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</si>
  <si>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</si>
  <si>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</si>
  <si>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</si>
  <si>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</si>
  <si>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</si>
  <si>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</si>
  <si>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</si>
  <si>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</si>
  <si>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</si>
  <si>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</si>
  <si>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</si>
  <si>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</si>
  <si>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</si>
  <si>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</si>
  <si>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</si>
  <si>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</si>
  <si>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</si>
  <si>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</si>
  <si>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</si>
  <si>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</si>
  <si>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</si>
  <si>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</si>
  <si>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</si>
  <si>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</si>
  <si>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</si>
  <si>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</si>
  <si>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</si>
  <si>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</si>
  <si>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</si>
  <si>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</si>
  <si>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</si>
  <si>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</si>
  <si>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</si>
  <si>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</si>
  <si>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</si>
  <si>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</si>
  <si>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</si>
  <si>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</si>
  <si>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</si>
  <si>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</si>
  <si>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</si>
  <si>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</si>
  <si>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</si>
  <si>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</si>
  <si>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</si>
  <si>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</si>
  <si>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</si>
  <si>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</si>
  <si>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</si>
  <si>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</si>
  <si>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</si>
  <si>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</si>
  <si>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</si>
  <si>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</si>
  <si>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</si>
  <si>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</si>
  <si>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</si>
  <si>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</si>
  <si>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</si>
  <si>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</si>
  <si>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</si>
  <si>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</si>
  <si>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</si>
  <si>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</si>
  <si>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</si>
  <si>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</si>
  <si>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</si>
  <si>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</si>
  <si>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</si>
  <si>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</si>
  <si>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</si>
  <si>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</si>
  <si>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</si>
  <si>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</si>
  <si>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</si>
  <si>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</si>
  <si>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</si>
  <si>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</si>
  <si>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</si>
  <si>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</si>
  <si>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</si>
  <si>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</si>
  <si>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</si>
  <si>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</si>
  <si>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</si>
  <si>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</si>
  <si>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</si>
  <si>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</si>
  <si>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</si>
  <si>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</si>
  <si>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</si>
  <si>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</si>
  <si>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</si>
  <si>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</si>
  <si>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</si>
  <si>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</si>
  <si>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</si>
  <si>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</si>
  <si>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</si>
  <si>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</si>
  <si>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</si>
  <si>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</si>
  <si>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</si>
  <si>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</si>
  <si>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</si>
  <si>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</si>
  <si>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</si>
  <si>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</si>
  <si>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</si>
  <si>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</si>
  <si>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</si>
  <si>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</si>
  <si>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</si>
  <si>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</si>
  <si>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</si>
  <si>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</si>
  <si>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</si>
  <si>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</si>
  <si>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</si>
  <si>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</si>
  <si>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</si>
  <si>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</si>
  <si>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</si>
  <si>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</si>
  <si>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</si>
  <si>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</si>
  <si>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</si>
  <si>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</si>
  <si>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</si>
  <si>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</si>
  <si>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</si>
  <si>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</si>
  <si>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</si>
  <si>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</si>
  <si>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</si>
  <si>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</si>
  <si>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</si>
  <si>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</si>
  <si>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</si>
  <si>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</si>
  <si>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</si>
  <si>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</si>
  <si>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</si>
  <si>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</si>
  <si>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</si>
  <si>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</si>
  <si>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</si>
  <si>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</si>
  <si>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</si>
  <si>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</si>
  <si>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</si>
  <si>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</si>
  <si>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</si>
  <si>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</si>
  <si>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</si>
  <si>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</si>
  <si>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</si>
  <si>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</si>
  <si>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</si>
  <si>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</si>
  <si>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</si>
  <si>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</si>
  <si>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</si>
  <si>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</si>
  <si>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</si>
  <si>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</si>
  <si>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</si>
  <si>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</si>
  <si>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</si>
  <si>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</si>
  <si>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</si>
  <si>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</si>
  <si>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</si>
  <si>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</si>
  <si>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</si>
  <si>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</si>
  <si>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</si>
  <si>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</si>
  <si>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</si>
  <si>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</si>
  <si>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</si>
  <si>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</si>
  <si>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</si>
  <si>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</si>
  <si>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</si>
  <si>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</si>
  <si>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</si>
  <si>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</si>
  <si>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</si>
  <si>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</si>
  <si>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</si>
  <si>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</si>
  <si>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</si>
  <si>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</si>
  <si>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</si>
  <si>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</si>
  <si>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</si>
  <si>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</si>
  <si>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</si>
  <si>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</si>
  <si>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</si>
  <si>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</si>
  <si>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</si>
  <si>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</si>
  <si>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</si>
  <si>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</si>
  <si>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</si>
  <si>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</si>
  <si>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</si>
  <si>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</si>
  <si>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</si>
  <si>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</si>
  <si>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</si>
  <si>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</si>
  <si>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</si>
  <si>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</si>
  <si>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</si>
  <si>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</si>
  <si>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</si>
  <si>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</si>
  <si>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</si>
  <si>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</si>
  <si>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</si>
  <si>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</si>
  <si>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</si>
  <si>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</si>
  <si>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</si>
  <si>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</si>
  <si>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</si>
  <si>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</si>
  <si>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</si>
  <si>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</si>
  <si>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</si>
  <si>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</si>
  <si>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</si>
  <si>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</si>
  <si>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</si>
  <si>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</si>
  <si>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</si>
  <si>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</si>
  <si>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</si>
  <si>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</si>
  <si>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</si>
  <si>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</si>
  <si>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</si>
  <si>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</si>
  <si>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</si>
  <si>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</si>
  <si>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</si>
  <si>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</si>
  <si>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</si>
  <si>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</si>
  <si>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</si>
  <si>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</si>
  <si>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</si>
  <si>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</si>
  <si>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</si>
  <si>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</si>
  <si>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</si>
  <si>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</si>
  <si>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</si>
  <si>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</si>
  <si>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</si>
  <si>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</si>
  <si>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</si>
  <si>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</si>
  <si>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</si>
  <si>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</si>
  <si>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</si>
  <si>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</si>
  <si>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</si>
  <si>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</si>
  <si>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</si>
  <si>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</si>
  <si>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</si>
  <si>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</si>
  <si>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</si>
  <si>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</si>
  <si>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</si>
  <si>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</si>
  <si>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</si>
  <si>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</si>
  <si>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</si>
  <si>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</si>
  <si>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</si>
  <si>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</si>
  <si>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</si>
  <si>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</si>
  <si>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</si>
  <si>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</si>
  <si>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</si>
  <si>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</si>
  <si>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</si>
  <si>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</si>
  <si>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</si>
  <si>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</si>
  <si>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</si>
  <si>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</si>
  <si>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</si>
  <si>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</si>
  <si>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</si>
  <si>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</si>
  <si>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</si>
  <si>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</si>
  <si>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</si>
  <si>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</si>
  <si>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</si>
  <si>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</si>
  <si>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</si>
  <si>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</si>
  <si>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</si>
  <si>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</si>
  <si>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</si>
  <si>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</si>
  <si>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</si>
  <si>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</si>
  <si>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</si>
  <si>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</si>
  <si>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</si>
  <si>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</si>
  <si>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</si>
  <si>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</si>
  <si>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</si>
  <si>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</si>
  <si>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</si>
  <si>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</si>
  <si>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</si>
  <si>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</si>
  <si>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</si>
  <si>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</si>
  <si>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</si>
  <si>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</si>
  <si>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</si>
  <si>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</si>
  <si>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</si>
  <si>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</si>
  <si>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</si>
  <si>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</si>
  <si>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</si>
  <si>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</si>
  <si>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</si>
  <si>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</si>
  <si>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</si>
  <si>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</si>
  <si>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</si>
  <si>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</si>
  <si>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</si>
  <si>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</si>
  <si>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</si>
  <si>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</si>
  <si>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</si>
  <si>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</si>
  <si>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</si>
  <si>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</si>
  <si>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</si>
  <si>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</si>
  <si>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</si>
  <si>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</si>
  <si>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</si>
  <si>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</si>
  <si>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</si>
  <si>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</si>
  <si>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</si>
  <si>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</si>
  <si>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</si>
  <si>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</si>
  <si>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</si>
  <si>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</si>
  <si>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</si>
  <si>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</si>
  <si>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</si>
  <si>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</si>
  <si>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</si>
  <si>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</si>
  <si>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</si>
  <si>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</si>
  <si>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</si>
  <si>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</si>
  <si>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</si>
  <si>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</si>
  <si>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</si>
  <si>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</si>
  <si>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</si>
  <si>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</si>
  <si>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</si>
  <si>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</si>
  <si>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</si>
  <si>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</si>
  <si>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</si>
  <si>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</si>
  <si>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</si>
  <si>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</si>
  <si>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</si>
  <si>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</si>
  <si>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</si>
  <si>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</si>
  <si>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</si>
  <si>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</si>
  <si>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</si>
  <si>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</si>
  <si>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</si>
  <si>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</si>
  <si>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</si>
  <si>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</si>
  <si>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</si>
  <si>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</si>
  <si>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</si>
  <si>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</si>
  <si>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</si>
  <si>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</si>
  <si>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</si>
  <si>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</si>
  <si>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</si>
  <si>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</si>
  <si>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</si>
  <si>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</si>
  <si>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</si>
  <si>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</si>
  <si>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</si>
  <si>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</si>
  <si>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</si>
  <si>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</si>
  <si>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</si>
  <si>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</si>
  <si>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</si>
  <si>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</si>
  <si>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</si>
  <si>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</si>
  <si>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</si>
  <si>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</si>
  <si>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</si>
  <si>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</si>
  <si>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</si>
  <si>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</si>
  <si>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</si>
  <si>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</si>
  <si>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</si>
  <si>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</si>
  <si>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</si>
  <si>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</si>
  <si>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</si>
  <si>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</si>
  <si>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</si>
  <si>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</si>
  <si>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</si>
  <si>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</si>
  <si>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</si>
  <si>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</si>
  <si>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</si>
  <si>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</si>
  <si>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</si>
  <si>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</si>
  <si>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</si>
  <si>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</si>
  <si>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</si>
  <si>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</si>
  <si>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</si>
  <si>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</si>
  <si>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</si>
  <si>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</si>
  <si>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</si>
  <si>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</si>
  <si>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</si>
  <si>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</si>
  <si>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</si>
  <si>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</si>
  <si>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</si>
  <si>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</si>
  <si>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</si>
  <si>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</si>
  <si>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</si>
  <si>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</si>
  <si>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</si>
  <si>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</si>
  <si>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</si>
  <si>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</si>
  <si>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</si>
  <si>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</si>
  <si>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</si>
  <si>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</si>
  <si>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</si>
  <si>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</si>
  <si>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</si>
  <si>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</si>
  <si>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</si>
  <si>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</si>
  <si>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</si>
  <si>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</si>
  <si>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</si>
  <si>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</si>
  <si>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</si>
  <si>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</si>
  <si>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</si>
  <si>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</si>
  <si>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</si>
  <si>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</si>
  <si>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</si>
  <si>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</si>
  <si>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</si>
  <si>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</si>
  <si>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</si>
  <si>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</si>
  <si>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</si>
  <si>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</si>
  <si>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</si>
  <si>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</si>
  <si>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</si>
  <si>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</si>
  <si>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</si>
  <si>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</si>
  <si>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</si>
  <si>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</si>
  <si>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</si>
  <si>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</si>
  <si>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</si>
  <si>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</si>
  <si>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</si>
  <si>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</si>
  <si>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</si>
  <si>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</si>
  <si>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</si>
  <si>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</si>
  <si>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</si>
  <si>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</si>
  <si>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</si>
  <si>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</si>
  <si>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</si>
  <si>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</si>
  <si>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</si>
  <si>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</si>
  <si>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</si>
  <si>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</si>
  <si>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</si>
  <si>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</si>
  <si>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</si>
  <si>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</si>
  <si>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</si>
  <si>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</si>
  <si>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</si>
  <si>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</si>
  <si>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</si>
  <si>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</si>
  <si>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</si>
  <si>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</si>
  <si>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</si>
  <si>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</si>
  <si>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</si>
  <si>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</si>
  <si>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</si>
  <si>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</si>
  <si>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</si>
  <si>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</si>
  <si>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</si>
  <si>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</si>
  <si>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</si>
  <si>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</si>
  <si>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</si>
  <si>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</si>
  <si>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</si>
  <si>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</si>
  <si>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</si>
  <si>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</si>
  <si>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</si>
  <si>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</si>
  <si>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</si>
  <si>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</si>
  <si>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</si>
  <si>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</si>
  <si>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</si>
  <si>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</si>
  <si>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</si>
  <si>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</si>
  <si>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</si>
  <si>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</si>
  <si>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</si>
  <si>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</si>
  <si>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</si>
  <si>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</si>
  <si>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</si>
  <si>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</si>
  <si>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</si>
  <si>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</si>
  <si>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</si>
  <si>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</si>
  <si>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</si>
  <si>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</si>
  <si>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</si>
  <si>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</si>
  <si>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</si>
  <si>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</si>
  <si>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</si>
  <si>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</si>
  <si>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</si>
  <si>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</si>
  <si>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</si>
  <si>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</si>
  <si>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</si>
  <si>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</si>
  <si>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</si>
  <si>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</si>
  <si>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</si>
  <si>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</si>
  <si>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</si>
  <si>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</si>
  <si>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</si>
  <si>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</si>
  <si>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</si>
  <si>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</si>
  <si>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</si>
  <si>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</si>
  <si>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</si>
  <si>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</si>
  <si>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</si>
  <si>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</si>
  <si>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</si>
  <si>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</si>
  <si>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</si>
  <si>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</si>
  <si>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</si>
  <si>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</si>
  <si>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</si>
  <si>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</si>
  <si>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</si>
  <si>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</si>
  <si>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</si>
  <si>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</si>
  <si>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</si>
  <si>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</si>
  <si>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</si>
  <si>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</si>
  <si>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</si>
  <si>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</si>
  <si>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</si>
  <si>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</si>
  <si>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</si>
  <si>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</si>
  <si>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</si>
  <si>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</si>
  <si>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</si>
  <si>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</si>
  <si>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</si>
  <si>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</si>
  <si>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</si>
  <si>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</si>
  <si>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</si>
  <si>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</si>
  <si>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</si>
  <si>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</si>
  <si>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</si>
  <si>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</si>
  <si>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</si>
  <si>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</si>
  <si>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</si>
  <si>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</si>
  <si>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</si>
  <si>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</si>
  <si>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</si>
  <si>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</si>
  <si>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</si>
  <si>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</si>
  <si>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</si>
  <si>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</si>
  <si>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</si>
  <si>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</si>
  <si>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</si>
  <si>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</si>
  <si>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</si>
  <si>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</si>
  <si>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</si>
  <si>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</si>
  <si>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</si>
  <si>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</si>
  <si>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</si>
  <si>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</si>
  <si>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</si>
  <si>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</si>
  <si>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</si>
  <si>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</si>
  <si>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</si>
  <si>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</si>
  <si>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</si>
  <si>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</si>
  <si>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</si>
  <si>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</si>
  <si>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</si>
  <si>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</si>
  <si>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</si>
  <si>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</si>
  <si>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</si>
  <si>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</si>
  <si>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</si>
  <si>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</si>
  <si>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</si>
  <si>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</si>
  <si>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</si>
  <si>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</si>
  <si>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</si>
  <si>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</si>
  <si>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</si>
  <si>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</si>
  <si>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</si>
  <si>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</si>
  <si>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</si>
  <si>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</si>
  <si>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</si>
  <si>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</si>
  <si>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</si>
  <si>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</si>
  <si>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</si>
  <si>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</si>
  <si>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</si>
  <si>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</si>
  <si>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</si>
  <si>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</si>
  <si>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</si>
  <si>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</si>
  <si>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</si>
  <si>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</si>
  <si>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</si>
  <si>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</si>
  <si>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</si>
  <si>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</si>
  <si>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</si>
  <si>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</si>
  <si>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</si>
  <si>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</si>
  <si>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</si>
  <si>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</si>
  <si>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</si>
  <si>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</si>
  <si>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</si>
  <si>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</si>
  <si>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</si>
  <si>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</si>
  <si>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</si>
  <si>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</si>
  <si>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</si>
  <si>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</si>
  <si>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</si>
  <si>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</si>
  <si>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</si>
  <si>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</si>
  <si>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</si>
  <si>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</si>
  <si>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</si>
  <si>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</si>
  <si>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</si>
  <si>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</si>
  <si>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</si>
  <si>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</si>
  <si>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</si>
  <si>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</si>
  <si>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</si>
  <si>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</si>
  <si>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</si>
  <si>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</si>
  <si>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</si>
  <si>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</si>
  <si>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</si>
  <si>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</si>
  <si>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</si>
  <si>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</si>
  <si>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</si>
  <si>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</si>
  <si>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</si>
  <si>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</si>
  <si>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</si>
  <si>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</si>
  <si>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</si>
  <si>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</si>
  <si>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</si>
  <si>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</si>
  <si>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</si>
  <si>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</si>
  <si>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</si>
  <si>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</si>
  <si>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</si>
  <si>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</si>
  <si>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</si>
  <si>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</si>
  <si>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</si>
  <si>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</si>
  <si>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</si>
  <si>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</si>
  <si>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</si>
  <si>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</si>
  <si>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</si>
  <si>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</si>
  <si>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</si>
  <si>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</si>
  <si>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</si>
  <si>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</si>
  <si>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</si>
  <si>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</si>
  <si>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</si>
  <si>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</si>
  <si>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</si>
  <si>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</si>
  <si>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</si>
  <si>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</si>
  <si>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</si>
  <si>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</si>
  <si>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</si>
  <si>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</si>
  <si>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</si>
  <si>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</si>
  <si>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</si>
  <si>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</si>
  <si>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</si>
  <si>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</si>
  <si>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</si>
  <si>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</si>
  <si>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</si>
  <si>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</si>
  <si>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</si>
  <si>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</si>
  <si>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</si>
  <si>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</si>
  <si>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</si>
  <si>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</si>
  <si>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</si>
  <si>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</si>
  <si>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</si>
  <si>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</si>
  <si>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</si>
  <si>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</si>
  <si>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</si>
  <si>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</si>
  <si>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</si>
  <si>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</si>
  <si>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</si>
  <si>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</si>
  <si>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</si>
  <si>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</si>
  <si>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</si>
  <si>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</si>
  <si>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</si>
  <si>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</si>
  <si>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</si>
  <si>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</si>
  <si>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</si>
  <si>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</si>
  <si>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</si>
  <si>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</si>
  <si>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</si>
  <si>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</si>
  <si>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</si>
  <si>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</si>
  <si>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</si>
  <si>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</si>
  <si>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</si>
  <si>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</si>
  <si>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</si>
  <si>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</si>
  <si>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</si>
  <si>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</si>
  <si>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</si>
  <si>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</si>
  <si>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</si>
  <si>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</si>
  <si>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</si>
  <si>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</si>
  <si>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</si>
  <si>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</si>
  <si>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</si>
  <si>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</si>
  <si>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</si>
  <si>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</si>
  <si>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</si>
  <si>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</si>
  <si>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</si>
  <si>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</si>
  <si>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</si>
  <si>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</si>
  <si>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</si>
  <si>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</si>
  <si>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</si>
  <si>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</si>
  <si>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</si>
  <si>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</si>
  <si>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</si>
  <si>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</si>
  <si>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</si>
  <si>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</si>
  <si>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</si>
  <si>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</si>
  <si>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</si>
  <si>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</si>
  <si>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</si>
  <si>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</si>
  <si>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</si>
  <si>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</si>
  <si>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</si>
  <si>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</si>
  <si>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</si>
  <si>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</si>
  <si>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</si>
  <si>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</si>
  <si>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</si>
  <si>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</si>
  <si>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</si>
  <si>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</si>
  <si>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</si>
  <si>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</si>
  <si>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</si>
  <si>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</si>
  <si>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</si>
  <si>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</si>
  <si>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</si>
  <si>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</si>
  <si>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</si>
  <si>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</si>
  <si>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</si>
  <si>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</si>
  <si>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</si>
  <si>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</si>
  <si>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</si>
  <si>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</si>
  <si>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</si>
  <si>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</si>
  <si>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</si>
  <si>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</si>
  <si>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</si>
  <si>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</si>
  <si>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</si>
  <si>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</si>
  <si>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</si>
  <si>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</si>
  <si>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</si>
  <si>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</si>
  <si>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</si>
  <si>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</si>
  <si>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</si>
  <si>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</si>
  <si>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</si>
  <si>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</si>
  <si>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</si>
  <si>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</si>
  <si>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</si>
  <si>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</si>
  <si>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</si>
  <si>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</si>
  <si>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</si>
  <si>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</si>
  <si>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</si>
  <si>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</si>
  <si>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</si>
  <si>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</si>
  <si>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</si>
  <si>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</si>
  <si>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</si>
  <si>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</si>
  <si>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</si>
  <si>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</si>
  <si>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</si>
  <si>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</si>
  <si>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</si>
  <si>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</si>
  <si>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</si>
  <si>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</si>
  <si>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</si>
  <si>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</si>
  <si>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</si>
  <si>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</si>
  <si>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</si>
  <si>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</si>
  <si>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</si>
  <si>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</si>
  <si>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</si>
  <si>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</si>
  <si>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</si>
  <si>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</si>
  <si>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</si>
  <si>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</si>
  <si>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</si>
  <si>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</si>
  <si>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</si>
  <si>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</si>
  <si>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</si>
  <si>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</si>
  <si>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</si>
  <si>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</si>
  <si>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</si>
  <si>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</si>
  <si>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</si>
  <si>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</si>
  <si>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</si>
  <si>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</si>
  <si>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</si>
  <si>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</si>
  <si>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</si>
  <si>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</si>
  <si>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</si>
  <si>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</si>
  <si>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</si>
  <si>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</si>
  <si>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</si>
  <si>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</si>
  <si>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</si>
  <si>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</si>
  <si>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</si>
  <si>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</si>
  <si>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</si>
  <si>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</si>
  <si>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</si>
  <si>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</si>
  <si>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</si>
  <si>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</si>
  <si>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</si>
  <si>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</si>
  <si>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</si>
  <si>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</si>
  <si>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</si>
  <si>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</si>
  <si>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</si>
  <si>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</si>
  <si>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</si>
  <si>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</si>
  <si>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</si>
  <si>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</si>
  <si>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</si>
  <si>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</si>
  <si>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</si>
  <si>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</si>
  <si>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</si>
  <si>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</si>
  <si>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</si>
  <si>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</si>
  <si>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</si>
  <si>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</si>
  <si>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</si>
  <si>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</si>
  <si>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</si>
  <si>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</si>
  <si>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</si>
  <si>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</si>
  <si>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</si>
  <si>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</si>
  <si>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</si>
  <si>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</si>
  <si>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</si>
  <si>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</si>
  <si>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</si>
  <si>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</si>
  <si>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</si>
  <si>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</si>
  <si>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</si>
  <si>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</si>
  <si>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</si>
  <si>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</si>
  <si>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</si>
  <si>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</si>
  <si>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</si>
  <si>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</si>
  <si>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</si>
  <si>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</si>
  <si>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</si>
  <si>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</si>
  <si>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</si>
  <si>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</si>
  <si>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</si>
  <si>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</si>
  <si>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</si>
  <si>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</si>
  <si>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</si>
  <si>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</si>
  <si>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</si>
  <si>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</si>
  <si>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</si>
  <si>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</si>
  <si>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</si>
  <si>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</si>
  <si>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</si>
  <si>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</si>
  <si>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</si>
  <si>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</si>
  <si>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</si>
  <si>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</si>
  <si>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</si>
  <si>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</si>
  <si>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</si>
  <si>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</si>
  <si>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</si>
  <si>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</si>
  <si>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</si>
  <si>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</si>
  <si>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</si>
  <si>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</si>
  <si>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</si>
  <si>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</si>
  <si>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</si>
  <si>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</si>
  <si>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</si>
  <si>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</si>
  <si>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</si>
  <si>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</si>
  <si>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</si>
  <si>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</si>
  <si>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</si>
  <si>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</si>
  <si>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</si>
  <si>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</si>
  <si>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</si>
  <si>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</si>
  <si>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</si>
  <si>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</si>
  <si>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</si>
  <si>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</si>
  <si>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</si>
  <si>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</si>
  <si>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</si>
  <si>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</si>
  <si>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</si>
  <si>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</si>
  <si>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</si>
  <si>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</si>
  <si>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</si>
  <si>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</si>
  <si>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</si>
  <si>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</si>
  <si>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</si>
  <si>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</si>
  <si>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</si>
  <si>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</si>
  <si>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</si>
  <si>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</si>
  <si>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</si>
  <si>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</si>
  <si>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</si>
  <si>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</si>
  <si>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</si>
  <si>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</si>
  <si>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</si>
  <si>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</si>
  <si>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</si>
  <si>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</si>
  <si>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</si>
  <si>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</si>
  <si>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</si>
  <si>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</si>
  <si>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</si>
  <si>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</si>
  <si>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</si>
  <si>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</si>
  <si>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</si>
  <si>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</si>
  <si>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</si>
  <si>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</si>
  <si>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</si>
  <si>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</si>
  <si>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</si>
  <si>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</si>
  <si>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</si>
  <si>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</si>
  <si>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</si>
  <si>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</si>
  <si>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</si>
  <si>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</si>
  <si>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</si>
  <si>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</si>
  <si>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</si>
  <si>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</si>
  <si>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</si>
  <si>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</si>
  <si>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</si>
  <si>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</si>
  <si>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</si>
  <si>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</si>
  <si>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</si>
  <si>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</si>
  <si>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</si>
  <si>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</si>
  <si>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</si>
  <si>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</si>
  <si>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</si>
  <si>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</si>
  <si>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</si>
  <si>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</si>
  <si>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</si>
  <si>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</si>
  <si>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</si>
  <si>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</si>
  <si>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</si>
  <si>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</si>
  <si>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</si>
  <si>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</si>
  <si>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</si>
  <si>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</si>
  <si>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</si>
  <si>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</si>
  <si>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</si>
  <si>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</si>
  <si>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</si>
  <si>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</si>
  <si>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</si>
  <si>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</si>
  <si>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</si>
  <si>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</si>
  <si>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</si>
  <si>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</si>
  <si>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</si>
  <si>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</si>
  <si>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</si>
  <si>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</si>
  <si>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</si>
  <si>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</si>
  <si>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</si>
  <si>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</si>
  <si>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</si>
  <si>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</si>
  <si>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</si>
  <si>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</si>
  <si>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</si>
  <si>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</si>
  <si>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</si>
  <si>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</si>
  <si>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</si>
  <si>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</si>
  <si>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</si>
  <si>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</si>
  <si>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</si>
  <si>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</si>
  <si>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</si>
  <si>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</si>
  <si>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</si>
  <si>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</si>
  <si>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</si>
  <si>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</si>
  <si>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</si>
  <si>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</si>
  <si>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</si>
  <si>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</si>
  <si>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</si>
  <si>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</si>
  <si>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</si>
  <si>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</si>
  <si>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</si>
  <si>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</si>
  <si>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</si>
  <si>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</si>
  <si>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</si>
  <si>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</si>
  <si>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</si>
  <si>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</si>
  <si>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</si>
  <si>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</si>
  <si>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</si>
  <si>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</si>
  <si>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</si>
  <si>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</si>
  <si>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</si>
  <si>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</si>
  <si>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</si>
  <si>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</si>
  <si>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</si>
  <si>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</si>
  <si>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</si>
  <si>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</si>
  <si>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</si>
  <si>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</si>
  <si>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</si>
  <si>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</si>
  <si>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</si>
  <si>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</si>
  <si>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</si>
  <si>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</si>
  <si>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</si>
  <si>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</si>
  <si>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</si>
  <si>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</si>
  <si>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</si>
  <si>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</si>
  <si>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</si>
  <si>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</si>
  <si>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</si>
  <si>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</si>
  <si>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</si>
  <si>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</si>
  <si>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</si>
  <si>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</si>
  <si>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</si>
  <si>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</si>
  <si>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</si>
  <si>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</si>
  <si>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</si>
  <si>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</si>
  <si>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</si>
  <si>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</si>
  <si>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</si>
  <si>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</si>
  <si>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</si>
  <si>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</si>
  <si>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</si>
  <si>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</si>
  <si>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</si>
  <si>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</si>
  <si>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</si>
  <si>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</si>
  <si>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</si>
  <si>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</si>
  <si>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</si>
  <si>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</si>
  <si>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</si>
  <si>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</si>
  <si>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</si>
  <si>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</si>
  <si>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</si>
  <si>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</si>
  <si>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</si>
  <si>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</si>
  <si>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</si>
  <si>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</si>
  <si>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</si>
  <si>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</si>
  <si>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</si>
  <si>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</si>
  <si>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</si>
  <si>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</si>
  <si>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</si>
  <si>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</si>
  <si>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</si>
  <si>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</si>
  <si>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</si>
  <si>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</si>
  <si>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</si>
  <si>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</si>
  <si>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</si>
  <si>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</si>
  <si>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</si>
  <si>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</si>
  <si>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</si>
  <si>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</si>
  <si>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</si>
  <si>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</si>
  <si>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</si>
  <si>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</si>
  <si>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</si>
  <si>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</si>
  <si>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</si>
  <si>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</si>
  <si>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</si>
  <si>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</si>
  <si>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</si>
  <si>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</si>
  <si>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</si>
  <si>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</si>
  <si>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</si>
  <si>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</si>
  <si>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</si>
  <si>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</si>
  <si>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</si>
  <si>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</si>
  <si>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</si>
  <si>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</si>
  <si>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</si>
  <si>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</si>
  <si>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</si>
  <si>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</si>
  <si>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</si>
  <si>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</si>
  <si>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</si>
  <si>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</si>
  <si>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</si>
  <si>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</si>
  <si>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</si>
  <si>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</si>
  <si>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</si>
  <si>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</si>
  <si>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</si>
  <si>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</si>
  <si>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</si>
  <si>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</si>
  <si>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</si>
  <si>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</si>
  <si>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</si>
  <si>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</si>
  <si>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</si>
  <si>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</si>
  <si>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</si>
  <si>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</si>
  <si>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</si>
  <si>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</si>
  <si>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</si>
  <si>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</si>
  <si>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</si>
  <si>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</si>
  <si>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</si>
  <si>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</si>
  <si>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</si>
  <si>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</si>
  <si>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</si>
  <si>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</si>
  <si>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</si>
  <si>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</si>
  <si>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</si>
  <si>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</si>
  <si>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</si>
  <si>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</si>
  <si>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</si>
  <si>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</si>
  <si>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</si>
  <si>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</si>
  <si>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</si>
  <si>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</si>
  <si>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</si>
  <si>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</si>
  <si>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</si>
  <si>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</si>
  <si>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</si>
  <si>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</si>
  <si>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</si>
  <si>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</si>
  <si>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</si>
  <si>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</si>
  <si>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</si>
  <si>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</si>
  <si>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</si>
  <si>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</si>
  <si>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</si>
  <si>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</si>
  <si>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</si>
  <si>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</si>
  <si>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</si>
  <si>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</si>
  <si>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</si>
  <si>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</si>
  <si>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</si>
  <si>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</si>
  <si>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</si>
  <si>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</si>
  <si>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</si>
  <si>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</si>
  <si>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</si>
  <si>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</si>
  <si>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</si>
  <si>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</si>
  <si>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</si>
  <si>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</si>
  <si>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</si>
  <si>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</si>
  <si>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</si>
  <si>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</si>
  <si>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</si>
  <si>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</si>
  <si>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</si>
  <si>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</si>
  <si>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</si>
  <si>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</si>
  <si>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</si>
  <si>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</si>
  <si>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</si>
  <si>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</si>
  <si>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</si>
  <si>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</si>
  <si>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</si>
  <si>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</si>
  <si>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</si>
  <si>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</si>
  <si>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</si>
  <si>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</si>
  <si>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</si>
  <si>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</si>
  <si>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</si>
  <si>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</si>
  <si>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</si>
  <si>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</si>
  <si>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</si>
  <si>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</si>
  <si>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</si>
  <si>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</si>
  <si>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</si>
  <si>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</si>
  <si>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</si>
  <si>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</si>
  <si>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</si>
  <si>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</si>
  <si>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</si>
  <si>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</si>
  <si>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</si>
  <si>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</si>
  <si>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</si>
  <si>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</si>
  <si>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</si>
  <si>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</si>
  <si>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</si>
  <si>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</si>
  <si>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</si>
  <si>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</si>
  <si>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</si>
  <si>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</si>
  <si>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</si>
  <si>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</si>
  <si>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</si>
  <si>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</si>
  <si>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</si>
  <si>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</si>
  <si>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</si>
  <si>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</si>
  <si>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</si>
  <si>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</si>
  <si>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</si>
  <si>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</si>
  <si>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</si>
  <si>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</si>
  <si>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</si>
  <si>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</si>
  <si>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</si>
  <si>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</si>
  <si>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</si>
  <si>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</si>
  <si>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</si>
  <si>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</si>
  <si>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</si>
  <si>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</si>
  <si>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</si>
  <si>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</si>
  <si>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</si>
  <si>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</si>
  <si>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</si>
  <si>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</si>
  <si>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</si>
  <si>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</si>
  <si>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</si>
  <si>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</si>
  <si>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</si>
  <si>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</si>
  <si>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</si>
  <si>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</si>
  <si>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</si>
  <si>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</si>
  <si>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</si>
  <si>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</si>
  <si>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</si>
  <si>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</si>
  <si>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</si>
  <si>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</si>
  <si>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</si>
  <si>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</si>
  <si>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</si>
  <si>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</si>
  <si>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</si>
  <si>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</si>
  <si>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</si>
  <si>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</si>
  <si>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</si>
  <si>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</si>
  <si>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</si>
  <si>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</si>
  <si>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</si>
  <si>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</si>
  <si>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</si>
  <si>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</si>
  <si>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</si>
  <si>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</si>
  <si>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</si>
  <si>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</si>
  <si>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</si>
  <si>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</si>
  <si>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</si>
  <si>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</si>
  <si>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</si>
  <si>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</si>
  <si>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</si>
  <si>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</si>
  <si>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</si>
  <si>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</si>
  <si>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</si>
  <si>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</si>
  <si>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</si>
  <si>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</si>
  <si>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</si>
  <si>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</si>
  <si>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</si>
  <si>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</si>
  <si>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</si>
  <si>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</si>
  <si>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</si>
  <si>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</si>
  <si>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</si>
  <si>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</si>
  <si>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</si>
  <si>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</si>
  <si>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</si>
  <si>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</si>
  <si>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</si>
  <si>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</si>
  <si>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</si>
  <si>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</si>
  <si>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</si>
  <si>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</si>
  <si>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</si>
  <si>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</si>
  <si>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</si>
  <si>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</si>
  <si>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</si>
  <si>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</si>
  <si>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</si>
  <si>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</si>
  <si>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</si>
  <si>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</si>
  <si>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</si>
  <si>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</si>
  <si>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</si>
  <si>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</si>
  <si>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</si>
  <si>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</si>
  <si>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</si>
  <si>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</si>
  <si>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</si>
  <si>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</si>
  <si>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</si>
  <si>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</si>
  <si>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</si>
  <si>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</si>
  <si>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</si>
  <si>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</si>
  <si>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</si>
  <si>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</si>
  <si>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</si>
  <si>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</si>
  <si>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</si>
  <si>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</si>
  <si>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</si>
  <si>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</si>
  <si>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</si>
  <si>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</si>
  <si>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</si>
  <si>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</si>
  <si>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</si>
  <si>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</si>
  <si>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</si>
  <si>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</si>
  <si>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</si>
  <si>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</si>
  <si>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</si>
  <si>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</si>
  <si>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</si>
  <si>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</si>
  <si>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</si>
  <si>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</si>
  <si>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</si>
  <si>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</si>
  <si>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</si>
  <si>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</si>
  <si>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</si>
  <si>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</si>
  <si>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</si>
  <si>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</si>
  <si>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</si>
  <si>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</si>
  <si>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</si>
  <si>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</si>
  <si>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</si>
  <si>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</si>
  <si>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</si>
  <si>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</si>
  <si>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</si>
  <si>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</si>
  <si>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</si>
  <si>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</si>
  <si>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</si>
  <si>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</si>
  <si>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</si>
  <si>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</si>
  <si>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</si>
  <si>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</si>
  <si>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</si>
  <si>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</si>
  <si>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</si>
  <si>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</si>
  <si>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</si>
  <si>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</si>
  <si>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</si>
  <si>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</si>
  <si>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</si>
  <si>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</si>
  <si>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</si>
  <si>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</si>
  <si>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</si>
  <si>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</si>
  <si>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</si>
  <si>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</si>
  <si>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</si>
  <si>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</si>
  <si>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</si>
  <si>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</si>
  <si>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</si>
  <si>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</si>
  <si>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</si>
  <si>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</si>
  <si>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</si>
  <si>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</si>
  <si>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</si>
  <si>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</si>
  <si>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</si>
  <si>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</si>
  <si>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</si>
  <si>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</si>
  <si>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</si>
  <si>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</si>
  <si>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</si>
  <si>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</si>
  <si>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</si>
  <si>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</si>
  <si>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</si>
  <si>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</si>
  <si>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</si>
  <si>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</si>
  <si>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</si>
  <si>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</si>
  <si>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</si>
  <si>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</si>
  <si>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</si>
  <si>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</si>
  <si>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</si>
  <si>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</si>
  <si>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</si>
  <si>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</si>
  <si>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</si>
  <si>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</si>
  <si>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</si>
  <si>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</si>
  <si>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</si>
  <si>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</si>
  <si>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</si>
  <si>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</si>
  <si>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</si>
  <si>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</si>
  <si>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</si>
  <si>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</si>
  <si>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</si>
  <si>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</si>
  <si>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</si>
  <si>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</si>
  <si>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</si>
  <si>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</si>
  <si>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</si>
  <si>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</si>
  <si>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</si>
  <si>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</si>
  <si>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</si>
  <si>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</si>
  <si>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</si>
  <si>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</si>
  <si>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</si>
  <si>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</si>
  <si>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</si>
  <si>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</si>
  <si>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</si>
  <si>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</si>
  <si>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</si>
  <si>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</si>
  <si>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</si>
  <si>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</si>
  <si>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</si>
  <si>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</si>
  <si>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</si>
  <si>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</si>
  <si>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</si>
  <si>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</si>
  <si>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</si>
  <si>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</si>
  <si>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</si>
  <si>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</si>
  <si>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</si>
  <si>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</si>
  <si>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</si>
  <si>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</si>
  <si>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</si>
  <si>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</si>
  <si>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</si>
  <si>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</si>
  <si>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</si>
  <si>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</si>
  <si>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</si>
  <si>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</si>
  <si>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</si>
  <si>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</si>
  <si>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</si>
  <si>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</si>
  <si>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</si>
  <si>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</si>
  <si>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</si>
  <si>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</si>
  <si>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</si>
  <si>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</si>
  <si>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</si>
  <si>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</si>
  <si>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</si>
  <si>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</si>
  <si>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</si>
  <si>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</si>
  <si>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</si>
  <si>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</si>
  <si>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</si>
  <si>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</si>
  <si>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</si>
  <si>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</si>
  <si>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</si>
  <si>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</si>
  <si>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</si>
  <si>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</si>
  <si>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</si>
  <si>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</si>
  <si>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</si>
  <si>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</si>
  <si>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医药ETF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</si>
  <si>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</si>
  <si>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</si>
  <si>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</si>
  <si>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</si>
  <si>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</si>
  <si>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</si>
  <si>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</si>
  <si>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</si>
  <si>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</si>
  <si>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</si>
  <si>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</si>
  <si>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</si>
  <si>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</si>
  <si>
    <t>广发传媒</t>
    <phoneticPr fontId="3" type="noConversion"/>
  </si>
  <si>
    <t>004752</t>
    <phoneticPr fontId="3" type="noConversion"/>
  </si>
  <si>
    <t>广发中证传媒ETF联接A</t>
    <phoneticPr fontId="3" type="noConversion"/>
  </si>
  <si>
    <t>传媒</t>
    <phoneticPr fontId="3" type="noConversion"/>
  </si>
  <si>
    <t>买入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</si>
</sst>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1.255643072625E-2</c:v>
                </c:pt>
                <c:pt idx="1">
                  <c:v>6.8961613049999981E-2</c:v>
                </c:pt>
                <c:pt idx="2">
                  <c:v>0.11967883277249998</c:v>
                </c:pt>
                <c:pt idx="3">
                  <c:v>9.1103234526250007E-2</c:v>
                </c:pt>
                <c:pt idx="4">
                  <c:v>5.0567830042499998E-2</c:v>
                </c:pt>
                <c:pt idx="5">
                  <c:v>0.11640169389249999</c:v>
                </c:pt>
                <c:pt idx="6">
                  <c:v>0.17750155587499999</c:v>
                </c:pt>
                <c:pt idx="7">
                  <c:v>9.8055962621250006E-2</c:v>
                </c:pt>
                <c:pt idx="8">
                  <c:v>1.2696654437499998E-3</c:v>
                </c:pt>
                <c:pt idx="9">
                  <c:v>2.7227719291249997E-2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57175"/>
              <a:ext cx="13404850" cy="1319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5"/>
  <sheetViews>
    <sheetView zoomScale="80" zoomScaleNormal="80" workbookViewId="0">
      <pane ySplit="1" topLeftCell="A64" activePane="bottomLeft" state="frozen"/>
      <selection pane="bottomLeft" activeCell="A135" sqref="A135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$F2*$T$32</f>
        <v>14.473991189427311</v>
      </c>
      <c r="I2" s="21">
        <f>$F2*$V$32</f>
        <v>1.4004229074889869</v>
      </c>
      <c r="J2" s="21">
        <f t="shared" ref="J2:J33" si="0">H2*(-$M2)</f>
        <v>49211.57004405286</v>
      </c>
      <c r="K2" s="21">
        <f t="shared" ref="K2:K33" si="1">I2*(-$M2)</f>
        <v>4761.4378854625556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-2.1861021380208404E-2</v>
      </c>
      <c r="T2" s="18" t="s">
        <v>146</v>
      </c>
      <c r="U2" s="18">
        <f>(SUM(S4:S6) - SUM(Q4:Q6))/SUM(Q4:Q6)</f>
        <v>-4.4297836433136561E-2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29.587696437925615</v>
      </c>
      <c r="I3" s="21">
        <f>$F3*$V$23</f>
        <v>3.663920900995286</v>
      </c>
      <c r="J3" s="21">
        <f t="shared" si="0"/>
        <v>218948.95364064956</v>
      </c>
      <c r="K3" s="21">
        <f t="shared" si="1"/>
        <v>27113.014667365118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9.8469757174392942</v>
      </c>
      <c r="I4" s="21">
        <f>F4*$V$13</f>
        <v>0.98103016924208986</v>
      </c>
      <c r="J4" s="21">
        <f t="shared" si="0"/>
        <v>38994.023841059607</v>
      </c>
      <c r="K4" s="21">
        <f t="shared" si="1"/>
        <v>3884.8794701986758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357536.6</v>
      </c>
      <c r="R4" s="29">
        <v>5487.19</v>
      </c>
      <c r="S4" s="40">
        <f>Q4+R4</f>
        <v>363023.79</v>
      </c>
      <c r="T4" s="26">
        <f>S4/Q4-1</f>
        <v>1.5347212005707878E-2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24.37676518001075</v>
      </c>
      <c r="I5" s="21">
        <f>E5*$V$24</f>
        <v>3.2584846856528751</v>
      </c>
      <c r="J5" s="21">
        <f t="shared" si="0"/>
        <v>96531.99011284257</v>
      </c>
      <c r="K5" s="21">
        <f t="shared" si="1"/>
        <v>12903.599355185384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-3155.53</v>
      </c>
      <c r="S5" s="40">
        <f>Q5+R5</f>
        <v>8844.4699999999993</v>
      </c>
      <c r="T5" s="26">
        <f>S5/Q5-1</f>
        <v>-0.26296083333333342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380088.95</v>
      </c>
      <c r="R6" s="29">
        <v>-35538.449999999997</v>
      </c>
      <c r="S6" s="40">
        <f>Q6+R6</f>
        <v>344550.5</v>
      </c>
      <c r="T6" s="26">
        <f>S6/Q6-1</f>
        <v>-9.3500350378510122E-2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30.867369041382926</v>
      </c>
      <c r="I7" s="21">
        <f>F7*$V$23</f>
        <v>3.8223860660031437</v>
      </c>
      <c r="J7" s="21">
        <f t="shared" si="0"/>
        <v>122234.78140387639</v>
      </c>
      <c r="K7" s="21">
        <f t="shared" si="1"/>
        <v>15136.64882137245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50374.449999999953</v>
      </c>
      <c r="R7" s="11">
        <f>V62</f>
        <v>15717.972895833336</v>
      </c>
      <c r="S7" s="11">
        <f>Q7+R7</f>
        <v>66092.422895833297</v>
      </c>
      <c r="T7" s="26">
        <f>S7/Q7-1</f>
        <v>0.3120227197683223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25.347262761955939</v>
      </c>
      <c r="I8" s="21">
        <f>E8*$V$24</f>
        <v>3.3882127888232136</v>
      </c>
      <c r="J8" s="21">
        <f t="shared" si="0"/>
        <v>100375.16053734552</v>
      </c>
      <c r="K8" s="21">
        <f t="shared" si="1"/>
        <v>13417.322643739926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25.235477700161205</v>
      </c>
      <c r="I10" s="21">
        <f>E10*$V$24</f>
        <v>3.3732702847931222</v>
      </c>
      <c r="J10" s="21">
        <f t="shared" si="0"/>
        <v>99932.491692638374</v>
      </c>
      <c r="K10" s="21">
        <f t="shared" si="1"/>
        <v>13358.150327780764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30.503874825919556</v>
      </c>
      <c r="I11" s="21">
        <f>F11*$V$22</f>
        <v>3.7773736380765137</v>
      </c>
      <c r="J11" s="21">
        <f t="shared" si="0"/>
        <v>121820.27450479234</v>
      </c>
      <c r="K11" s="21">
        <f t="shared" si="1"/>
        <v>15085.319361022364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29.060949452666279</v>
      </c>
      <c r="I12" s="21">
        <f>F12*$V$17</f>
        <v>2.2197669895719496</v>
      </c>
      <c r="J12" s="21">
        <f t="shared" si="0"/>
        <v>112976.76587319637</v>
      </c>
      <c r="K12" s="21">
        <f t="shared" si="1"/>
        <v>8629.5217533201194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30.527557958548375</v>
      </c>
      <c r="I13" s="21">
        <f>F13*$V$22</f>
        <v>3.780306381584337</v>
      </c>
      <c r="J13" s="21">
        <f t="shared" si="0"/>
        <v>122009.49089293028</v>
      </c>
      <c r="K13" s="21">
        <f t="shared" si="1"/>
        <v>15108.75051527812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2.718</v>
      </c>
      <c r="S13" s="89">
        <v>10.74</v>
      </c>
      <c r="T13" s="32">
        <f t="shared" ref="T13:T33" si="2">S13/R13</f>
        <v>3.9514348785871967</v>
      </c>
      <c r="U13" s="31">
        <v>1.07</v>
      </c>
      <c r="V13" s="32">
        <f t="shared" ref="V13:V33" si="3">U13/R13</f>
        <v>0.39367181751287716</v>
      </c>
      <c r="W13" s="53">
        <v>0.1295</v>
      </c>
      <c r="X13" s="44">
        <f>SUMIF(C:C,"=红利",J:J)/SUMIFS(M:M,C:C,"=红利",M:M,"&lt;0")*-1</f>
        <v>10.278041990536218</v>
      </c>
      <c r="Y13" s="44">
        <f>SUMIF(C:C,"=红利",K:K)/SUMIFS(M:M,C:C,"=红利",M:M,"&lt;0")*-1</f>
        <v>1.023976250453795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27.266509844597969</v>
      </c>
      <c r="I14" s="21">
        <f>F14*$V$17</f>
        <v>2.0827020318953862</v>
      </c>
      <c r="J14" s="21">
        <f t="shared" si="0"/>
        <v>99435.508101279876</v>
      </c>
      <c r="K14" s="21">
        <f t="shared" si="1"/>
        <v>7595.1977699160943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2.9510000000000001</v>
      </c>
      <c r="S14" s="89">
        <v>10.71</v>
      </c>
      <c r="T14" s="32">
        <f t="shared" si="2"/>
        <v>3.6292782107760084</v>
      </c>
      <c r="U14" s="31">
        <v>1.24</v>
      </c>
      <c r="V14" s="32">
        <f t="shared" si="3"/>
        <v>0.42019654354456115</v>
      </c>
      <c r="W14" s="53">
        <v>0.12139999999999999</v>
      </c>
      <c r="X14" s="44">
        <f>SUMIF(C:C,"=50ETF",J:J)/SUMIFS(M:M,C:C,"=50ETF",M:M,"&lt;0")*-1</f>
        <v>8.6594578109115563</v>
      </c>
      <c r="Y14" s="44">
        <f>SUMIF(C:C,"=50ETF",K:K)/SUMIFS(M:M,C:C,"=50ETF",M:M,"&lt;0")*-1</f>
        <v>1.0025889528973229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25.30153250940355</v>
      </c>
      <c r="I15" s="21">
        <f>E15*$V$24</f>
        <v>3.3820999462654493</v>
      </c>
      <c r="J15" s="21">
        <f t="shared" si="0"/>
        <v>200388.13747447613</v>
      </c>
      <c r="K15" s="21">
        <f t="shared" si="1"/>
        <v>26786.23157442236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3.8553000000000002</v>
      </c>
      <c r="S15" s="89">
        <v>13.32</v>
      </c>
      <c r="T15" s="32">
        <f t="shared" si="2"/>
        <v>3.4549840479340128</v>
      </c>
      <c r="U15" s="31">
        <v>1.48</v>
      </c>
      <c r="V15" s="32">
        <f t="shared" si="3"/>
        <v>0.38388711643711254</v>
      </c>
      <c r="W15" s="53">
        <v>0.11890000000000001</v>
      </c>
      <c r="X15" s="44">
        <f>SUMIF(C:C,"=300ETF",J:J)/SUMIFS(M:M,C:C,"=300ETF",M:M,"&lt;0")*-1</f>
        <v>11.8306174293269</v>
      </c>
      <c r="Y15" s="44">
        <f>SUMIF(C:C,"=300ETF",K:K)/SUMIFS(M:M,C:C,"=300ETF",M:M,"&lt;0")*-1</f>
        <v>1.3145130477029885</v>
      </c>
      <c r="Z15" s="133">
        <f>(SUMIF(C:C,"=300ETF",M:M)*-1)/$Q$2</f>
        <v>6.3755074999999994E-2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29.746014581797333</v>
      </c>
      <c r="I16" s="21">
        <f>F16*$V$22</f>
        <v>3.6835258458261655</v>
      </c>
      <c r="J16" s="21">
        <f t="shared" si="0"/>
        <v>115819.08237568609</v>
      </c>
      <c r="K16" s="21">
        <f t="shared" si="1"/>
        <v>14342.176233308757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1.909</v>
      </c>
      <c r="S16" s="89">
        <v>13.32</v>
      </c>
      <c r="T16" s="32">
        <f t="shared" si="2"/>
        <v>6.9774751178627552</v>
      </c>
      <c r="U16" s="31">
        <v>1.48</v>
      </c>
      <c r="V16" s="32">
        <f t="shared" si="3"/>
        <v>0.77527501309586166</v>
      </c>
      <c r="W16" s="115">
        <v>0.11890000000000001</v>
      </c>
      <c r="X16" s="44">
        <f>SUMIF(C:C,"=300ETF",J:J)/SUMIFS(M:M,C:C,"=300ETF",M:M,"&lt;0")*-1</f>
        <v>11.8306174293269</v>
      </c>
      <c r="Y16" s="44">
        <f>SUMIF(C:C,"=300ETF",K:K)/SUMIFS(M:M,C:C,"=300ETF",M:M,"&lt;0")*-1</f>
        <v>1.3145130477029885</v>
      </c>
      <c r="Z16" s="134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5.3989000000000003</v>
      </c>
      <c r="S17" s="89">
        <v>24.22</v>
      </c>
      <c r="T17" s="32">
        <f t="shared" si="2"/>
        <v>4.4860990201707747</v>
      </c>
      <c r="U17" s="31">
        <v>1.85</v>
      </c>
      <c r="V17" s="32">
        <f t="shared" si="3"/>
        <v>0.34266239419140937</v>
      </c>
      <c r="W17" s="115">
        <v>7.8E-2</v>
      </c>
      <c r="X17" s="44">
        <f>SUMIF(C:C,"=500ETF",J:J)/SUMIFS(M:M,C:C,"=500ETF",M:M,"&lt;0")*-1</f>
        <v>25.474387813615273</v>
      </c>
      <c r="Y17" s="44">
        <f>SUMIF(C:C,"=500ETF",K:K)/SUMIFS(M:M,C:C,"=500ETF",M:M,"&lt;0")*-1</f>
        <v>1.9458140980672272</v>
      </c>
      <c r="Z17" s="133">
        <f>(SUMIF(C:C,"=500ETF",M:M)*-1)/$Q$2</f>
        <v>0.23263318749999998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10.032693156732893</v>
      </c>
      <c r="I18" s="21">
        <f>F18*$V$13</f>
        <v>0.99953274466519515</v>
      </c>
      <c r="J18" s="21">
        <f t="shared" si="0"/>
        <v>39729.464900662257</v>
      </c>
      <c r="K18" s="21">
        <f t="shared" si="1"/>
        <v>3958.1496688741727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1.923</v>
      </c>
      <c r="S18" s="89">
        <v>24.22</v>
      </c>
      <c r="T18" s="32">
        <f t="shared" si="2"/>
        <v>12.594903796151845</v>
      </c>
      <c r="U18" s="31">
        <v>1.85</v>
      </c>
      <c r="V18" s="32">
        <f t="shared" si="3"/>
        <v>0.96203848153926164</v>
      </c>
      <c r="W18" s="115">
        <v>7.8E-2</v>
      </c>
      <c r="X18" s="44">
        <f>SUMIF(C:C,"=500ETF",J:J)/SUMIFS(M:M,C:C,"=500ETF",M:M,"&lt;0")*-1</f>
        <v>25.474387813615273</v>
      </c>
      <c r="Y18" s="44">
        <f>SUMIF(C:C,"=500ETF",K:K)/SUMIFS(M:M,C:C,"=500ETF",M:M,"&lt;0")*-1</f>
        <v>1.9458140980672272</v>
      </c>
      <c r="Z18" s="134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0.65569999999999995</v>
      </c>
      <c r="S19" s="89">
        <v>35.03</v>
      </c>
      <c r="T19" s="32">
        <f t="shared" si="2"/>
        <v>53.423821869757518</v>
      </c>
      <c r="U19" s="31">
        <v>2.21</v>
      </c>
      <c r="V19" s="32">
        <f t="shared" si="3"/>
        <v>3.37044380051853</v>
      </c>
      <c r="W19" s="115">
        <v>5.8400000000000001E-2</v>
      </c>
      <c r="X19" s="44">
        <f>SUMIF(C:C,"=1000ETF",J:J)/SUMIFS(M:M,C:C,"=1000ETF",M:M,"&lt;0")*-1</f>
        <v>38.399715161780172</v>
      </c>
      <c r="Y19" s="44">
        <f>SUMIF(C:C,"=1000ETF",K:K)/SUMIFS(M:M,C:C,"=1000ETF",M:M,"&lt;0")*-1</f>
        <v>2.422591222024955</v>
      </c>
      <c r="Z19" s="33">
        <f>(SUMIF(C:C,"=1000ETF",M:M)*-1)/$Q$2</f>
        <v>5.7593512499999999E-2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29.54096204782455</v>
      </c>
      <c r="I20" s="21">
        <f>F20*$V$17</f>
        <v>2.2564318657504305</v>
      </c>
      <c r="J20" s="21">
        <f t="shared" si="0"/>
        <v>233479.35682194514</v>
      </c>
      <c r="K20" s="21">
        <f t="shared" si="1"/>
        <v>17833.889765507789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1.4670000000000001</v>
      </c>
      <c r="S20" s="89">
        <v>52.14</v>
      </c>
      <c r="T20" s="32">
        <f>S20/R20</f>
        <v>35.541922290388548</v>
      </c>
      <c r="U20" s="31">
        <v>4.43</v>
      </c>
      <c r="V20" s="32">
        <f>U20/R20</f>
        <v>3.0197682344921604</v>
      </c>
      <c r="W20" s="115">
        <v>9.0800000000000006E-2</v>
      </c>
      <c r="X20" s="44">
        <f>SUMIF(C:C,"=创业板",J:J)/SUMIFS(M:M,C:C,"=创业板",M:M,"&lt;0")*-1</f>
        <v>47.841250976050851</v>
      </c>
      <c r="Y20" s="44">
        <f>SUMIF(C:C,"=创业板",K:K)/SUMIFS(M:M,C:C,"=创业板",M:M,"&lt;0")*-1</f>
        <v>4.0647629808957655</v>
      </c>
      <c r="Z20" s="133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38.128727821149745</v>
      </c>
      <c r="I21" s="21">
        <f>F21*$V$27</f>
        <v>2.9581458481192331</v>
      </c>
      <c r="J21" s="21">
        <f t="shared" si="0"/>
        <v>152514.91128459899</v>
      </c>
      <c r="K21" s="21">
        <f t="shared" si="1"/>
        <v>11832.583392476932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1.5861000000000001</v>
      </c>
      <c r="S21" s="89">
        <v>52.14</v>
      </c>
      <c r="T21" s="32">
        <f>S21/R21</f>
        <v>32.873084925288445</v>
      </c>
      <c r="U21" s="31">
        <v>4.43</v>
      </c>
      <c r="V21" s="32">
        <f>U21/R21</f>
        <v>2.793014311834058</v>
      </c>
      <c r="W21" s="115">
        <v>9.0800000000000006E-2</v>
      </c>
      <c r="X21" s="44">
        <f>SUMIF(C:C,"=创业板",J:J)/SUMIFS(M:M,C:C,"=创业板",M:M,"&lt;0")*-1</f>
        <v>47.841250976050851</v>
      </c>
      <c r="Y21" s="44">
        <f>SUMIF(C:C,"=创业板",K:K)/SUMIFS(M:M,C:C,"=创业板",M:M,"&lt;0")*-1</f>
        <v>4.0647629808957655</v>
      </c>
      <c r="Z21" s="135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28.890477689899789</v>
      </c>
      <c r="I22" s="21">
        <f>F22*$V$17</f>
        <v>2.2067458185926765</v>
      </c>
      <c r="J22" s="21">
        <f t="shared" si="0"/>
        <v>111655.051461594</v>
      </c>
      <c r="K22" s="21">
        <f t="shared" si="1"/>
        <v>8528.565037322418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1.2206999999999999</v>
      </c>
      <c r="S22" s="89">
        <v>28.91</v>
      </c>
      <c r="T22" s="32">
        <f t="shared" si="2"/>
        <v>23.683132628819532</v>
      </c>
      <c r="U22" s="31">
        <v>3.58</v>
      </c>
      <c r="V22" s="32">
        <f t="shared" si="3"/>
        <v>2.9327435078233801</v>
      </c>
      <c r="W22" s="115">
        <v>0.10639999999999999</v>
      </c>
      <c r="X22" s="44">
        <f>SUMIF(C:C,"=医药",J:J)/SUMIFS(M:M,C:C,"=医药",M:M,"&lt;0")*-1</f>
        <v>29.045212968889661</v>
      </c>
      <c r="Y22" s="44">
        <f>SUMIF(C:C,"=医药",K:K)/SUMIFS(M:M,C:C,"=医药",M:M,"&lt;0")*-1</f>
        <v>3.59674377131183</v>
      </c>
      <c r="Z22" s="133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29.491614958602671</v>
      </c>
      <c r="I23" s="21">
        <f>F23*$V$17</f>
        <v>2.2526625794143254</v>
      </c>
      <c r="J23" s="21">
        <f t="shared" si="0"/>
        <v>116350.02441852968</v>
      </c>
      <c r="K23" s="21">
        <f t="shared" si="1"/>
        <v>8887.1818816796022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0.76359999999999995</v>
      </c>
      <c r="S23" s="89">
        <v>28.91</v>
      </c>
      <c r="T23" s="32">
        <f t="shared" si="2"/>
        <v>37.860136196961761</v>
      </c>
      <c r="U23" s="31">
        <v>3.58</v>
      </c>
      <c r="V23" s="32">
        <f t="shared" si="3"/>
        <v>4.688318491356732</v>
      </c>
      <c r="W23" s="115">
        <v>0.10639999999999999</v>
      </c>
      <c r="X23" s="44">
        <f>SUMIF(C:C,"=医药",J:J)/SUMIFS(M:M,C:C,"=医药",M:M,"&lt;0")*-1</f>
        <v>29.045212968889661</v>
      </c>
      <c r="Y23" s="44">
        <f>SUMIF(C:C,"=医药",K:K)/SUMIFS(M:M,C:C,"=医药",M:M,"&lt;0")*-1</f>
        <v>3.59674377131183</v>
      </c>
      <c r="Z23" s="134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11.162803532008832</v>
      </c>
      <c r="I24" s="21">
        <f>F24*$V$13</f>
        <v>1.112122884473878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0.93049999999999999</v>
      </c>
      <c r="S24" s="89">
        <v>23.64</v>
      </c>
      <c r="T24" s="32">
        <f t="shared" si="2"/>
        <v>25.405695862439551</v>
      </c>
      <c r="U24" s="31">
        <v>3.16</v>
      </c>
      <c r="V24" s="32">
        <f t="shared" si="3"/>
        <v>3.3960236432025797</v>
      </c>
      <c r="W24" s="115">
        <v>0.13930000000000001</v>
      </c>
      <c r="X24" s="44">
        <f>SUMIF(C:C,"=养老",J:J)/SUMIFS(M:M,C:C,"=养老",M:M,"&lt;0")*-1</f>
        <v>23.698427862195803</v>
      </c>
      <c r="Y24" s="44">
        <f>SUMIF(C:C,"=养老",K:K)/SUMIFS(M:M,C:C,"=养老",M:M,"&lt;0")*-1</f>
        <v>3.1293825711705825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44.892795312291916</v>
      </c>
      <c r="I25" s="21">
        <f>F25*$V$28</f>
        <v>3.5290984152350511</v>
      </c>
      <c r="J25" s="21">
        <f t="shared" si="0"/>
        <v>179607.09548541752</v>
      </c>
      <c r="K25" s="21">
        <f t="shared" si="1"/>
        <v>14119.216939672393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1.0004</v>
      </c>
      <c r="S25" s="89">
        <v>33.65</v>
      </c>
      <c r="T25" s="32">
        <f t="shared" si="2"/>
        <v>33.636545381847263</v>
      </c>
      <c r="U25" s="31">
        <v>1.76</v>
      </c>
      <c r="V25" s="32">
        <f t="shared" si="3"/>
        <v>1.7592962814874051</v>
      </c>
      <c r="W25" s="115">
        <v>5.2400000000000002E-2</v>
      </c>
      <c r="X25" s="44">
        <f>SUMIF(C:C,"=证券",J:J)/SUMIFS(M:M,C:C,"=证券",M:M,"&lt;0")*-1</f>
        <v>26.804310112150187</v>
      </c>
      <c r="Y25" s="44">
        <f>SUMIF(C:C,"=证券",K:K)/SUMIFS(M:M,C:C,"=证券",M:M,"&lt;0")*-1</f>
        <v>1.4019490578717482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28.935338680101498</v>
      </c>
      <c r="I26" s="21">
        <f>F26*$V$17</f>
        <v>2.2101724425345903</v>
      </c>
      <c r="J26" s="21">
        <f t="shared" si="0"/>
        <v>112002.04090277648</v>
      </c>
      <c r="K26" s="21">
        <f t="shared" si="1"/>
        <v>8555.0691853896169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0.75160000000000005</v>
      </c>
      <c r="S26" s="89">
        <v>27.97</v>
      </c>
      <c r="T26" s="32">
        <f t="shared" si="2"/>
        <v>37.213943587014363</v>
      </c>
      <c r="U26" s="31">
        <v>2.17</v>
      </c>
      <c r="V26" s="32">
        <f t="shared" si="3"/>
        <v>2.8871740287386904</v>
      </c>
      <c r="W26" s="115">
        <v>0.1</v>
      </c>
      <c r="X26" s="44">
        <f>SUMIF(C:C,"=环保",J:J)/SUMIFS(M:M,C:C,"=环保",M:M,"&lt;0")*-1</f>
        <v>32.307548201007393</v>
      </c>
      <c r="Y26" s="44">
        <f>SUMIF(C:C,"=环保",K:K)/SUMIFS(M:M,C:C,"=环保",M:M,"&lt;0")*-1</f>
        <v>2.5065205433030404</v>
      </c>
      <c r="Z26" s="133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34.674661107168198</v>
      </c>
      <c r="I27" s="21">
        <f>F27*$V$27</f>
        <v>2.6901685592618878</v>
      </c>
      <c r="J27" s="21">
        <f t="shared" si="0"/>
        <v>138698.64442867279</v>
      </c>
      <c r="K27" s="21">
        <f t="shared" si="1"/>
        <v>10760.674237047551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0.56359999999999999</v>
      </c>
      <c r="S27" s="89">
        <v>27.97</v>
      </c>
      <c r="T27" s="32">
        <f t="shared" si="2"/>
        <v>49.627395315826824</v>
      </c>
      <c r="U27" s="31">
        <v>2.17</v>
      </c>
      <c r="V27" s="32">
        <f t="shared" si="3"/>
        <v>3.8502484031227819</v>
      </c>
      <c r="W27" s="115">
        <v>0.1</v>
      </c>
      <c r="X27" s="44">
        <f>SUMIF(C:C,"=环保",J:J)/SUMIFS(M:M,C:C,"=环保",M:M,"&lt;0")*-1</f>
        <v>32.307548201007393</v>
      </c>
      <c r="Y27" s="44">
        <f>SUMIF(C:C,"=环保",K:K)/SUMIFS(M:M,C:C,"=环保",M:M,"&lt;0")*-1</f>
        <v>2.5065205433030404</v>
      </c>
      <c r="Z27" s="134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27.109496378891993</v>
      </c>
      <c r="I28" s="21">
        <f>F28*$V$17</f>
        <v>2.070708848098687</v>
      </c>
      <c r="J28" s="21">
        <f t="shared" si="0"/>
        <v>213012.05451225248</v>
      </c>
      <c r="K28" s="21">
        <f t="shared" si="1"/>
        <v>16270.532652669992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0.75090000000000001</v>
      </c>
      <c r="S28" s="89">
        <v>33.71</v>
      </c>
      <c r="T28" s="32">
        <f t="shared" si="2"/>
        <v>44.892795312291916</v>
      </c>
      <c r="U28" s="31">
        <v>2.65</v>
      </c>
      <c r="V28" s="32">
        <f t="shared" si="3"/>
        <v>3.5290984152350511</v>
      </c>
      <c r="W28" s="73">
        <v>7.8600000000000003E-2</v>
      </c>
      <c r="X28" s="44">
        <f>SUMIF(C:C,"=传媒",J:J)/SUMIFS(M:M,C:C,"=传媒",M:M,"&lt;0")*-1</f>
        <v>38.943044789133921</v>
      </c>
      <c r="Y28" s="44">
        <f>SUMIF(C:C,"=传媒",K:K)/SUMIFS(M:M,C:C,"=传媒",M:M,"&lt;0")*-1</f>
        <v>3.0613784838684333</v>
      </c>
      <c r="Z28" s="133">
        <f>(SUMIF(C:C,"=传媒",M:M)*-1)/$Q$2</f>
        <v>4.5025412500000001E-2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26.98388560632721</v>
      </c>
      <c r="I29" s="21">
        <f>F29*$V$17</f>
        <v>2.0611143010613273</v>
      </c>
      <c r="J29" s="21">
        <f t="shared" si="0"/>
        <v>1347426.2961314339</v>
      </c>
      <c r="K29" s="21">
        <f t="shared" si="1"/>
        <v>102920.67084406083</v>
      </c>
      <c r="L29" s="5" t="s">
        <v>24</v>
      </c>
      <c r="M29" s="1">
        <v>-49934.48</v>
      </c>
      <c r="N29" s="4">
        <v>9.9800000000032014</v>
      </c>
      <c r="O29" s="4"/>
      <c r="P29" s="25" t="s">
        <v>7572</v>
      </c>
      <c r="Q29" s="36" t="s">
        <v>7573</v>
      </c>
      <c r="R29" s="37">
        <v>0.75380000000000003</v>
      </c>
      <c r="S29" s="89">
        <v>33.71</v>
      </c>
      <c r="T29" s="32">
        <f t="shared" si="2"/>
        <v>44.720084903157336</v>
      </c>
      <c r="U29" s="31">
        <v>2.65</v>
      </c>
      <c r="V29" s="32">
        <f t="shared" si="3"/>
        <v>3.5155213584505169</v>
      </c>
      <c r="W29" s="129">
        <v>7.8600000000000003E-2</v>
      </c>
      <c r="X29" s="44">
        <f>SUMIF(C:C,"=传媒",J:J)/SUMIFS(M:M,C:C,"=传媒",M:M,"&lt;0")*-1</f>
        <v>38.943044789133921</v>
      </c>
      <c r="Y29" s="44">
        <f>SUMIF(C:C,"=传媒",K:K)/SUMIFS(M:M,C:C,"=传媒",M:M,"&lt;0")*-1</f>
        <v>3.0613784838684333</v>
      </c>
      <c r="Z29" s="133"/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10.617505518763796</v>
      </c>
      <c r="I30" s="21">
        <f>F30*$V$13</f>
        <v>1.0577961736571009</v>
      </c>
      <c r="J30" s="21">
        <f t="shared" si="0"/>
        <v>212350.11037527592</v>
      </c>
      <c r="K30" s="21">
        <f t="shared" si="1"/>
        <v>21155.923473142018</v>
      </c>
      <c r="L30" s="7" t="s">
        <v>10</v>
      </c>
      <c r="M30" s="4">
        <v>-20000</v>
      </c>
      <c r="N30" s="4">
        <v>29.96</v>
      </c>
      <c r="O30" s="4"/>
      <c r="P30" s="25" t="s">
        <v>7295</v>
      </c>
      <c r="Q30" s="36">
        <v>110022</v>
      </c>
      <c r="R30" s="37">
        <v>2.7040000000000002</v>
      </c>
      <c r="S30" s="89">
        <v>34.229999999999997</v>
      </c>
      <c r="T30" s="32">
        <f t="shared" si="2"/>
        <v>12.659023668639051</v>
      </c>
      <c r="U30" s="31">
        <v>6.33</v>
      </c>
      <c r="V30" s="32">
        <f t="shared" si="3"/>
        <v>2.3409763313609466</v>
      </c>
      <c r="W30" s="73">
        <v>0.1875</v>
      </c>
      <c r="X30" s="44">
        <f>SUMIF(C:C,"=消费",J:J)/SUMIF(C:C,"=消费",M:M)*-1</f>
        <v>55.983468162099186</v>
      </c>
      <c r="Y30" s="44">
        <f>SUMIF(C:C,"=消费",K:K)/SUMIFS(M:M,C:C,"=消费",M:M,"&lt;0")*-1</f>
        <v>-5.7270882469027358</v>
      </c>
      <c r="Z30" s="59">
        <f>(SUMIF(C:C,"=消费",M:M)*-1)/$Q$2</f>
        <v>-4.4255500000000003E-3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41.456885770931834</v>
      </c>
      <c r="I31" s="21">
        <f>F31*$V$19</f>
        <v>2.6154643892023794</v>
      </c>
      <c r="J31" s="21">
        <f t="shared" si="0"/>
        <v>830165.8461857558</v>
      </c>
      <c r="K31" s="21">
        <f t="shared" si="1"/>
        <v>52374.151300899808</v>
      </c>
      <c r="L31" s="5" t="s">
        <v>24</v>
      </c>
      <c r="M31" s="1">
        <v>-20024.8</v>
      </c>
      <c r="N31" s="4">
        <v>4</v>
      </c>
      <c r="O31" s="4"/>
      <c r="P31" s="25" t="s">
        <v>125</v>
      </c>
      <c r="Q31" s="36" t="s">
        <v>131</v>
      </c>
      <c r="R31" s="37">
        <v>1.0911999999999999</v>
      </c>
      <c r="S31" s="72">
        <v>9.39</v>
      </c>
      <c r="T31" s="32">
        <f t="shared" si="2"/>
        <v>8.6052052785923756</v>
      </c>
      <c r="U31" s="72">
        <v>1.18</v>
      </c>
      <c r="V31" s="32">
        <f t="shared" si="3"/>
        <v>1.0813782991202345</v>
      </c>
      <c r="W31" s="73">
        <f>U31/S31</f>
        <v>0.12566560170394034</v>
      </c>
      <c r="X31" s="44">
        <f>SUMIF(C:C,"=金融地产",J:J)/SUMIFS(M:M,C:C,"=金融地产",M:M,"&lt;0")*-1</f>
        <v>7.8141000733137842</v>
      </c>
      <c r="Y31" s="44">
        <f>SUMIF(C:C,"=金融地产",K:K)/SUMIFS(M:M,C:C,"=金融地产",M:M,"&lt;0")*-1</f>
        <v>0.98196358748778112</v>
      </c>
      <c r="Z31" s="33">
        <f>(SUMIF(C:C,"=海外互联网",M:M)*-1)/$Q$2</f>
        <v>2.4E-2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40.602104621015712</v>
      </c>
      <c r="I32" s="21">
        <f>F32*$V$19</f>
        <v>2.5615372883940828</v>
      </c>
      <c r="J32" s="21">
        <f t="shared" si="0"/>
        <v>407401.92378831789</v>
      </c>
      <c r="K32" s="21">
        <f t="shared" si="1"/>
        <v>25702.49076711911</v>
      </c>
      <c r="L32" s="5" t="s">
        <v>24</v>
      </c>
      <c r="M32" s="1">
        <v>-10034.01</v>
      </c>
      <c r="N32" s="4">
        <v>2.0100000000002183</v>
      </c>
      <c r="O32" s="4"/>
      <c r="P32" s="25" t="s">
        <v>126</v>
      </c>
      <c r="Q32" s="36" t="s">
        <v>132</v>
      </c>
      <c r="R32" s="37">
        <v>1.135</v>
      </c>
      <c r="S32" s="78">
        <v>16.329999999999998</v>
      </c>
      <c r="T32" s="79">
        <f t="shared" si="2"/>
        <v>14.387665198237883</v>
      </c>
      <c r="U32" s="72">
        <v>1.58</v>
      </c>
      <c r="V32" s="32">
        <f t="shared" si="3"/>
        <v>1.392070484581498</v>
      </c>
      <c r="W32" s="115">
        <f t="shared" ref="W32:W33" si="4">U32/S32</f>
        <v>9.6754439681567675E-2</v>
      </c>
      <c r="X32" s="44">
        <f>SUMIF(C:C,"=德国30",J:J)/SUMIFS(M:M,C:C,"=德国30",M:M,"&lt;0")*-1</f>
        <v>15.737049939573502</v>
      </c>
      <c r="Y32" s="44">
        <f>SUMIF(C:C,"=德国30",K:K)/SUMIFS(M:M,C:C,"=德国30",M:M,"&lt;0")*-1</f>
        <v>1.5226294491442833</v>
      </c>
      <c r="Z32" s="33">
        <f>(SUMIF(C:C,"=德国30",M:M)*-1)/$Q$2</f>
        <v>2.8250000000000001E-2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127</v>
      </c>
      <c r="Q33" s="36" t="s">
        <v>66</v>
      </c>
      <c r="R33" s="37">
        <v>1.5477000000000001</v>
      </c>
      <c r="S33" s="72">
        <v>10.24</v>
      </c>
      <c r="T33" s="32">
        <f t="shared" si="2"/>
        <v>6.616269302836467</v>
      </c>
      <c r="U33" s="72">
        <v>1.1200000000000001</v>
      </c>
      <c r="V33" s="32">
        <f t="shared" si="3"/>
        <v>0.72365445499773862</v>
      </c>
      <c r="W33" s="115">
        <f t="shared" si="4"/>
        <v>0.10937500000000001</v>
      </c>
      <c r="X33" s="44">
        <f>SUMIF(C:C,"=恒生",J:J)/SUMIFS(M:M,C:C,"=恒生",M:M,"&lt;0")*-1</f>
        <v>9.5949137429734446</v>
      </c>
      <c r="Y33" s="44">
        <f>SUMIF(C:C,"=恒生",K:K)/SUMIFS(M:M,C:C,"=恒生",M:M,"&lt;0")*-1</f>
        <v>1.0494436906377205</v>
      </c>
      <c r="Z33" s="33">
        <f>(SUMIF(C:C,"=恒生",M:M)*-1)/$Q$2</f>
        <v>8.0000000000000002E-3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34.103946061036197</v>
      </c>
      <c r="I34" s="21">
        <f>F34*$V$27</f>
        <v>2.6458907026259757</v>
      </c>
      <c r="J34" s="21">
        <f t="shared" ref="J34:J65" si="5">H34*(-$M34)</f>
        <v>136415.7842441448</v>
      </c>
      <c r="K34" s="21">
        <f t="shared" ref="K34:K65" si="6">I34*(-$M34)</f>
        <v>10583.562810503903</v>
      </c>
      <c r="L34" s="6" t="s">
        <v>16</v>
      </c>
      <c r="M34" s="4">
        <v>-4000</v>
      </c>
      <c r="N34" s="4">
        <v>4.79</v>
      </c>
      <c r="O34" s="4"/>
      <c r="P34" s="25" t="s">
        <v>7304</v>
      </c>
      <c r="Q34" s="36" t="s">
        <v>7306</v>
      </c>
      <c r="R34" s="37">
        <v>1.1850000000000001</v>
      </c>
      <c r="S34" s="31"/>
      <c r="T34" s="32"/>
      <c r="U34" s="31"/>
      <c r="V34" s="32"/>
      <c r="W34" s="32"/>
      <c r="X34" s="66"/>
      <c r="Y34" s="66"/>
      <c r="Z34" s="65">
        <f>(SUMIF(C:C,"=海外互联网",M:M)*-1)/$Q$2</f>
        <v>2.4E-2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33.455335284725912</v>
      </c>
      <c r="I35" s="21">
        <f>F35*$V$26</f>
        <v>2.5955694518360826</v>
      </c>
      <c r="J35" s="21">
        <f t="shared" si="5"/>
        <v>135370.65771593931</v>
      </c>
      <c r="K35" s="21">
        <f t="shared" si="6"/>
        <v>10502.478628658859</v>
      </c>
      <c r="L35" s="5" t="s">
        <v>24</v>
      </c>
      <c r="M35" s="1">
        <v>-4046.31</v>
      </c>
      <c r="N35" s="4">
        <v>0.80999999999994543</v>
      </c>
      <c r="O35" s="4"/>
      <c r="P35" s="25" t="s">
        <v>128</v>
      </c>
      <c r="Q35" s="36" t="s">
        <v>133</v>
      </c>
      <c r="R35" s="37">
        <v>1.0612999999999999</v>
      </c>
      <c r="S35" s="74"/>
      <c r="T35" s="74"/>
      <c r="U35" s="74"/>
      <c r="V35" s="74"/>
      <c r="W35" s="74"/>
      <c r="X35" s="2"/>
      <c r="Y35" s="43"/>
      <c r="Z35" s="65">
        <f>(SUMIF(C:C,"=国债",M:M)*-1)/$Q$2</f>
        <v>-1.1850999999999999E-3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129</v>
      </c>
      <c r="Q36" s="36" t="s">
        <v>7315</v>
      </c>
      <c r="R36" s="37">
        <v>1.4990000000000001</v>
      </c>
      <c r="S36" s="74"/>
      <c r="T36" s="74"/>
      <c r="U36" s="74"/>
      <c r="V36" s="74"/>
      <c r="W36" s="74"/>
      <c r="X36" s="2"/>
      <c r="Y36" s="43"/>
      <c r="Z36" s="33">
        <f>(SUMIF(C:C,"=海外债",M:M)*-1)/$Q$2</f>
        <v>6.4313999999999994E-3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42.46858436542815</v>
      </c>
      <c r="I37" s="21">
        <f>F37*$V$28</f>
        <v>3.338527100812358</v>
      </c>
      <c r="J37" s="21">
        <f t="shared" si="5"/>
        <v>273246.69397975761</v>
      </c>
      <c r="K37" s="21">
        <f t="shared" si="6"/>
        <v>21480.383834065786</v>
      </c>
      <c r="L37" s="5" t="s">
        <v>24</v>
      </c>
      <c r="M37" s="1">
        <v>-6434.09</v>
      </c>
      <c r="N37" s="4">
        <v>1.2899999999999636</v>
      </c>
      <c r="O37" s="4"/>
      <c r="P37" s="25" t="s">
        <v>7317</v>
      </c>
      <c r="Q37" s="36">
        <v>340001</v>
      </c>
      <c r="R37" s="37">
        <v>3.7254</v>
      </c>
      <c r="S37" s="74"/>
      <c r="T37" s="74"/>
      <c r="U37" s="74"/>
      <c r="V37" s="74"/>
      <c r="W37" s="74"/>
      <c r="X37" s="2"/>
      <c r="Y37" s="43"/>
      <c r="Z37" s="133">
        <f>(SUMIF(C:C,"=可转债",M:M)*-1)/$Q$2</f>
        <v>0.08</v>
      </c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34.162400212879184</v>
      </c>
      <c r="I38" s="21">
        <f>F38*$V$26</f>
        <v>2.6504257583821178</v>
      </c>
      <c r="J38" s="21">
        <f t="shared" si="5"/>
        <v>655577.82658116007</v>
      </c>
      <c r="K38" s="21">
        <f t="shared" si="6"/>
        <v>50861.776320383178</v>
      </c>
      <c r="L38" s="5" t="s">
        <v>24</v>
      </c>
      <c r="M38" s="1">
        <v>-19190.04</v>
      </c>
      <c r="N38" s="4">
        <v>3.8400000000001455</v>
      </c>
      <c r="O38" s="4"/>
      <c r="P38" s="25" t="s">
        <v>7316</v>
      </c>
      <c r="Q38" s="36" t="s">
        <v>7318</v>
      </c>
      <c r="R38" s="37">
        <v>2.2612000000000001</v>
      </c>
      <c r="S38" s="74"/>
      <c r="T38" s="74"/>
      <c r="U38" s="74"/>
      <c r="V38" s="74"/>
      <c r="W38" s="74"/>
      <c r="X38" s="70"/>
      <c r="Y38" s="70"/>
      <c r="Z38" s="134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7313</v>
      </c>
      <c r="Q39" s="36" t="s">
        <v>7314</v>
      </c>
      <c r="R39" s="37">
        <v>2.536</v>
      </c>
      <c r="S39" s="74"/>
      <c r="T39" s="74"/>
      <c r="U39" s="74"/>
      <c r="V39" s="74"/>
      <c r="W39" s="74"/>
      <c r="X39" s="70"/>
      <c r="Y39" s="70"/>
      <c r="Z39" s="134"/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29.902888844462218</v>
      </c>
      <c r="I40" s="21">
        <f>F40*$V$25</f>
        <v>1.5640143942423033</v>
      </c>
      <c r="J40" s="21">
        <f t="shared" si="5"/>
        <v>382881.37322670937</v>
      </c>
      <c r="K40" s="21">
        <f t="shared" si="6"/>
        <v>20025.89054618153</v>
      </c>
      <c r="L40" s="5" t="s">
        <v>24</v>
      </c>
      <c r="M40" s="1">
        <v>-12804.16</v>
      </c>
      <c r="N40" s="4">
        <v>2.5599999999994907</v>
      </c>
      <c r="O40" s="4"/>
      <c r="P40" s="25" t="s">
        <v>7311</v>
      </c>
      <c r="Q40" s="36" t="s">
        <v>7312</v>
      </c>
      <c r="R40" s="77">
        <v>0.46300000000000002</v>
      </c>
      <c r="S40" s="76"/>
      <c r="T40" s="76"/>
      <c r="U40" s="74"/>
      <c r="V40" s="74"/>
      <c r="W40" s="74"/>
      <c r="X40" s="68"/>
      <c r="Y40" s="68"/>
      <c r="Z40" s="67">
        <f>(SUMIF(C:C,"=原油",M:M)*-1)/$Q$2</f>
        <v>2.4E-2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42.46858436542815</v>
      </c>
      <c r="I41" s="21">
        <f>F41*$V$28</f>
        <v>3.338527100812358</v>
      </c>
      <c r="J41" s="21">
        <f t="shared" si="5"/>
        <v>273246.69397975761</v>
      </c>
      <c r="K41" s="21">
        <f t="shared" si="6"/>
        <v>21480.383834065786</v>
      </c>
      <c r="L41" s="5" t="s">
        <v>24</v>
      </c>
      <c r="M41" s="1">
        <v>-6434.09</v>
      </c>
      <c r="N41" s="4">
        <v>1.29</v>
      </c>
      <c r="O41" s="4"/>
      <c r="P41" s="25" t="s">
        <v>21</v>
      </c>
      <c r="Q41" s="36">
        <v>518880</v>
      </c>
      <c r="R41" s="37">
        <v>1.163</v>
      </c>
      <c r="S41" s="74"/>
      <c r="T41" s="74"/>
      <c r="U41" s="74"/>
      <c r="V41" s="74"/>
      <c r="W41" s="74"/>
      <c r="X41" s="2"/>
      <c r="Y41" s="43"/>
      <c r="Z41" s="33">
        <f>(SUMIF(C:C,"=黄金",M:M)*-1)/$Q$2</f>
        <v>8.0536124999999997E-3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26.934538517105331</v>
      </c>
      <c r="I42" s="21">
        <f>F42*$V$17</f>
        <v>2.0573450147252217</v>
      </c>
      <c r="J42" s="21">
        <f t="shared" si="5"/>
        <v>177922.01977321305</v>
      </c>
      <c r="K42" s="21">
        <f t="shared" si="6"/>
        <v>13590.245110670692</v>
      </c>
      <c r="L42" s="5" t="s">
        <v>24</v>
      </c>
      <c r="M42" s="1">
        <v>-6605.72</v>
      </c>
      <c r="N42" s="4">
        <v>1.32</v>
      </c>
      <c r="O42" s="4"/>
      <c r="P42" s="25" t="s">
        <v>57</v>
      </c>
      <c r="Q42" s="36"/>
      <c r="R42" s="116"/>
      <c r="S42" s="74"/>
      <c r="T42" s="74"/>
      <c r="U42" s="74"/>
      <c r="V42" s="74"/>
      <c r="W42" s="74"/>
      <c r="X42" s="2"/>
      <c r="Y42" s="43"/>
      <c r="Z42" s="33">
        <f>(SUMIF(C:C,"=白银",M:M)*-1)/$Q$2</f>
        <v>1.7488762500000001E-2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 t="s">
        <v>58</v>
      </c>
      <c r="Q43" s="36"/>
      <c r="R43" s="74"/>
      <c r="S43" s="2"/>
      <c r="T43" s="74"/>
      <c r="U43" s="74"/>
      <c r="V43" s="74"/>
      <c r="W43" s="74"/>
      <c r="X43" s="2"/>
      <c r="Y43" s="43"/>
      <c r="Z43" s="33">
        <f>1-SUM(Z13:Z42)</f>
        <v>4.54793E-2</v>
      </c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26.503873011168938</v>
      </c>
      <c r="I44" s="21">
        <f>F44*$V$17</f>
        <v>2.0244494248828468</v>
      </c>
      <c r="J44" s="21">
        <f t="shared" si="5"/>
        <v>172277.82495989921</v>
      </c>
      <c r="K44" s="21">
        <f t="shared" si="6"/>
        <v>13159.123706680994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68"/>
      <c r="T44" s="74"/>
      <c r="U44" s="74"/>
      <c r="V44" s="74"/>
      <c r="W44" s="74"/>
      <c r="X44" s="68"/>
      <c r="Y44" s="68"/>
      <c r="Z44" s="67"/>
    </row>
    <row r="45" spans="1:27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F45*$T$31</f>
        <v>8.1233137829912021</v>
      </c>
      <c r="I45" s="21">
        <f>F45*$V$31</f>
        <v>1.0208211143695014</v>
      </c>
      <c r="J45" s="21">
        <f t="shared" si="5"/>
        <v>51989.20821114369</v>
      </c>
      <c r="K45" s="21">
        <f t="shared" si="6"/>
        <v>6533.2551319648092</v>
      </c>
      <c r="L45" s="7" t="s">
        <v>10</v>
      </c>
      <c r="M45" s="1">
        <v>-6400</v>
      </c>
      <c r="N45" s="4">
        <v>7.67</v>
      </c>
      <c r="O45" s="4"/>
      <c r="P45" s="25"/>
      <c r="Q45" s="36"/>
      <c r="R45" s="74"/>
      <c r="S45" s="74"/>
      <c r="T45" s="74"/>
      <c r="U45" s="74"/>
      <c r="V45" s="74"/>
      <c r="W45" s="74"/>
      <c r="X45" s="68"/>
      <c r="Y45" s="68"/>
      <c r="Z45" s="67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26.023860416010663</v>
      </c>
      <c r="I46" s="21">
        <f>F46*$V$17</f>
        <v>1.9877845487043657</v>
      </c>
      <c r="J46" s="21">
        <f t="shared" si="5"/>
        <v>498282.2384872103</v>
      </c>
      <c r="K46" s="21">
        <f t="shared" si="6"/>
        <v>38060.369166033823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/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12.586506886623608</v>
      </c>
      <c r="I47" s="21">
        <f>F47*$V$15</f>
        <v>1.3985007651804009</v>
      </c>
      <c r="J47" s="21">
        <f t="shared" si="5"/>
        <v>82551.24858236713</v>
      </c>
      <c r="K47" s="21">
        <f t="shared" si="6"/>
        <v>9172.3609535963478</v>
      </c>
      <c r="L47" s="5" t="s">
        <v>24</v>
      </c>
      <c r="M47" s="1">
        <v>-6558.71</v>
      </c>
      <c r="N47" s="4">
        <v>1.31</v>
      </c>
      <c r="O47" s="4"/>
      <c r="P47" s="74"/>
      <c r="Q47" s="74"/>
      <c r="R47" s="74" t="s">
        <v>70</v>
      </c>
      <c r="S47" s="74"/>
      <c r="T47" s="74"/>
      <c r="U47" s="74"/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24.78569708644353</v>
      </c>
      <c r="I48" s="21">
        <f>F48*$V$17</f>
        <v>1.8932097279075368</v>
      </c>
      <c r="J48" s="21">
        <f t="shared" si="5"/>
        <v>315027.20139658073</v>
      </c>
      <c r="K48" s="21">
        <f t="shared" si="6"/>
        <v>24062.771370093909</v>
      </c>
      <c r="L48" s="5" t="s">
        <v>24</v>
      </c>
      <c r="M48" s="1">
        <v>-12710.04</v>
      </c>
      <c r="N48" s="4">
        <v>2.54</v>
      </c>
      <c r="O48" s="4"/>
      <c r="P48" s="74"/>
      <c r="Q48" s="74" t="s">
        <v>7277</v>
      </c>
      <c r="R48" s="74" t="s">
        <v>112</v>
      </c>
      <c r="S48" s="74" t="s">
        <v>113</v>
      </c>
      <c r="T48" s="74" t="s">
        <v>114</v>
      </c>
      <c r="U48" s="74" t="s">
        <v>115</v>
      </c>
      <c r="V48" s="7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24.283253996184403</v>
      </c>
      <c r="I49" s="21">
        <f>F49*$V$17</f>
        <v>1.854831539758099</v>
      </c>
      <c r="J49" s="21">
        <f t="shared" si="5"/>
        <v>157765.87288781043</v>
      </c>
      <c r="K49" s="21">
        <f t="shared" si="6"/>
        <v>12050.655030654392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74">
        <v>0</v>
      </c>
      <c r="R49" s="74">
        <v>93506.63</v>
      </c>
      <c r="S49" s="74">
        <f>$Q$2-R49</f>
        <v>706493.37</v>
      </c>
      <c r="T49" s="74">
        <v>0</v>
      </c>
      <c r="U49" s="34">
        <v>3.5000000000000003E-2</v>
      </c>
      <c r="V49" s="3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35">
        <v>6627.55</v>
      </c>
      <c r="R50" s="35">
        <f t="shared" ref="R50:R60" si="7">R49+Q50</f>
        <v>100134.18000000001</v>
      </c>
      <c r="S50" s="35">
        <f t="shared" ref="S50:S60" si="8">S49-Q50</f>
        <v>699865.82</v>
      </c>
      <c r="T50" s="35">
        <f t="shared" ref="T50:T62" si="9">(S49*$U$49)/12</f>
        <v>2060.6056625000001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25.866503398640546</v>
      </c>
      <c r="I51" s="21">
        <f>F51*$V$25</f>
        <v>1.3528988404638145</v>
      </c>
      <c r="J51" s="21">
        <f t="shared" si="5"/>
        <v>165131.24036685325</v>
      </c>
      <c r="K51" s="21">
        <f t="shared" si="6"/>
        <v>8636.8791395441822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35">
        <v>65662.720000000001</v>
      </c>
      <c r="R51" s="35">
        <f t="shared" si="7"/>
        <v>165796.90000000002</v>
      </c>
      <c r="S51" s="35">
        <f t="shared" si="8"/>
        <v>634203.1</v>
      </c>
      <c r="T51" s="35">
        <f t="shared" si="9"/>
        <v>2041.2753083333334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52.175541922290385</v>
      </c>
      <c r="I52" s="21">
        <f>F52*$V$20</f>
        <v>4.433019768234491</v>
      </c>
      <c r="J52" s="21">
        <f t="shared" si="5"/>
        <v>337079.56683353783</v>
      </c>
      <c r="K52" s="21">
        <f t="shared" si="6"/>
        <v>28639.479882481246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35">
        <v>0</v>
      </c>
      <c r="R52" s="35">
        <f t="shared" si="7"/>
        <v>165796.90000000002</v>
      </c>
      <c r="S52" s="35">
        <f t="shared" si="8"/>
        <v>634203.1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11.912784997276477</v>
      </c>
      <c r="I53" s="21">
        <f>F53*$V$15</f>
        <v>1.323642777475164</v>
      </c>
      <c r="J53" s="21">
        <f t="shared" si="5"/>
        <v>73950.280660493358</v>
      </c>
      <c r="K53" s="21">
        <f t="shared" si="6"/>
        <v>8216.6978511659272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35">
        <v>54032.87</v>
      </c>
      <c r="R53" s="35">
        <f t="shared" si="7"/>
        <v>219829.77000000002</v>
      </c>
      <c r="S53" s="35">
        <f t="shared" si="8"/>
        <v>580170.23</v>
      </c>
      <c r="T53" s="35">
        <f t="shared" si="9"/>
        <v>1849.7590416666669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28.431452900478973</v>
      </c>
      <c r="I54" s="21">
        <f>F54*$V$26</f>
        <v>2.2058009579563596</v>
      </c>
      <c r="J54" s="21">
        <f t="shared" si="5"/>
        <v>182498.08439382649</v>
      </c>
      <c r="K54" s="21">
        <f t="shared" si="6"/>
        <v>14158.771653006917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35">
        <v>89910.99</v>
      </c>
      <c r="R54" s="35">
        <f t="shared" si="7"/>
        <v>309740.76</v>
      </c>
      <c r="S54" s="35">
        <f t="shared" si="8"/>
        <v>490259.24</v>
      </c>
      <c r="T54" s="35">
        <f t="shared" si="9"/>
        <v>1692.1631708333334</v>
      </c>
      <c r="U54" s="74"/>
      <c r="V54" s="74"/>
      <c r="W54" s="74"/>
    </row>
    <row r="55" spans="1:23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F55*$T$31</f>
        <v>7.3144244868035191</v>
      </c>
      <c r="I55" s="21">
        <f>F55*$V$31</f>
        <v>0.91917155425219932</v>
      </c>
      <c r="J55" s="21">
        <f t="shared" si="5"/>
        <v>46812.316715542525</v>
      </c>
      <c r="K55" s="21">
        <f t="shared" si="6"/>
        <v>5882.6979472140756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35">
        <v>89683.87</v>
      </c>
      <c r="R55" s="35">
        <f t="shared" si="7"/>
        <v>399424.63</v>
      </c>
      <c r="S55" s="35">
        <f t="shared" si="8"/>
        <v>400575.37</v>
      </c>
      <c r="T55" s="35">
        <f t="shared" si="9"/>
        <v>1429.9227833333334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10.321147902869757</v>
      </c>
      <c r="I56" s="21">
        <f>F56*$V$13</f>
        <v>1.0282707873436352</v>
      </c>
      <c r="J56" s="21">
        <f t="shared" si="5"/>
        <v>66055.346578366443</v>
      </c>
      <c r="K56" s="21">
        <f t="shared" si="6"/>
        <v>6580.9330389992656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35">
        <v>52162.37</v>
      </c>
      <c r="R56" s="35">
        <f t="shared" si="7"/>
        <v>451587</v>
      </c>
      <c r="S56" s="35">
        <f t="shared" si="8"/>
        <v>348413</v>
      </c>
      <c r="T56" s="35">
        <f t="shared" si="9"/>
        <v>1168.3448291666666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25.39807415368082</v>
      </c>
      <c r="I57" s="21">
        <f>E57*$V$24</f>
        <v>3.395004836109619</v>
      </c>
      <c r="J57" s="21">
        <f t="shared" si="5"/>
        <v>162547.67458355724</v>
      </c>
      <c r="K57" s="21">
        <f t="shared" si="6"/>
        <v>21728.030951101562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35">
        <v>59031.360000000001</v>
      </c>
      <c r="R57" s="35">
        <f t="shared" si="7"/>
        <v>510618.36</v>
      </c>
      <c r="S57" s="35">
        <f t="shared" si="8"/>
        <v>289381.64</v>
      </c>
      <c r="T57" s="35">
        <f t="shared" si="9"/>
        <v>1016.2045833333335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10.250022075055188</v>
      </c>
      <c r="I58" s="21">
        <f>F58*$V$13</f>
        <v>1.0211846946284033</v>
      </c>
      <c r="J58" s="21">
        <f t="shared" si="5"/>
        <v>65600.1412803532</v>
      </c>
      <c r="K58" s="21">
        <f t="shared" si="6"/>
        <v>6535.5820456217816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35">
        <v>54609.62</v>
      </c>
      <c r="R58" s="35">
        <f t="shared" si="7"/>
        <v>565227.98</v>
      </c>
      <c r="S58" s="35">
        <f t="shared" si="8"/>
        <v>234772.02000000002</v>
      </c>
      <c r="T58" s="35">
        <f t="shared" si="9"/>
        <v>844.0297833333334</v>
      </c>
      <c r="U58" s="74"/>
      <c r="V58" s="74"/>
      <c r="W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35">
        <v>70013.06</v>
      </c>
      <c r="R59" s="35">
        <f t="shared" si="7"/>
        <v>635241.04</v>
      </c>
      <c r="S59" s="35">
        <f t="shared" si="8"/>
        <v>164758.96000000002</v>
      </c>
      <c r="T59" s="35">
        <f t="shared" si="9"/>
        <v>684.75172500000008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8.6594578109115563</v>
      </c>
      <c r="I60" s="21">
        <f>F60*$V$14</f>
        <v>1.0025889528973229</v>
      </c>
      <c r="J60" s="21">
        <f t="shared" si="5"/>
        <v>55797.129810030499</v>
      </c>
      <c r="K60" s="21">
        <f t="shared" si="6"/>
        <v>6460.1718921043703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35">
        <v>46876.7</v>
      </c>
      <c r="R60" s="35">
        <f t="shared" si="7"/>
        <v>682117.74</v>
      </c>
      <c r="S60" s="35">
        <f t="shared" si="8"/>
        <v>117882.26000000002</v>
      </c>
      <c r="T60" s="35">
        <f t="shared" si="9"/>
        <v>480.54696666666678</v>
      </c>
      <c r="U60" s="74"/>
      <c r="V60" s="74"/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$F61*$T$32</f>
        <v>17.222035242290747</v>
      </c>
      <c r="I61" s="21">
        <f>$F61*$V$32</f>
        <v>1.6663083700440531</v>
      </c>
      <c r="J61" s="21">
        <f t="shared" si="5"/>
        <v>110221.02555066078</v>
      </c>
      <c r="K61" s="21">
        <f t="shared" si="6"/>
        <v>10664.373568281939</v>
      </c>
      <c r="L61" s="7" t="s">
        <v>10</v>
      </c>
      <c r="M61" s="4">
        <v>-6400</v>
      </c>
      <c r="N61" s="4">
        <v>7.67</v>
      </c>
      <c r="O61" s="4"/>
      <c r="P61" s="3">
        <v>43555</v>
      </c>
      <c r="Q61" s="35"/>
      <c r="R61" s="35"/>
      <c r="S61" s="35"/>
      <c r="T61" s="35">
        <v>600.61</v>
      </c>
      <c r="V61" s="74" t="s">
        <v>7417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36.722306565454787</v>
      </c>
      <c r="I62" s="21">
        <f>F62*$V$28</f>
        <v>2.8868025036622718</v>
      </c>
      <c r="J62" s="21">
        <f t="shared" si="5"/>
        <v>234350.00936263151</v>
      </c>
      <c r="K62" s="21">
        <f t="shared" si="6"/>
        <v>18422.649801571446</v>
      </c>
      <c r="L62" s="5" t="s">
        <v>24</v>
      </c>
      <c r="M62" s="1">
        <v>-6381.68</v>
      </c>
      <c r="N62" s="4">
        <v>1.28</v>
      </c>
      <c r="O62" s="4"/>
      <c r="P62" s="3">
        <v>43646</v>
      </c>
      <c r="Q62" s="35"/>
      <c r="R62" s="35"/>
      <c r="S62" s="35"/>
      <c r="T62" s="35">
        <f t="shared" si="9"/>
        <v>0</v>
      </c>
      <c r="V62" s="35">
        <f>SUM(T49:T62)</f>
        <v>15717.972895833336</v>
      </c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34.832331859081904</v>
      </c>
      <c r="I64" s="21">
        <f>F64*$V$19</f>
        <v>2.1975293579380817</v>
      </c>
      <c r="J64" s="21">
        <f t="shared" si="5"/>
        <v>113576.04287631542</v>
      </c>
      <c r="K64" s="21">
        <f t="shared" si="6"/>
        <v>7165.3741009608066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24.319142788345772</v>
      </c>
      <c r="I65" s="21">
        <f>F65*$V$17</f>
        <v>1.8575728389116304</v>
      </c>
      <c r="J65" s="21">
        <f t="shared" si="5"/>
        <v>158232.50255237176</v>
      </c>
      <c r="K65" s="21">
        <f t="shared" si="6"/>
        <v>12086.297676378523</v>
      </c>
      <c r="L65" s="5" t="s">
        <v>24</v>
      </c>
      <c r="M65" s="1">
        <v>-6506.5</v>
      </c>
      <c r="N65" s="4">
        <v>1.3</v>
      </c>
      <c r="O65" s="4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33.069345737379905</v>
      </c>
      <c r="I66" s="21">
        <f>F66*$V$19</f>
        <v>2.0863047125209699</v>
      </c>
      <c r="J66" s="21">
        <f t="shared" ref="J66:J99" si="10">H66*(-$M66)</f>
        <v>106464.77444075036</v>
      </c>
      <c r="K66" s="21">
        <f t="shared" ref="K66:K99" si="11">I66*(-$M66)</f>
        <v>6716.7328436785119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23.076493359758466</v>
      </c>
      <c r="I67" s="21">
        <f>F67*$V$17</f>
        <v>1.7626553557206099</v>
      </c>
      <c r="J67" s="21">
        <f t="shared" si="10"/>
        <v>142474.96229794956</v>
      </c>
      <c r="K67" s="21">
        <f t="shared" si="11"/>
        <v>10882.687045879717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11.525826783907867</v>
      </c>
      <c r="I68" s="21">
        <f>F68*$V$15</f>
        <v>1.2806474204342073</v>
      </c>
      <c r="J68" s="21">
        <f t="shared" si="10"/>
        <v>73069.938287137193</v>
      </c>
      <c r="K68" s="21">
        <f t="shared" si="11"/>
        <v>8118.8820319041315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29.793380847054973</v>
      </c>
      <c r="I69" s="21">
        <f>F69*$V$22</f>
        <v>3.6893913328418124</v>
      </c>
      <c r="J69" s="21">
        <f t="shared" si="10"/>
        <v>191186.50836601952</v>
      </c>
      <c r="K69" s="21">
        <f t="shared" si="11"/>
        <v>23675.119334152536</v>
      </c>
      <c r="L69" s="5" t="s">
        <v>24</v>
      </c>
      <c r="M69" s="4">
        <v>-6417.08</v>
      </c>
      <c r="N69" s="4">
        <v>1.28</v>
      </c>
      <c r="O69" s="4"/>
      <c r="P69" s="3"/>
      <c r="Q69" s="3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10.242119205298014</v>
      </c>
      <c r="I71" s="21">
        <f>F71*$V$13</f>
        <v>1.0203973509933777</v>
      </c>
      <c r="J71" s="21">
        <f t="shared" si="10"/>
        <v>65549.562913907284</v>
      </c>
      <c r="K71" s="21">
        <f t="shared" si="11"/>
        <v>6530.5430463576176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22.80415260612574</v>
      </c>
      <c r="I74" s="21">
        <f>E74*$V$24</f>
        <v>3.0482708221386354</v>
      </c>
      <c r="J74" s="21">
        <f t="shared" si="10"/>
        <v>145946.57667920474</v>
      </c>
      <c r="K74" s="21">
        <f t="shared" si="11"/>
        <v>19508.933261687267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29.587696437925615</v>
      </c>
      <c r="I75" s="21">
        <f>F75*$V$23</f>
        <v>3.663920900995286</v>
      </c>
      <c r="J75" s="21">
        <f t="shared" si="10"/>
        <v>189361.25720272394</v>
      </c>
      <c r="K75" s="21">
        <f t="shared" si="11"/>
        <v>23449.093766369831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25.39807415368082</v>
      </c>
      <c r="I76" s="21">
        <f>E76*$V$24</f>
        <v>3.0455540032240735</v>
      </c>
      <c r="J76" s="21">
        <f t="shared" si="10"/>
        <v>162547.67458355724</v>
      </c>
      <c r="K76" s="21">
        <f t="shared" si="11"/>
        <v>19491.545620634071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32.861526168597685</v>
      </c>
      <c r="I77" s="21">
        <f>F77*$V$28</f>
        <v>2.5833000399520571</v>
      </c>
      <c r="J77" s="21">
        <f t="shared" si="10"/>
        <v>209317.07739033163</v>
      </c>
      <c r="K77" s="21">
        <f t="shared" si="11"/>
        <v>16454.768765481422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23.098923854859319</v>
      </c>
      <c r="I78" s="21">
        <f>F78*$V$17</f>
        <v>1.7643686676915669</v>
      </c>
      <c r="J78" s="21">
        <f t="shared" si="10"/>
        <v>142752.27337998478</v>
      </c>
      <c r="K78" s="21">
        <f t="shared" si="11"/>
        <v>10903.868941080591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23.022660171516414</v>
      </c>
      <c r="I79" s="21">
        <f>F79*$V$17</f>
        <v>1.7585434069903128</v>
      </c>
      <c r="J79" s="21">
        <f t="shared" si="10"/>
        <v>11817.531466039374</v>
      </c>
      <c r="K79" s="21">
        <f t="shared" si="11"/>
        <v>902.66033080812747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22.749008131285997</v>
      </c>
      <c r="I81" s="21">
        <f>F81*$V$17</f>
        <v>1.7376410009446368</v>
      </c>
      <c r="J81" s="21">
        <f t="shared" si="10"/>
        <v>149998.31499460997</v>
      </c>
      <c r="K81" s="21">
        <f t="shared" si="11"/>
        <v>11457.344456648576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11.598381448914482</v>
      </c>
      <c r="I82" s="21">
        <f>F82*$V$15</f>
        <v>1.2887090498793869</v>
      </c>
      <c r="J82" s="21">
        <f t="shared" si="10"/>
        <v>73992.80232386585</v>
      </c>
      <c r="K82" s="21">
        <f t="shared" si="11"/>
        <v>8221.4224804295391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31.252935793808145</v>
      </c>
      <c r="I84" s="21">
        <f>F84*$V$19</f>
        <v>1.97170962330334</v>
      </c>
      <c r="J84" s="21">
        <f t="shared" si="10"/>
        <v>98747.713522190039</v>
      </c>
      <c r="K84" s="21">
        <f t="shared" si="11"/>
        <v>6229.8728770779326</v>
      </c>
      <c r="L84" s="5" t="s">
        <v>24</v>
      </c>
      <c r="M84" s="1">
        <v>-3159.63</v>
      </c>
      <c r="N84" s="4">
        <v>0.63</v>
      </c>
      <c r="O84" s="4"/>
      <c r="P84" s="3"/>
      <c r="Q84" s="58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22.318342625349601</v>
      </c>
      <c r="I85" s="21">
        <f>F85*$V$17</f>
        <v>1.7047454111022615</v>
      </c>
      <c r="J85" s="21">
        <f t="shared" si="10"/>
        <v>144372.67159143524</v>
      </c>
      <c r="K85" s="21">
        <f t="shared" si="11"/>
        <v>11027.640067884198</v>
      </c>
      <c r="L85" s="5" t="s">
        <v>24</v>
      </c>
      <c r="M85" s="1">
        <v>-6468.79</v>
      </c>
      <c r="N85" s="4">
        <v>1.29</v>
      </c>
      <c r="O85" s="4"/>
      <c r="P85" s="15"/>
      <c r="Q85" s="3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11.952414876898899</v>
      </c>
      <c r="I86" s="21">
        <f>F86*$V$16</f>
        <v>1.3280460974332111</v>
      </c>
      <c r="J86" s="21">
        <f t="shared" si="10"/>
        <v>76495.455212152956</v>
      </c>
      <c r="K86" s="21">
        <f t="shared" si="11"/>
        <v>8499.4950235725519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15"/>
      <c r="Q87" s="58"/>
      <c r="R87" s="58"/>
      <c r="V87" s="15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23.152210639441162</v>
      </c>
      <c r="I88" s="21">
        <f>E88*$V$24</f>
        <v>3.094796346050511</v>
      </c>
      <c r="J88" s="21">
        <f t="shared" si="10"/>
        <v>148174.14809242342</v>
      </c>
      <c r="K88" s="21">
        <f t="shared" si="11"/>
        <v>19806.696614723271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58"/>
      <c r="U88" s="58"/>
      <c r="V88" s="58"/>
      <c r="W88" s="58"/>
      <c r="X88" s="58"/>
      <c r="Y88" s="58"/>
    </row>
    <row r="89" spans="1:30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F89*$T$31</f>
        <v>8.0045619501466287</v>
      </c>
      <c r="I89" s="21">
        <f>F89*$V$31</f>
        <v>1.0058980938416422</v>
      </c>
      <c r="J89" s="21">
        <f t="shared" si="10"/>
        <v>51229.196480938423</v>
      </c>
      <c r="K89" s="21">
        <f t="shared" si="11"/>
        <v>6437.7478005865105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47.448466257668713</v>
      </c>
      <c r="I90" s="21">
        <f>F90*$V$20</f>
        <v>4.0313905930470337</v>
      </c>
      <c r="J90" s="21">
        <f t="shared" si="10"/>
        <v>304049.7717791411</v>
      </c>
      <c r="K90" s="21">
        <f t="shared" si="11"/>
        <v>25833.150920245393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20.766152364370512</v>
      </c>
      <c r="I91" s="21">
        <f>F91*$V$17</f>
        <v>1.5861842227120337</v>
      </c>
      <c r="J91" s="21">
        <f t="shared" si="10"/>
        <v>134604.12301061323</v>
      </c>
      <c r="K91" s="21">
        <f t="shared" si="11"/>
        <v>10281.487513197131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26.464235201676271</v>
      </c>
      <c r="I92" s="21">
        <f>F92*$V$23</f>
        <v>3.2771346254583555</v>
      </c>
      <c r="J92" s="21">
        <f t="shared" si="10"/>
        <v>169371.10529072813</v>
      </c>
      <c r="K92" s="21">
        <f t="shared" si="11"/>
        <v>20973.661602933476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21.52738904438225</v>
      </c>
      <c r="I93" s="21">
        <f>F93*$V$25</f>
        <v>1.1259496201519392</v>
      </c>
      <c r="J93" s="21">
        <f t="shared" si="10"/>
        <v>137430.42111155539</v>
      </c>
      <c r="K93" s="21">
        <f t="shared" si="11"/>
        <v>7188.0398560575768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23.66730482611781</v>
      </c>
      <c r="I94" s="21">
        <f>F94*$V$27</f>
        <v>1.8361834634492546</v>
      </c>
      <c r="J94" s="21">
        <f t="shared" si="10"/>
        <v>151470.75088715399</v>
      </c>
      <c r="K94" s="21">
        <f t="shared" si="11"/>
        <v>11751.57416607523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26.316580670508124</v>
      </c>
      <c r="I95" s="21">
        <f>F95*$V$23</f>
        <v>3.2588501833420644</v>
      </c>
      <c r="J95" s="21">
        <f t="shared" si="10"/>
        <v>168426.11629125199</v>
      </c>
      <c r="K95" s="21">
        <f t="shared" si="11"/>
        <v>20856.641173389213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10.02083885209713</v>
      </c>
      <c r="I96" s="21">
        <f>F96*$V$13</f>
        <v>0.99835172921265647</v>
      </c>
      <c r="J96" s="21">
        <f t="shared" si="10"/>
        <v>64133.368653421632</v>
      </c>
      <c r="K96" s="21">
        <f t="shared" si="11"/>
        <v>6389.4510669610017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10.919748559455211</v>
      </c>
      <c r="I97" s="21">
        <f>F97*$V$16</f>
        <v>1.2133053954950235</v>
      </c>
      <c r="J97" s="21">
        <f t="shared" si="10"/>
        <v>69886.390780513349</v>
      </c>
      <c r="K97" s="21">
        <f t="shared" si="11"/>
        <v>7765.1545311681502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20.605262610504418</v>
      </c>
      <c r="I98" s="21">
        <f>F98*$V$18</f>
        <v>1.573894955798232</v>
      </c>
      <c r="J98" s="21">
        <f t="shared" si="10"/>
        <v>131873.68070722828</v>
      </c>
      <c r="K98" s="21">
        <f t="shared" si="11"/>
        <v>10072.927717108685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F99*$T$30</f>
        <v>21.684907544378696</v>
      </c>
      <c r="I99" s="21">
        <f>F99*$V$30</f>
        <v>4.0100924556213018</v>
      </c>
      <c r="J99" s="21">
        <f t="shared" si="10"/>
        <v>138783.40828402367</v>
      </c>
      <c r="K99" s="21">
        <f t="shared" si="11"/>
        <v>25664.59171597633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7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43.859269907319849</v>
      </c>
      <c r="I100" s="21">
        <f>F100*$V$21</f>
        <v>3.7264396948490002</v>
      </c>
      <c r="J100" s="21">
        <f>H100*(-M100)</f>
        <v>280699.32740684703</v>
      </c>
      <c r="K100" s="21">
        <f>I100*(-$M100)</f>
        <v>23849.214047033602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20.418557764642667</v>
      </c>
      <c r="I102" s="21">
        <f>E102*$V$24</f>
        <v>2.729384202041913</v>
      </c>
      <c r="J102" s="21">
        <f>H102*(-$M102)</f>
        <v>130678.76969371307</v>
      </c>
      <c r="K102" s="21">
        <f>I102*(-$M102)</f>
        <v>17468.058893068242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10.170993377483443</v>
      </c>
      <c r="I104" s="21">
        <f>F104*$V$13</f>
        <v>1.0133112582781458</v>
      </c>
      <c r="J104" s="21">
        <f>H104*(-$M104)</f>
        <v>65094.357615894034</v>
      </c>
      <c r="K104" s="21">
        <f>I104*(-$M104)</f>
        <v>6485.1920529801337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22.305574622984917</v>
      </c>
      <c r="I106" s="21">
        <f>F106*$V$18</f>
        <v>1.7037701508060323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11.310487166055527</v>
      </c>
      <c r="I107" s="21">
        <f>F107*$V$16</f>
        <v>1.2567207962283917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19.119063962558503</v>
      </c>
      <c r="I109" s="21">
        <f>F109*$V$18</f>
        <v>1.4603744149765991</v>
      </c>
      <c r="J109" s="21">
        <f t="shared" si="14"/>
        <v>122362.00936037442</v>
      </c>
      <c r="K109" s="21">
        <f t="shared" si="15"/>
        <v>9346.3962558502353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F110*$T$33</f>
        <v>9.5949137429734446</v>
      </c>
      <c r="I110" s="21">
        <f>F110*$V$33</f>
        <v>1.0494436906377205</v>
      </c>
      <c r="J110" s="21">
        <f t="shared" si="14"/>
        <v>61407.447955030046</v>
      </c>
      <c r="K110" s="21">
        <f t="shared" si="15"/>
        <v>6716.4396200814108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$F113*$T$32</f>
        <v>15.524290748898675</v>
      </c>
      <c r="I113" s="21">
        <f>$F113*$V$32</f>
        <v>1.5020440528634362</v>
      </c>
      <c r="J113" s="21">
        <f t="shared" si="14"/>
        <v>99355.460792951519</v>
      </c>
      <c r="K113" s="21">
        <f t="shared" si="15"/>
        <v>9613.0819383259914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10.02083885209713</v>
      </c>
      <c r="I115" s="21">
        <f>F115*$V$13</f>
        <v>0.99835172921265647</v>
      </c>
      <c r="J115" s="21">
        <f t="shared" si="14"/>
        <v>64133.368653421632</v>
      </c>
      <c r="K115" s="21">
        <f t="shared" si="15"/>
        <v>6389.4510669610017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20.64466845781838</v>
      </c>
      <c r="I116" s="21">
        <f>E116*$V$24</f>
        <v>2.759608812466416</v>
      </c>
      <c r="J116" s="21">
        <f t="shared" si="14"/>
        <v>132125.87813003763</v>
      </c>
      <c r="K116" s="21">
        <f t="shared" si="15"/>
        <v>17661.496399785061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11.303509690937664</v>
      </c>
      <c r="I119" s="21">
        <f>F119*$V$16</f>
        <v>1.2559455212152959</v>
      </c>
      <c r="J119" s="21">
        <f t="shared" si="14"/>
        <v>72342.462022001055</v>
      </c>
      <c r="K119" s="21">
        <f t="shared" si="15"/>
        <v>8038.0513357778937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8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26.15844338661579</v>
      </c>
      <c r="I121" s="21">
        <f>F121*$V$17</f>
        <v>1.9980644205301081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$F122*$T$32</f>
        <v>15.135823788546254</v>
      </c>
      <c r="I122" s="21">
        <f>$F122*$V$32</f>
        <v>1.464458149779736</v>
      </c>
      <c r="J122" s="21">
        <f t="shared" ref="J122:J128" si="16">H122*(-$M122)</f>
        <v>96869.272246696026</v>
      </c>
      <c r="K122" s="21">
        <f t="shared" ref="K122:K128" si="17">I122*(-$M122)</f>
        <v>9372.5321585903112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Q123" s="58"/>
      <c r="R123" s="58"/>
      <c r="T123" s="87"/>
      <c r="U123" s="15"/>
      <c r="V123" s="15"/>
    </row>
    <row r="124" spans="1:22">
      <c r="A124" s="3">
        <v>43581</v>
      </c>
      <c r="B124" s="66" t="s">
        <v>7574</v>
      </c>
      <c r="C124" s="66" t="s">
        <v>7575</v>
      </c>
      <c r="D124" s="3" t="s">
        <v>7576</v>
      </c>
      <c r="E124" s="21">
        <v>0.81399999999999995</v>
      </c>
      <c r="F124" s="21">
        <v>0.81399999999999995</v>
      </c>
      <c r="G124" s="20">
        <v>7852.99</v>
      </c>
      <c r="H124" s="21">
        <f>$F124*$T$29</f>
        <v>36.402149111170068</v>
      </c>
      <c r="I124" s="21">
        <f>$F124*$V$29</f>
        <v>2.8616343857787205</v>
      </c>
      <c r="J124" s="21">
        <f t="shared" si="16"/>
        <v>232973.75431148845</v>
      </c>
      <c r="K124" s="21">
        <f t="shared" si="17"/>
        <v>18314.460068983812</v>
      </c>
      <c r="L124" s="7" t="s">
        <v>10</v>
      </c>
      <c r="M124" s="1">
        <v>-6400</v>
      </c>
      <c r="N124" s="4">
        <v>7.67</v>
      </c>
      <c r="P124" s="3"/>
      <c r="T124" s="25"/>
      <c r="U124" s="15"/>
    </row>
    <row r="125" spans="1:22">
      <c r="A125" s="3">
        <v>43591</v>
      </c>
      <c r="B125" s="132" t="s">
        <v>57</v>
      </c>
      <c r="C125" s="132" t="s">
        <v>104</v>
      </c>
      <c r="D125" s="14" t="s">
        <v>12</v>
      </c>
      <c r="E125" s="22">
        <v>3.2240000000000002</v>
      </c>
      <c r="F125" s="22">
        <v>3.2240000000000002</v>
      </c>
      <c r="G125" s="23">
        <v>412.1</v>
      </c>
      <c r="H125" s="21"/>
      <c r="I125" s="21"/>
      <c r="J125" s="21">
        <f t="shared" si="16"/>
        <v>0</v>
      </c>
      <c r="K125" s="21">
        <f t="shared" si="17"/>
        <v>0</v>
      </c>
      <c r="L125" s="28" t="s">
        <v>67</v>
      </c>
      <c r="M125" s="69">
        <v>1328.61</v>
      </c>
      <c r="N125" s="13">
        <v>0</v>
      </c>
      <c r="P125" s="3"/>
      <c r="U125" s="15"/>
    </row>
    <row r="126" spans="1:22">
      <c r="A126" s="3">
        <v>43600</v>
      </c>
      <c r="B126" s="131" t="s">
        <v>7298</v>
      </c>
      <c r="C126" s="131" t="s">
        <v>7299</v>
      </c>
      <c r="D126" s="14" t="s">
        <v>12</v>
      </c>
      <c r="E126" s="22">
        <v>2.6779999999999999</v>
      </c>
      <c r="F126" s="22">
        <v>2.6779999999999999</v>
      </c>
      <c r="G126" s="22">
        <v>3730.54</v>
      </c>
      <c r="H126" s="21">
        <f>F126*$T$30</f>
        <v>33.900865384615379</v>
      </c>
      <c r="I126" s="21">
        <f>F126*$V$30</f>
        <v>6.2691346153846146</v>
      </c>
      <c r="J126" s="21">
        <f t="shared" si="16"/>
        <v>-336989.51830384613</v>
      </c>
      <c r="K126" s="21">
        <f t="shared" si="17"/>
        <v>-62317.956496153842</v>
      </c>
      <c r="L126" s="7" t="s">
        <v>10</v>
      </c>
      <c r="M126" s="69">
        <v>9940.44</v>
      </c>
      <c r="N126" s="4">
        <v>49.95</v>
      </c>
      <c r="P126" s="3"/>
      <c r="U126" s="15"/>
    </row>
    <row r="127" spans="1:22">
      <c r="A127" s="3">
        <v>43600</v>
      </c>
      <c r="B127" s="131" t="s">
        <v>7320</v>
      </c>
      <c r="C127" s="131" t="s">
        <v>97</v>
      </c>
      <c r="D127" s="3" t="s">
        <v>11</v>
      </c>
      <c r="E127" s="21">
        <v>1.6220000000000001</v>
      </c>
      <c r="F127" s="21">
        <v>2.5430000000000001</v>
      </c>
      <c r="G127" s="21">
        <v>3942.59</v>
      </c>
      <c r="H127" s="21"/>
      <c r="I127" s="21"/>
      <c r="J127" s="21">
        <f t="shared" si="16"/>
        <v>0</v>
      </c>
      <c r="K127" s="21">
        <f t="shared" si="17"/>
        <v>0</v>
      </c>
      <c r="L127" s="7" t="s">
        <v>10</v>
      </c>
      <c r="M127" s="1">
        <v>-6400</v>
      </c>
      <c r="N127" s="4">
        <v>5.12</v>
      </c>
      <c r="P127" s="3"/>
      <c r="U127" s="15"/>
    </row>
    <row r="128" spans="1:22">
      <c r="A128" s="3">
        <v>43600</v>
      </c>
      <c r="B128" s="131" t="s">
        <v>36</v>
      </c>
      <c r="C128" s="131" t="s">
        <v>36</v>
      </c>
      <c r="D128" s="3" t="s">
        <v>11</v>
      </c>
      <c r="E128" s="21">
        <v>3.7160000000000002</v>
      </c>
      <c r="F128" s="21">
        <v>3.7160000000000002</v>
      </c>
      <c r="G128" s="20">
        <v>1700</v>
      </c>
      <c r="H128" s="21">
        <f>F128*$T$15</f>
        <v>12.838720722122792</v>
      </c>
      <c r="I128" s="21">
        <f>F128*$V$15</f>
        <v>1.4265245246803102</v>
      </c>
      <c r="J128" s="21">
        <f t="shared" si="16"/>
        <v>81120.943333903982</v>
      </c>
      <c r="K128" s="21">
        <f t="shared" si="17"/>
        <v>9013.4381482115532</v>
      </c>
      <c r="L128" s="5" t="s">
        <v>24</v>
      </c>
      <c r="M128" s="1">
        <v>-6318.46</v>
      </c>
      <c r="N128" s="4">
        <v>1.26</v>
      </c>
      <c r="P128" s="3"/>
      <c r="U128" s="15"/>
    </row>
    <row r="129" spans="1:21">
      <c r="A129" s="3">
        <v>43615</v>
      </c>
      <c r="B129" s="131" t="s">
        <v>7320</v>
      </c>
      <c r="C129" s="131" t="s">
        <v>97</v>
      </c>
      <c r="D129" s="3" t="s">
        <v>11</v>
      </c>
      <c r="E129" s="21">
        <v>1.5940000000000001</v>
      </c>
      <c r="F129" s="21">
        <v>2.5150000000000001</v>
      </c>
      <c r="G129" s="21">
        <v>4011.84</v>
      </c>
      <c r="H129" s="21"/>
      <c r="I129" s="21"/>
      <c r="J129" s="21">
        <f t="shared" ref="J129" si="18">H129*(-$M129)</f>
        <v>0</v>
      </c>
      <c r="K129" s="21">
        <f t="shared" ref="K129" si="19">I129*(-$M129)</f>
        <v>0</v>
      </c>
      <c r="L129" s="7" t="s">
        <v>10</v>
      </c>
      <c r="M129" s="1">
        <v>-6400</v>
      </c>
      <c r="N129" s="4">
        <v>5.12</v>
      </c>
      <c r="P129" s="3"/>
      <c r="U129" s="15"/>
    </row>
    <row r="130" spans="1:21">
      <c r="A130" s="3">
        <v>43615</v>
      </c>
      <c r="B130" s="131" t="s">
        <v>7303</v>
      </c>
      <c r="C130" s="131" t="s">
        <v>7305</v>
      </c>
      <c r="D130" s="61" t="s">
        <v>11</v>
      </c>
      <c r="E130" s="21">
        <v>1.1140000000000001</v>
      </c>
      <c r="F130" s="21">
        <v>1.1140000000000001</v>
      </c>
      <c r="G130" s="20">
        <v>5738.18</v>
      </c>
      <c r="H130" s="21"/>
      <c r="I130" s="21"/>
      <c r="J130" s="21"/>
      <c r="K130" s="21"/>
      <c r="L130" s="7" t="s">
        <v>10</v>
      </c>
      <c r="M130" s="4">
        <v>-6400</v>
      </c>
      <c r="N130" s="4">
        <v>7.67</v>
      </c>
      <c r="P130" s="3"/>
      <c r="U130" s="15"/>
    </row>
    <row r="131" spans="1:21">
      <c r="A131" s="3">
        <v>43620</v>
      </c>
      <c r="B131" s="132" t="s">
        <v>57</v>
      </c>
      <c r="C131" s="132" t="s">
        <v>104</v>
      </c>
      <c r="D131" s="14" t="s">
        <v>12</v>
      </c>
      <c r="E131" s="22">
        <v>3.282</v>
      </c>
      <c r="F131" s="22">
        <v>3.282</v>
      </c>
      <c r="G131" s="23">
        <v>400.5</v>
      </c>
      <c r="H131" s="21"/>
      <c r="I131" s="21"/>
      <c r="J131" s="21">
        <f t="shared" ref="J131:J134" si="20">H131*(-$M131)</f>
        <v>0</v>
      </c>
      <c r="K131" s="21">
        <f t="shared" ref="K131:K134" si="21">I131*(-$M131)</f>
        <v>0</v>
      </c>
      <c r="L131" s="28" t="s">
        <v>67</v>
      </c>
      <c r="M131" s="69">
        <v>1314.44</v>
      </c>
      <c r="N131" s="13">
        <v>0</v>
      </c>
      <c r="P131" s="3"/>
      <c r="U131" s="15"/>
    </row>
    <row r="132" spans="1:21">
      <c r="A132" s="3">
        <v>43634</v>
      </c>
      <c r="B132" s="132" t="s">
        <v>7320</v>
      </c>
      <c r="C132" s="132" t="s">
        <v>97</v>
      </c>
      <c r="D132" s="3" t="s">
        <v>11</v>
      </c>
      <c r="E132" s="21">
        <v>1.5820000000000001</v>
      </c>
      <c r="F132" s="21">
        <v>2.5030000000000001</v>
      </c>
      <c r="G132" s="21">
        <v>4042.28</v>
      </c>
      <c r="H132" s="21"/>
      <c r="I132" s="21"/>
      <c r="J132" s="21">
        <f t="shared" si="20"/>
        <v>0</v>
      </c>
      <c r="K132" s="21">
        <f t="shared" si="21"/>
        <v>0</v>
      </c>
      <c r="L132" s="7" t="s">
        <v>10</v>
      </c>
      <c r="M132" s="1">
        <v>-6400</v>
      </c>
      <c r="N132" s="4">
        <v>5.12</v>
      </c>
      <c r="P132" s="3"/>
      <c r="U132" s="15"/>
    </row>
    <row r="133" spans="1:21">
      <c r="A133" s="3">
        <v>43634</v>
      </c>
      <c r="B133" s="132" t="s">
        <v>18</v>
      </c>
      <c r="C133" s="132" t="s">
        <v>79</v>
      </c>
      <c r="D133" s="3" t="s">
        <v>11</v>
      </c>
      <c r="E133" s="21">
        <v>5.15</v>
      </c>
      <c r="F133" s="21">
        <v>5.15</v>
      </c>
      <c r="G133" s="20">
        <v>1200</v>
      </c>
      <c r="H133" s="21">
        <f>F133*$T$17</f>
        <v>23.103409953879492</v>
      </c>
      <c r="I133" s="21">
        <f>F133*$V$17</f>
        <v>1.7647113300857584</v>
      </c>
      <c r="J133" s="21">
        <f t="shared" si="20"/>
        <v>142807.72174331808</v>
      </c>
      <c r="K133" s="21">
        <f t="shared" si="21"/>
        <v>10908.104261979293</v>
      </c>
      <c r="L133" s="5" t="s">
        <v>24</v>
      </c>
      <c r="M133" s="1">
        <v>-6181.24</v>
      </c>
      <c r="N133" s="4">
        <v>1.24</v>
      </c>
      <c r="P133" s="3"/>
    </row>
    <row r="134" spans="1:21">
      <c r="A134" s="3">
        <v>43634</v>
      </c>
      <c r="B134" s="132" t="s">
        <v>19</v>
      </c>
      <c r="C134" s="132" t="s">
        <v>90</v>
      </c>
      <c r="D134" s="3" t="s">
        <v>11</v>
      </c>
      <c r="E134" s="21">
        <v>0.625</v>
      </c>
      <c r="F134" s="21">
        <v>0.625</v>
      </c>
      <c r="G134" s="20">
        <v>10200</v>
      </c>
      <c r="H134" s="21">
        <f>F134*$T$19</f>
        <v>33.389888668598445</v>
      </c>
      <c r="I134" s="21">
        <f>F134*$V$19</f>
        <v>2.1065273753240814</v>
      </c>
      <c r="J134" s="21">
        <f t="shared" si="20"/>
        <v>212903.27931981088</v>
      </c>
      <c r="K134" s="21">
        <f t="shared" si="21"/>
        <v>13431.808372731433</v>
      </c>
      <c r="L134" s="5" t="s">
        <v>24</v>
      </c>
      <c r="M134" s="1">
        <v>-6376.28</v>
      </c>
      <c r="N134" s="4">
        <v>1.28</v>
      </c>
      <c r="P134" s="36"/>
    </row>
    <row r="135" spans="1:21">
      <c r="A135" s="3"/>
      <c r="B135" s="132"/>
      <c r="C135" s="132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132"/>
      <c r="C136" s="132"/>
      <c r="D136" s="3"/>
      <c r="E136" s="21"/>
      <c r="F136" s="21"/>
      <c r="G136" s="20"/>
      <c r="H136" s="21"/>
      <c r="I136" s="21"/>
      <c r="J136" s="21"/>
      <c r="K136" s="21"/>
      <c r="L136" s="5"/>
      <c r="M136" s="1"/>
      <c r="N136" s="4"/>
      <c r="P136" s="36"/>
    </row>
    <row r="137" spans="1:21">
      <c r="A137" s="3"/>
      <c r="B137" s="132"/>
      <c r="C137" s="132"/>
      <c r="D137" s="3"/>
      <c r="E137" s="21"/>
      <c r="F137" s="21"/>
      <c r="G137" s="20"/>
      <c r="H137" s="21"/>
      <c r="I137" s="21"/>
      <c r="J137" s="21">
        <f t="shared" ref="J137" si="22">H137*(-M137)</f>
        <v>0</v>
      </c>
      <c r="K137" s="21"/>
      <c r="L137" s="5"/>
      <c r="M137" s="1"/>
      <c r="N137" s="4"/>
      <c r="P137" s="36"/>
    </row>
    <row r="138" spans="1:21">
      <c r="A138" s="3"/>
      <c r="B138" s="132"/>
      <c r="C138" s="132"/>
      <c r="D138" s="3"/>
      <c r="E138" s="21"/>
      <c r="F138" s="21"/>
      <c r="G138" s="20"/>
      <c r="H138" s="21"/>
      <c r="I138" s="21"/>
      <c r="J138" s="21"/>
      <c r="K138" s="21"/>
      <c r="L138" s="5"/>
      <c r="M138" s="1"/>
      <c r="N138" s="4"/>
      <c r="P138" s="36"/>
    </row>
    <row r="139" spans="1:21">
      <c r="A139" s="3"/>
      <c r="B139" s="66"/>
      <c r="C139" s="66"/>
      <c r="D139" s="3"/>
      <c r="E139" s="21"/>
      <c r="F139" s="21"/>
      <c r="G139" s="20"/>
      <c r="H139" s="21"/>
      <c r="I139" s="21"/>
      <c r="J139" s="21"/>
      <c r="K139" s="21"/>
      <c r="L139" s="5"/>
      <c r="M139" s="1"/>
      <c r="N139" s="4"/>
      <c r="P139" s="36"/>
    </row>
    <row r="140" spans="1:21">
      <c r="A140" s="3"/>
      <c r="B140" s="66"/>
      <c r="C140" s="66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66"/>
      <c r="C141" s="66"/>
      <c r="D141" s="3"/>
      <c r="E141" s="21"/>
      <c r="F141" s="21"/>
      <c r="G141" s="20"/>
      <c r="H141" s="21"/>
      <c r="I141" s="21"/>
      <c r="J141" s="21"/>
      <c r="K141" s="21"/>
      <c r="L141" s="5"/>
      <c r="M141" s="1"/>
      <c r="N141" s="4"/>
      <c r="P141" s="36"/>
    </row>
    <row r="142" spans="1:21">
      <c r="A142" s="3"/>
      <c r="B142" s="66"/>
      <c r="C142" s="66"/>
      <c r="D142" s="3"/>
      <c r="E142" s="21"/>
      <c r="F142" s="21"/>
      <c r="G142" s="20"/>
      <c r="H142" s="21"/>
      <c r="I142" s="21"/>
      <c r="J142" s="21"/>
      <c r="K142" s="21"/>
      <c r="L142" s="5"/>
      <c r="M142" s="1"/>
      <c r="N142" s="4"/>
      <c r="P142" s="36"/>
    </row>
    <row r="143" spans="1:21">
      <c r="A143" s="3"/>
      <c r="B143" s="66"/>
      <c r="C143" s="66"/>
      <c r="D143" s="3"/>
      <c r="E143" s="21"/>
      <c r="F143" s="21"/>
      <c r="G143" s="20"/>
      <c r="H143" s="21"/>
      <c r="I143" s="21"/>
      <c r="J143" s="21"/>
      <c r="K143" s="21"/>
      <c r="L143" s="5"/>
      <c r="M143" s="1"/>
      <c r="N143" s="4"/>
      <c r="P143" s="36"/>
    </row>
    <row r="144" spans="1:21">
      <c r="A144" s="3"/>
      <c r="B144" s="66"/>
      <c r="C144" s="66"/>
      <c r="D144" s="3"/>
      <c r="E144" s="21"/>
      <c r="F144" s="21"/>
      <c r="G144" s="20"/>
      <c r="H144" s="21"/>
      <c r="I144" s="21"/>
      <c r="J144" s="21">
        <f t="shared" ref="J144" si="23">H144*(-M144)</f>
        <v>0</v>
      </c>
      <c r="K144" s="21"/>
      <c r="L144" s="5"/>
      <c r="M144" s="1"/>
      <c r="N144" s="4"/>
      <c r="P144" s="36"/>
    </row>
    <row r="145" spans="1:18">
      <c r="A145" s="3"/>
      <c r="B145" s="41"/>
      <c r="C145" s="41"/>
      <c r="D145" s="3"/>
      <c r="E145" s="21"/>
      <c r="F145" s="21"/>
      <c r="G145" s="20"/>
      <c r="H145" s="21"/>
      <c r="I145" s="21"/>
      <c r="J145" s="21"/>
      <c r="K145" s="21"/>
      <c r="L145" s="5"/>
      <c r="M145" s="1"/>
      <c r="N145" s="4"/>
      <c r="O145" t="s">
        <v>27</v>
      </c>
      <c r="P145" s="36"/>
    </row>
    <row r="146" spans="1:18">
      <c r="A146" s="3"/>
      <c r="B146" s="41"/>
      <c r="C146" s="41"/>
      <c r="D146" s="3"/>
      <c r="E146" s="21"/>
      <c r="F146" s="21"/>
      <c r="G146" s="20"/>
      <c r="H146" s="21"/>
      <c r="I146" s="21"/>
      <c r="J146" s="21">
        <f t="shared" ref="J146" si="24">H146*(-M146)</f>
        <v>0</v>
      </c>
      <c r="K146" s="21"/>
      <c r="L146" s="5"/>
      <c r="M146" s="1"/>
      <c r="N146" s="4"/>
      <c r="O146" t="s">
        <v>28</v>
      </c>
      <c r="P146" s="36"/>
    </row>
    <row r="147" spans="1:18">
      <c r="A147" s="3"/>
      <c r="B147" s="41"/>
      <c r="C147" s="41"/>
      <c r="D147" s="3"/>
      <c r="E147" s="21"/>
      <c r="F147" s="21"/>
      <c r="G147" s="20"/>
      <c r="H147" s="21"/>
      <c r="I147" s="21"/>
      <c r="J147" s="21">
        <f t="shared" ref="J147:J157" si="25">H147*(-M147)</f>
        <v>0</v>
      </c>
      <c r="K147" s="21"/>
      <c r="L147" s="5"/>
      <c r="M147" s="1"/>
      <c r="N147" s="4"/>
      <c r="P147" s="36"/>
    </row>
    <row r="148" spans="1:18">
      <c r="A148" s="3"/>
      <c r="B148" s="41"/>
      <c r="C148" s="41"/>
      <c r="D148" s="3"/>
      <c r="E148" s="21"/>
      <c r="F148" s="21"/>
      <c r="G148" s="20"/>
      <c r="H148" s="21"/>
      <c r="I148" s="21"/>
      <c r="J148" s="21"/>
      <c r="K148" s="21"/>
      <c r="L148" s="5"/>
      <c r="M148" s="1"/>
      <c r="N148" s="4"/>
      <c r="P148" s="36"/>
    </row>
    <row r="149" spans="1:18">
      <c r="A149" s="3"/>
      <c r="B149" s="41"/>
      <c r="C149" s="41"/>
      <c r="D149" s="3"/>
      <c r="E149" s="21"/>
      <c r="F149" s="21"/>
      <c r="G149" s="20"/>
      <c r="H149" s="21"/>
      <c r="I149" s="21"/>
      <c r="J149" s="21">
        <f t="shared" si="25"/>
        <v>0</v>
      </c>
      <c r="K149" s="21"/>
      <c r="L149" s="5"/>
      <c r="M149" s="1"/>
      <c r="N149" s="4"/>
      <c r="P149" s="36"/>
    </row>
    <row r="150" spans="1:18">
      <c r="A150" s="3"/>
      <c r="B150" s="41"/>
      <c r="C150" s="41"/>
      <c r="D150" s="3"/>
      <c r="E150" s="21"/>
      <c r="F150" s="21"/>
      <c r="G150" s="20"/>
      <c r="H150" s="21"/>
      <c r="I150" s="21"/>
      <c r="J150" s="21">
        <f t="shared" si="25"/>
        <v>0</v>
      </c>
      <c r="K150" s="21"/>
      <c r="L150" s="5"/>
      <c r="M150" s="1"/>
      <c r="N150" s="4"/>
      <c r="P150" s="36"/>
    </row>
    <row r="151" spans="1:18">
      <c r="A151" s="3">
        <v>43625</v>
      </c>
      <c r="D151" s="3"/>
      <c r="E151" s="3"/>
      <c r="F151" s="3"/>
      <c r="G151" s="3"/>
      <c r="H151" s="3"/>
      <c r="I151" s="3"/>
      <c r="J151" s="21">
        <f t="shared" si="25"/>
        <v>0</v>
      </c>
      <c r="K151" s="21"/>
      <c r="L151" s="8" t="s">
        <v>134</v>
      </c>
      <c r="M151" s="1">
        <f>SUM(S4:S6)+Q7</f>
        <v>766793.21</v>
      </c>
      <c r="N151" s="1"/>
      <c r="P151" s="36"/>
    </row>
    <row r="152" spans="1:18">
      <c r="A152" s="3"/>
      <c r="B152" s="2"/>
      <c r="C152" s="2"/>
      <c r="D152" s="3"/>
      <c r="E152" s="3"/>
      <c r="F152" s="3"/>
      <c r="G152" s="3"/>
      <c r="H152" s="3"/>
      <c r="I152" s="3"/>
      <c r="J152" s="21">
        <f t="shared" si="25"/>
        <v>0</v>
      </c>
      <c r="K152" s="21"/>
      <c r="M152" s="1"/>
      <c r="N152" s="4"/>
      <c r="P152" s="36"/>
    </row>
    <row r="153" spans="1:18">
      <c r="A153" s="3"/>
      <c r="B153" s="2"/>
      <c r="C153" s="2"/>
      <c r="D153" s="3"/>
      <c r="E153" s="3"/>
      <c r="F153" s="3"/>
      <c r="G153" s="3"/>
      <c r="H153" s="3"/>
      <c r="I153" s="3"/>
      <c r="J153" s="21">
        <f t="shared" si="25"/>
        <v>0</v>
      </c>
      <c r="K153" s="21"/>
      <c r="M153" s="1"/>
      <c r="N153" s="4"/>
      <c r="P153" s="36"/>
    </row>
    <row r="154" spans="1:18">
      <c r="A154" s="3"/>
      <c r="B154" s="2"/>
      <c r="C154" s="2"/>
      <c r="D154" s="3"/>
      <c r="E154" s="3"/>
      <c r="F154" s="3"/>
      <c r="G154" s="3"/>
      <c r="H154" s="3"/>
      <c r="I154" s="3"/>
      <c r="J154" s="21">
        <f t="shared" si="25"/>
        <v>0</v>
      </c>
      <c r="K154" s="21"/>
      <c r="M154" s="1"/>
      <c r="N154" s="4"/>
      <c r="P154" s="36"/>
    </row>
    <row r="155" spans="1:18">
      <c r="A155" s="3"/>
      <c r="D155" s="3"/>
      <c r="E155" s="3"/>
      <c r="F155" s="3"/>
      <c r="G155" s="3"/>
      <c r="H155" s="3"/>
      <c r="I155" s="3"/>
      <c r="J155" s="21">
        <f t="shared" si="25"/>
        <v>0</v>
      </c>
      <c r="K155" s="21"/>
      <c r="L155" s="8" t="s">
        <v>26</v>
      </c>
      <c r="M155" s="12">
        <f>XIRR($M2:$M154,$A2:$A154)</f>
        <v>4.1841000318527223E-3</v>
      </c>
      <c r="N155" s="12"/>
      <c r="P155" s="36"/>
      <c r="R155" s="15"/>
    </row>
    <row r="156" spans="1:18">
      <c r="J156" s="21">
        <f t="shared" si="25"/>
        <v>0</v>
      </c>
      <c r="K156" s="21"/>
      <c r="L156" s="3">
        <v>43235</v>
      </c>
      <c r="M156" s="16">
        <v>0.15763732790946963</v>
      </c>
      <c r="P156" s="36"/>
      <c r="R156" s="15"/>
    </row>
    <row r="157" spans="1:18">
      <c r="J157" s="21">
        <f t="shared" si="25"/>
        <v>0</v>
      </c>
      <c r="K157" s="21"/>
      <c r="L157" s="3">
        <v>43259</v>
      </c>
      <c r="M157" s="16">
        <v>4.7603145241737366E-2</v>
      </c>
      <c r="P157" s="36"/>
      <c r="R157" s="15"/>
    </row>
    <row r="158" spans="1:18">
      <c r="L158" s="3">
        <v>43166</v>
      </c>
      <c r="M158" s="16">
        <v>0.25530000000000003</v>
      </c>
      <c r="P158" s="36"/>
      <c r="R158" s="15"/>
    </row>
    <row r="159" spans="1:18">
      <c r="R159" s="15"/>
    </row>
    <row r="160" spans="1:18">
      <c r="R160" s="15"/>
    </row>
    <row r="161" spans="14:18">
      <c r="R161" s="15"/>
    </row>
    <row r="162" spans="14:18">
      <c r="R162" s="15"/>
    </row>
    <row r="175" spans="14:18">
      <c r="N175">
        <f>SUMIF(C:C,"=医药",J:J)/SUMIF(C:C,"=医药",M:M)*-1</f>
        <v>29.045212968889661</v>
      </c>
    </row>
  </sheetData>
  <autoFilter ref="A1:W133" xr:uid="{00000000-0009-0000-0000-000000000000}"/>
  <sortState ref="A2:F54">
    <sortCondition ref="A1"/>
  </sortState>
  <mergeCells count="7">
    <mergeCell ref="Z22:Z23"/>
    <mergeCell ref="Z26:Z27"/>
    <mergeCell ref="Z37:Z39"/>
    <mergeCell ref="Z20:Z21"/>
    <mergeCell ref="Z15:Z16"/>
    <mergeCell ref="Z17:Z18"/>
    <mergeCell ref="Z28:Z29"/>
  </mergeCells>
  <phoneticPr fontId="3" type="noConversion"/>
  <conditionalFormatting sqref="N2:N16 N26:N42 N19:N24 N105 N139:N142 N124 N126">
    <cfRule type="cellIs" dxfId="88" priority="123" operator="greaterThan">
      <formula>3</formula>
    </cfRule>
  </conditionalFormatting>
  <conditionalFormatting sqref="N43:N47 N151:N153">
    <cfRule type="cellIs" dxfId="87" priority="122" operator="greaterThan">
      <formula>3</formula>
    </cfRule>
  </conditionalFormatting>
  <conditionalFormatting sqref="N48">
    <cfRule type="cellIs" dxfId="86" priority="120" operator="greaterThan">
      <formula>3</formula>
    </cfRule>
  </conditionalFormatting>
  <conditionalFormatting sqref="N49">
    <cfRule type="cellIs" dxfId="85" priority="119" operator="greaterThan">
      <formula>3</formula>
    </cfRule>
  </conditionalFormatting>
  <conditionalFormatting sqref="N50">
    <cfRule type="cellIs" dxfId="84" priority="118" operator="greaterThan">
      <formula>3</formula>
    </cfRule>
  </conditionalFormatting>
  <conditionalFormatting sqref="N52">
    <cfRule type="cellIs" dxfId="83" priority="117" operator="greaterThan">
      <formula>3</formula>
    </cfRule>
  </conditionalFormatting>
  <conditionalFormatting sqref="N53">
    <cfRule type="cellIs" dxfId="82" priority="116" operator="greaterThan">
      <formula>3</formula>
    </cfRule>
  </conditionalFormatting>
  <conditionalFormatting sqref="N54 N60 N78">
    <cfRule type="cellIs" dxfId="81" priority="115" operator="greaterThan">
      <formula>3</formula>
    </cfRule>
  </conditionalFormatting>
  <conditionalFormatting sqref="N51">
    <cfRule type="cellIs" dxfId="80" priority="114" operator="greaterThan">
      <formula>3</formula>
    </cfRule>
  </conditionalFormatting>
  <conditionalFormatting sqref="N25">
    <cfRule type="cellIs" dxfId="79" priority="112" operator="greaterThan">
      <formula>3</formula>
    </cfRule>
  </conditionalFormatting>
  <conditionalFormatting sqref="N55">
    <cfRule type="cellIs" dxfId="78" priority="110" operator="greaterThan">
      <formula>3</formula>
    </cfRule>
  </conditionalFormatting>
  <conditionalFormatting sqref="N56">
    <cfRule type="cellIs" dxfId="77" priority="109" operator="greaterThan">
      <formula>3</formula>
    </cfRule>
  </conditionalFormatting>
  <conditionalFormatting sqref="N57">
    <cfRule type="cellIs" dxfId="76" priority="107" operator="greaterThan">
      <formula>3</formula>
    </cfRule>
  </conditionalFormatting>
  <conditionalFormatting sqref="N58">
    <cfRule type="cellIs" dxfId="75" priority="106" operator="greaterThan">
      <formula>3</formula>
    </cfRule>
  </conditionalFormatting>
  <conditionalFormatting sqref="N59">
    <cfRule type="cellIs" dxfId="74" priority="105" operator="greaterThan">
      <formula>3</formula>
    </cfRule>
  </conditionalFormatting>
  <conditionalFormatting sqref="N70">
    <cfRule type="cellIs" dxfId="73" priority="104" operator="greaterThan">
      <formula>3</formula>
    </cfRule>
  </conditionalFormatting>
  <conditionalFormatting sqref="N61">
    <cfRule type="cellIs" dxfId="72" priority="102" operator="greaterThan">
      <formula>3</formula>
    </cfRule>
  </conditionalFormatting>
  <conditionalFormatting sqref="N62:N63 N69">
    <cfRule type="cellIs" dxfId="71" priority="101" operator="greaterThan">
      <formula>3</formula>
    </cfRule>
  </conditionalFormatting>
  <conditionalFormatting sqref="N66">
    <cfRule type="cellIs" dxfId="70" priority="97" operator="greaterThan">
      <formula>3</formula>
    </cfRule>
  </conditionalFormatting>
  <conditionalFormatting sqref="N65">
    <cfRule type="cellIs" dxfId="69" priority="98" operator="greaterThan">
      <formula>3</formula>
    </cfRule>
  </conditionalFormatting>
  <conditionalFormatting sqref="N64">
    <cfRule type="cellIs" dxfId="68" priority="99" operator="greaterThan">
      <formula>3</formula>
    </cfRule>
  </conditionalFormatting>
  <conditionalFormatting sqref="N68">
    <cfRule type="cellIs" dxfId="67" priority="95" operator="greaterThan">
      <formula>3</formula>
    </cfRule>
  </conditionalFormatting>
  <conditionalFormatting sqref="N67">
    <cfRule type="cellIs" dxfId="66" priority="96" operator="greaterThan">
      <formula>3</formula>
    </cfRule>
  </conditionalFormatting>
  <conditionalFormatting sqref="N17:N18">
    <cfRule type="cellIs" dxfId="65" priority="94" operator="greaterThan">
      <formula>3</formula>
    </cfRule>
  </conditionalFormatting>
  <conditionalFormatting sqref="N77">
    <cfRule type="cellIs" dxfId="64" priority="93" operator="greaterThan">
      <formula>3</formula>
    </cfRule>
  </conditionalFormatting>
  <conditionalFormatting sqref="N71">
    <cfRule type="cellIs" dxfId="63" priority="92" operator="greaterThan">
      <formula>3</formula>
    </cfRule>
  </conditionalFormatting>
  <conditionalFormatting sqref="N74">
    <cfRule type="cellIs" dxfId="62" priority="91" operator="greaterThan">
      <formula>3</formula>
    </cfRule>
  </conditionalFormatting>
  <conditionalFormatting sqref="N76">
    <cfRule type="cellIs" dxfId="61" priority="90" operator="greaterThan">
      <formula>3</formula>
    </cfRule>
  </conditionalFormatting>
  <conditionalFormatting sqref="N72">
    <cfRule type="cellIs" dxfId="60" priority="87" operator="greaterThan">
      <formula>3</formula>
    </cfRule>
  </conditionalFormatting>
  <conditionalFormatting sqref="N79">
    <cfRule type="cellIs" dxfId="59" priority="86" operator="greaterThan">
      <formula>3</formula>
    </cfRule>
  </conditionalFormatting>
  <conditionalFormatting sqref="N81">
    <cfRule type="cellIs" dxfId="58" priority="85" operator="greaterThan">
      <formula>3</formula>
    </cfRule>
  </conditionalFormatting>
  <conditionalFormatting sqref="N82">
    <cfRule type="cellIs" dxfId="57" priority="84" operator="greaterThan">
      <formula>3</formula>
    </cfRule>
  </conditionalFormatting>
  <conditionalFormatting sqref="N84">
    <cfRule type="cellIs" dxfId="56" priority="83" operator="greaterThan">
      <formula>3</formula>
    </cfRule>
  </conditionalFormatting>
  <conditionalFormatting sqref="N145:N150">
    <cfRule type="cellIs" dxfId="55" priority="78" operator="greaterThan">
      <formula>3</formula>
    </cfRule>
  </conditionalFormatting>
  <conditionalFormatting sqref="N85">
    <cfRule type="cellIs" dxfId="54" priority="77" operator="greaterThan">
      <formula>3</formula>
    </cfRule>
  </conditionalFormatting>
  <conditionalFormatting sqref="N86">
    <cfRule type="cellIs" dxfId="53" priority="76" operator="greaterThan">
      <formula>3</formula>
    </cfRule>
  </conditionalFormatting>
  <conditionalFormatting sqref="N87">
    <cfRule type="cellIs" dxfId="52" priority="75" operator="greaterThan">
      <formula>3</formula>
    </cfRule>
  </conditionalFormatting>
  <conditionalFormatting sqref="N88">
    <cfRule type="cellIs" dxfId="51" priority="74" operator="greaterThan">
      <formula>3</formula>
    </cfRule>
  </conditionalFormatting>
  <conditionalFormatting sqref="N89">
    <cfRule type="cellIs" dxfId="50" priority="72" operator="greaterThan">
      <formula>3</formula>
    </cfRule>
  </conditionalFormatting>
  <conditionalFormatting sqref="N90">
    <cfRule type="cellIs" dxfId="49" priority="71" operator="greaterThan">
      <formula>3</formula>
    </cfRule>
  </conditionalFormatting>
  <conditionalFormatting sqref="N75">
    <cfRule type="cellIs" dxfId="48" priority="68" operator="greaterThan">
      <formula>3</formula>
    </cfRule>
  </conditionalFormatting>
  <conditionalFormatting sqref="N92">
    <cfRule type="cellIs" dxfId="47" priority="67" operator="greaterThan">
      <formula>3</formula>
    </cfRule>
  </conditionalFormatting>
  <conditionalFormatting sqref="N91">
    <cfRule type="cellIs" dxfId="46" priority="66" operator="greaterThan">
      <formula>3</formula>
    </cfRule>
  </conditionalFormatting>
  <conditionalFormatting sqref="N93">
    <cfRule type="cellIs" dxfId="45" priority="65" operator="greaterThan">
      <formula>3</formula>
    </cfRule>
  </conditionalFormatting>
  <conditionalFormatting sqref="N95">
    <cfRule type="cellIs" dxfId="44" priority="62" operator="greaterThan">
      <formula>3</formula>
    </cfRule>
  </conditionalFormatting>
  <conditionalFormatting sqref="N94">
    <cfRule type="cellIs" dxfId="43" priority="63" operator="greaterThan">
      <formula>3</formula>
    </cfRule>
  </conditionalFormatting>
  <conditionalFormatting sqref="N96">
    <cfRule type="cellIs" dxfId="42" priority="60" operator="greaterThan">
      <formula>3</formula>
    </cfRule>
  </conditionalFormatting>
  <conditionalFormatting sqref="N97">
    <cfRule type="cellIs" dxfId="41" priority="59" operator="greaterThan">
      <formula>3</formula>
    </cfRule>
  </conditionalFormatting>
  <conditionalFormatting sqref="N98">
    <cfRule type="cellIs" dxfId="40" priority="57" operator="greaterThan">
      <formula>3</formula>
    </cfRule>
  </conditionalFormatting>
  <conditionalFormatting sqref="N99">
    <cfRule type="cellIs" dxfId="39" priority="56" operator="greaterThan">
      <formula>3</formula>
    </cfRule>
  </conditionalFormatting>
  <conditionalFormatting sqref="N100">
    <cfRule type="cellIs" dxfId="38" priority="55" operator="greaterThan">
      <formula>3</formula>
    </cfRule>
  </conditionalFormatting>
  <conditionalFormatting sqref="N101">
    <cfRule type="cellIs" dxfId="37" priority="54" operator="greaterThan">
      <formula>3</formula>
    </cfRule>
  </conditionalFormatting>
  <conditionalFormatting sqref="N102">
    <cfRule type="cellIs" dxfId="36" priority="53" operator="greaterThan">
      <formula>3</formula>
    </cfRule>
  </conditionalFormatting>
  <conditionalFormatting sqref="N103">
    <cfRule type="cellIs" dxfId="35" priority="50" operator="greaterThan">
      <formula>3</formula>
    </cfRule>
  </conditionalFormatting>
  <conditionalFormatting sqref="N104">
    <cfRule type="cellIs" dxfId="34" priority="49" operator="greaterThan">
      <formula>3</formula>
    </cfRule>
  </conditionalFormatting>
  <conditionalFormatting sqref="N143:N144">
    <cfRule type="cellIs" dxfId="33" priority="48" operator="greaterThan">
      <formula>3</formula>
    </cfRule>
  </conditionalFormatting>
  <conditionalFormatting sqref="N106">
    <cfRule type="cellIs" dxfId="32" priority="44" operator="greaterThan">
      <formula>3</formula>
    </cfRule>
  </conditionalFormatting>
  <conditionalFormatting sqref="N107">
    <cfRule type="cellIs" dxfId="31" priority="42" operator="greaterThan">
      <formula>3</formula>
    </cfRule>
  </conditionalFormatting>
  <conditionalFormatting sqref="N108">
    <cfRule type="cellIs" dxfId="30" priority="37" operator="greaterThan">
      <formula>3</formula>
    </cfRule>
  </conditionalFormatting>
  <conditionalFormatting sqref="N109">
    <cfRule type="cellIs" dxfId="29" priority="36" operator="greaterThan">
      <formula>3</formula>
    </cfRule>
  </conditionalFormatting>
  <conditionalFormatting sqref="N110">
    <cfRule type="cellIs" dxfId="28" priority="35" operator="greaterThan">
      <formula>3</formula>
    </cfRule>
  </conditionalFormatting>
  <conditionalFormatting sqref="N113">
    <cfRule type="cellIs" dxfId="27" priority="31" operator="greaterThan">
      <formula>3</formula>
    </cfRule>
  </conditionalFormatting>
  <conditionalFormatting sqref="N111">
    <cfRule type="cellIs" dxfId="26" priority="33" operator="greaterThan">
      <formula>3</formula>
    </cfRule>
  </conditionalFormatting>
  <conditionalFormatting sqref="N112">
    <cfRule type="cellIs" dxfId="25" priority="32" operator="greaterThan">
      <formula>3</formula>
    </cfRule>
  </conditionalFormatting>
  <conditionalFormatting sqref="N114">
    <cfRule type="cellIs" dxfId="24" priority="30" operator="greaterThan">
      <formula>3</formula>
    </cfRule>
  </conditionalFormatting>
  <conditionalFormatting sqref="N115">
    <cfRule type="cellIs" dxfId="23" priority="29" operator="greaterThan">
      <formula>3</formula>
    </cfRule>
  </conditionalFormatting>
  <conditionalFormatting sqref="N116">
    <cfRule type="cellIs" dxfId="22" priority="28" operator="greaterThan">
      <formula>3</formula>
    </cfRule>
  </conditionalFormatting>
  <conditionalFormatting sqref="N117">
    <cfRule type="cellIs" dxfId="21" priority="27" operator="greaterThan">
      <formula>3</formula>
    </cfRule>
  </conditionalFormatting>
  <conditionalFormatting sqref="N118">
    <cfRule type="cellIs" dxfId="20" priority="26" operator="greaterThan">
      <formula>3</formula>
    </cfRule>
  </conditionalFormatting>
  <conditionalFormatting sqref="N119">
    <cfRule type="cellIs" dxfId="19" priority="25" operator="greaterThan">
      <formula>3</formula>
    </cfRule>
  </conditionalFormatting>
  <conditionalFormatting sqref="N120">
    <cfRule type="cellIs" dxfId="18" priority="23" operator="greaterThan">
      <formula>3</formula>
    </cfRule>
  </conditionalFormatting>
  <conditionalFormatting sqref="N73">
    <cfRule type="cellIs" dxfId="17" priority="21" operator="greaterThan">
      <formula>3</formula>
    </cfRule>
  </conditionalFormatting>
  <conditionalFormatting sqref="N80">
    <cfRule type="cellIs" dxfId="16" priority="20" operator="greaterThan">
      <formula>3</formula>
    </cfRule>
  </conditionalFormatting>
  <conditionalFormatting sqref="N83">
    <cfRule type="cellIs" dxfId="15" priority="19" operator="greaterThan">
      <formula>3</formula>
    </cfRule>
  </conditionalFormatting>
  <conditionalFormatting sqref="N122">
    <cfRule type="cellIs" dxfId="14" priority="18" operator="greaterThan">
      <formula>3</formula>
    </cfRule>
  </conditionalFormatting>
  <conditionalFormatting sqref="N123">
    <cfRule type="cellIs" dxfId="13" priority="17" operator="greaterThan">
      <formula>3</formula>
    </cfRule>
  </conditionalFormatting>
  <conditionalFormatting sqref="N121">
    <cfRule type="cellIs" dxfId="12" priority="16" operator="greaterThan">
      <formula>3</formula>
    </cfRule>
  </conditionalFormatting>
  <conditionalFormatting sqref="N130">
    <cfRule type="cellIs" dxfId="11" priority="10" operator="greaterThan">
      <formula>3</formula>
    </cfRule>
  </conditionalFormatting>
  <conditionalFormatting sqref="N127">
    <cfRule type="cellIs" dxfId="10" priority="14" operator="greaterThan">
      <formula>3</formula>
    </cfRule>
  </conditionalFormatting>
  <conditionalFormatting sqref="N128">
    <cfRule type="cellIs" dxfId="9" priority="13" operator="greaterThan">
      <formula>3</formula>
    </cfRule>
  </conditionalFormatting>
  <conditionalFormatting sqref="N129">
    <cfRule type="cellIs" dxfId="8" priority="12" operator="greaterThan">
      <formula>3</formula>
    </cfRule>
  </conditionalFormatting>
  <conditionalFormatting sqref="N131">
    <cfRule type="cellIs" dxfId="7" priority="9" operator="greaterThan">
      <formula>3</formula>
    </cfRule>
  </conditionalFormatting>
  <conditionalFormatting sqref="N135">
    <cfRule type="cellIs" dxfId="6" priority="8" operator="greaterThan">
      <formula>3</formula>
    </cfRule>
  </conditionalFormatting>
  <conditionalFormatting sqref="N138">
    <cfRule type="cellIs" dxfId="5" priority="7" operator="greaterThan">
      <formula>3</formula>
    </cfRule>
  </conditionalFormatting>
  <conditionalFormatting sqref="N136:N137">
    <cfRule type="cellIs" dxfId="4" priority="6" operator="greaterThan">
      <formula>3</formula>
    </cfRule>
  </conditionalFormatting>
  <conditionalFormatting sqref="N132">
    <cfRule type="cellIs" dxfId="3" priority="5" operator="greaterThan">
      <formula>3</formula>
    </cfRule>
  </conditionalFormatting>
  <conditionalFormatting sqref="N134">
    <cfRule type="cellIs" dxfId="2" priority="2" operator="greaterThan">
      <formula>3</formula>
    </cfRule>
  </conditionalFormatting>
  <conditionalFormatting sqref="N133">
    <cfRule type="cellIs" dxfId="1" priority="3" operator="greaterThan">
      <formula>3</formula>
    </cfRule>
  </conditionalFormatting>
  <conditionalFormatting sqref="N125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6"/>
  <sheetViews>
    <sheetView tabSelected="1" zoomScale="90" zoomScaleNormal="90" workbookViewId="0">
      <pane ySplit="1" topLeftCell="A2" activePane="bottomLeft" state="frozen"/>
      <selection pane="bottomLeft" activeCell="H30" sqref="H30"/>
    </sheetView>
  </sheetViews>
  <sheetFormatPr defaultColWidth="11" defaultRowHeight="14.25"/>
  <cols>
    <col min="1" max="1" width="17.375" style="120" bestFit="1" customWidth="1"/>
    <col min="2" max="2" width="19.375" style="120" bestFit="1" customWidth="1"/>
    <col min="3" max="3" width="15.625" style="120" bestFit="1" customWidth="1"/>
    <col min="4" max="4" width="15.125" style="120" bestFit="1" customWidth="1"/>
    <col min="5" max="5" width="9" style="120" bestFit="1" customWidth="1"/>
    <col min="6" max="6" width="13" style="120" bestFit="1" customWidth="1"/>
    <col min="7" max="8" width="9.875" style="120" bestFit="1" customWidth="1"/>
    <col min="9" max="9" width="8.875" style="120" bestFit="1" customWidth="1"/>
    <col min="10" max="10" width="9" style="120" bestFit="1" customWidth="1"/>
    <col min="11" max="13" width="15.125" style="120" bestFit="1" customWidth="1"/>
    <col min="14" max="14" width="29.125" style="120" customWidth="1"/>
    <col min="15" max="16" width="9.1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30"/>
      <c r="N1" s="119"/>
    </row>
    <row r="2" spans="1:15">
      <c r="A2" s="136" t="str">
        <f>"A股"&amp;" , "&amp;TEXT(SUM(E2:E19),"0.00%")</f>
        <v>A股 , 49.90%</v>
      </c>
      <c r="B2" s="136" t="str">
        <f>"大盘股"&amp;" , "&amp;TEXT(SUM(E2:E4),"0.00%")</f>
        <v>大盘股 , 5.31%</v>
      </c>
      <c r="C2" s="121" t="str">
        <f>"上证50"&amp;" , "&amp;TEXT(SUM(E2:E2),"0.00%")</f>
        <v>上证50 , 0.64%</v>
      </c>
      <c r="D2" s="121" t="s">
        <v>7551</v>
      </c>
      <c r="E2" s="122">
        <f t="shared" ref="E2:E32" si="0">F2/$F$33</f>
        <v>6.4329339625776747E-3</v>
      </c>
      <c r="F2" s="35">
        <f t="shared" ref="F2:F24" si="1">SUM(G2:I2)</f>
        <v>7973.1</v>
      </c>
      <c r="G2" s="35">
        <v>7973.1</v>
      </c>
      <c r="H2" s="35"/>
      <c r="I2" s="35"/>
      <c r="K2" s="119">
        <f>K4+K6+K8+K10</f>
        <v>1219479.92</v>
      </c>
      <c r="M2" s="130"/>
      <c r="N2" s="119"/>
    </row>
    <row r="3" spans="1:15">
      <c r="A3" s="136"/>
      <c r="B3" s="137"/>
      <c r="C3" s="136" t="str">
        <f>"沪深300"&amp;" , "&amp;TEXT(SUM(E3:E4),"0.00%")</f>
        <v>沪深300 , 4.67%</v>
      </c>
      <c r="D3" s="121" t="s">
        <v>7552</v>
      </c>
      <c r="E3" s="122">
        <f t="shared" si="0"/>
        <v>2.8267278897656973E-2</v>
      </c>
      <c r="F3" s="35">
        <f t="shared" si="1"/>
        <v>35035</v>
      </c>
      <c r="G3" s="35">
        <v>35035</v>
      </c>
      <c r="I3" s="35"/>
      <c r="K3" s="119" t="s">
        <v>7447</v>
      </c>
      <c r="M3" s="119"/>
      <c r="N3" s="34"/>
    </row>
    <row r="4" spans="1:15">
      <c r="A4" s="136"/>
      <c r="B4" s="137"/>
      <c r="C4" s="137"/>
      <c r="D4" s="121" t="s">
        <v>7553</v>
      </c>
      <c r="E4" s="122">
        <f t="shared" si="0"/>
        <v>1.8416170526234753E-2</v>
      </c>
      <c r="F4" s="35">
        <f t="shared" si="1"/>
        <v>22825.35</v>
      </c>
      <c r="H4" s="35">
        <v>22825.35</v>
      </c>
      <c r="K4" s="119">
        <v>800000</v>
      </c>
      <c r="M4" s="119"/>
      <c r="N4" s="34"/>
    </row>
    <row r="5" spans="1:15">
      <c r="A5" s="136"/>
      <c r="B5" s="136" t="str">
        <f>"中小盘股"&amp;" , "&amp;TEXT(SUM(E5:E9),"0.00%")</f>
        <v>中小盘股 , 19.52%</v>
      </c>
      <c r="C5" s="136" t="str">
        <f>"中证500"&amp;" , "&amp;TEXT(SUM(E5:E6),"0.00%")</f>
        <v>中证500 , 14.39%</v>
      </c>
      <c r="D5" s="121" t="s">
        <v>7555</v>
      </c>
      <c r="E5" s="122">
        <f t="shared" si="0"/>
        <v>0.13181790166490201</v>
      </c>
      <c r="F5" s="35">
        <f t="shared" si="1"/>
        <v>163377.60000000001</v>
      </c>
      <c r="G5" s="35">
        <v>163377.60000000001</v>
      </c>
      <c r="I5" s="35"/>
      <c r="K5" s="119" t="s">
        <v>7444</v>
      </c>
      <c r="M5" s="119"/>
      <c r="N5" s="34"/>
    </row>
    <row r="6" spans="1:15">
      <c r="A6" s="136"/>
      <c r="B6" s="136"/>
      <c r="C6" s="136"/>
      <c r="D6" s="121" t="s">
        <v>7554</v>
      </c>
      <c r="E6" s="122">
        <f t="shared" si="0"/>
        <v>1.2034865596814239E-2</v>
      </c>
      <c r="F6" s="35">
        <f t="shared" si="1"/>
        <v>14916.24</v>
      </c>
      <c r="G6" s="35"/>
      <c r="H6" s="35">
        <v>14916.24</v>
      </c>
      <c r="I6" s="35"/>
      <c r="K6" s="119">
        <v>100000</v>
      </c>
      <c r="N6" s="123"/>
      <c r="O6" s="123"/>
    </row>
    <row r="7" spans="1:15">
      <c r="A7" s="136"/>
      <c r="B7" s="136"/>
      <c r="C7" s="121" t="str">
        <f>"中证1000"&amp;" , "&amp;TEXT(SUM(E7:E7),"0.00%")</f>
        <v>中证1000 , 3.43%</v>
      </c>
      <c r="D7" s="121" t="s">
        <v>7556</v>
      </c>
      <c r="E7" s="122">
        <f t="shared" si="0"/>
        <v>3.4297362785920389E-2</v>
      </c>
      <c r="F7" s="35">
        <f t="shared" si="1"/>
        <v>42508.800000000003</v>
      </c>
      <c r="G7" s="35">
        <v>42508.800000000003</v>
      </c>
      <c r="H7" s="35"/>
      <c r="I7" s="35"/>
      <c r="K7" s="119" t="s">
        <v>7445</v>
      </c>
      <c r="O7" s="124"/>
    </row>
    <row r="8" spans="1:15">
      <c r="A8" s="136"/>
      <c r="B8" s="136"/>
      <c r="C8" s="136" t="str">
        <f>"创业板"&amp;" , "&amp;TEXT(SUM(E8:E9),"0.00%")</f>
        <v>创业板 , 1.71%</v>
      </c>
      <c r="D8" s="121" t="s">
        <v>7557</v>
      </c>
      <c r="E8" s="122">
        <f t="shared" si="0"/>
        <v>1.0933833501055751E-2</v>
      </c>
      <c r="F8" s="35">
        <f t="shared" si="1"/>
        <v>13551.6</v>
      </c>
      <c r="G8" s="35">
        <v>13551.6</v>
      </c>
      <c r="I8" s="35"/>
      <c r="K8" s="119">
        <v>14242.49</v>
      </c>
      <c r="N8" s="123"/>
      <c r="O8" s="123"/>
    </row>
    <row r="9" spans="1:15">
      <c r="A9" s="136"/>
      <c r="B9" s="136"/>
      <c r="C9" s="136"/>
      <c r="D9" s="121" t="s">
        <v>7463</v>
      </c>
      <c r="E9" s="122">
        <f t="shared" si="0"/>
        <v>6.1312684022224589E-3</v>
      </c>
      <c r="F9" s="35">
        <f t="shared" si="1"/>
        <v>7599.21</v>
      </c>
      <c r="G9" s="35"/>
      <c r="H9" s="125">
        <v>7599.21</v>
      </c>
      <c r="I9" s="35"/>
      <c r="K9" s="119" t="s">
        <v>7448</v>
      </c>
      <c r="O9" s="124"/>
    </row>
    <row r="10" spans="1:15">
      <c r="A10" s="136"/>
      <c r="B10" s="121" t="str">
        <f>"红利价值"&amp;" , "&amp;TEXT(SUM(E10:E10),"0.00%")</f>
        <v>红利价值 , 5.88%</v>
      </c>
      <c r="C10" s="121" t="str">
        <f>"中证红利"&amp;" , "&amp;TEXT(SUM(E10:E10),"0.00%")</f>
        <v>中证红利 , 5.88%</v>
      </c>
      <c r="D10" s="121" t="s">
        <v>7464</v>
      </c>
      <c r="E10" s="122">
        <f t="shared" si="0"/>
        <v>5.8795326916546729E-2</v>
      </c>
      <c r="F10" s="35">
        <f t="shared" si="1"/>
        <v>72872.039999999994</v>
      </c>
      <c r="G10" s="35"/>
      <c r="H10" s="35">
        <v>72872.039999999994</v>
      </c>
      <c r="I10" s="35"/>
      <c r="K10" s="119">
        <v>305237.43</v>
      </c>
      <c r="N10" s="123"/>
      <c r="O10" s="123"/>
    </row>
    <row r="11" spans="1:15">
      <c r="A11" s="136"/>
      <c r="B11" s="136" t="str">
        <f>"行业股"&amp;" , "&amp;TEXT(SUM(E11:E19),"0.00%")</f>
        <v>行业股 , 19.18%</v>
      </c>
      <c r="C11" s="121" t="str">
        <f>"养老产业"&amp;" , "&amp;TEXT(SUM(E11:E11),"0.00%")</f>
        <v>养老产业 , 4.77%</v>
      </c>
      <c r="D11" s="121" t="s">
        <v>7466</v>
      </c>
      <c r="E11" s="122">
        <f t="shared" si="0"/>
        <v>4.7665433795906841E-2</v>
      </c>
      <c r="F11" s="35">
        <f t="shared" si="1"/>
        <v>59077.440000000002</v>
      </c>
      <c r="G11" s="35"/>
      <c r="H11" s="35">
        <v>59077.440000000002</v>
      </c>
      <c r="I11" s="35"/>
      <c r="O11" s="124"/>
    </row>
    <row r="12" spans="1:15">
      <c r="A12" s="136"/>
      <c r="B12" s="136"/>
      <c r="C12" s="136" t="str">
        <f>"全指医药"&amp;" , "&amp;TEXT(SUM(E12:E13),"0.00%")</f>
        <v>全指医药 , 3.95%</v>
      </c>
      <c r="D12" s="121" t="s">
        <v>7558</v>
      </c>
      <c r="E12" s="122">
        <f t="shared" si="0"/>
        <v>1.4197621044849158E-2</v>
      </c>
      <c r="F12" s="35">
        <f t="shared" si="1"/>
        <v>17596.8</v>
      </c>
      <c r="G12" s="35">
        <v>17596.8</v>
      </c>
      <c r="I12" s="35"/>
      <c r="N12" s="123"/>
      <c r="O12" s="123"/>
    </row>
    <row r="13" spans="1:15">
      <c r="A13" s="136"/>
      <c r="B13" s="136"/>
      <c r="C13" s="136"/>
      <c r="D13" s="121" t="s">
        <v>7467</v>
      </c>
      <c r="E13" s="122">
        <f t="shared" si="0"/>
        <v>2.5269067421280517E-2</v>
      </c>
      <c r="F13" s="35">
        <f t="shared" si="1"/>
        <v>31318.959999999999</v>
      </c>
      <c r="H13" s="35">
        <v>31318.959999999999</v>
      </c>
      <c r="O13" s="124"/>
    </row>
    <row r="14" spans="1:15">
      <c r="A14" s="136"/>
      <c r="B14" s="136"/>
      <c r="C14" s="121" t="str">
        <f>"中证传媒"&amp;" , "&amp;TEXT(SUM(E14:E14),"0.00%")</f>
        <v>中证传媒 , 2.54%</v>
      </c>
      <c r="D14" s="121" t="s">
        <v>49</v>
      </c>
      <c r="E14" s="122">
        <f t="shared" si="0"/>
        <v>2.5383249961871253E-2</v>
      </c>
      <c r="F14" s="35">
        <f t="shared" si="1"/>
        <v>31460.480000000003</v>
      </c>
      <c r="G14" s="35">
        <v>25540.9</v>
      </c>
      <c r="H14" s="35">
        <v>5919.58</v>
      </c>
      <c r="I14" s="35"/>
      <c r="N14" s="123"/>
      <c r="O14" s="123"/>
    </row>
    <row r="15" spans="1:15">
      <c r="A15" s="136"/>
      <c r="B15" s="136"/>
      <c r="C15" s="136" t="str">
        <f>"中证环保"&amp;" , "&amp;TEXT(SUM(E15:E16),"0.00%")</f>
        <v>中证环保 , 3.43%</v>
      </c>
      <c r="D15" s="121" t="s">
        <v>7471</v>
      </c>
      <c r="E15" s="122">
        <f t="shared" si="0"/>
        <v>2.0562216530970959E-2</v>
      </c>
      <c r="F15" s="35">
        <f>SUM(G15:I15)</f>
        <v>25485.200000000001</v>
      </c>
      <c r="G15" s="35">
        <v>25485.200000000001</v>
      </c>
      <c r="K15" s="126"/>
      <c r="O15" s="124"/>
    </row>
    <row r="16" spans="1:15">
      <c r="A16" s="136"/>
      <c r="B16" s="136"/>
      <c r="C16" s="136"/>
      <c r="D16" s="121" t="s">
        <v>7559</v>
      </c>
      <c r="E16" s="122">
        <f t="shared" si="0"/>
        <v>1.3703623418171022E-2</v>
      </c>
      <c r="F16" s="35">
        <f t="shared" si="1"/>
        <v>16984.53</v>
      </c>
      <c r="H16" s="35">
        <v>7554.44</v>
      </c>
      <c r="I16" s="35">
        <v>9430.09</v>
      </c>
      <c r="N16" s="123"/>
      <c r="O16" s="123"/>
    </row>
    <row r="17" spans="1:15">
      <c r="A17" s="136"/>
      <c r="B17" s="136"/>
      <c r="C17" s="121" t="str">
        <f>"全指消费"&amp;" , "&amp;TEXT(SUM(E17:E17),"0.00%")</f>
        <v>全指消费 , 0.00%</v>
      </c>
      <c r="D17" s="121" t="s">
        <v>7560</v>
      </c>
      <c r="E17" s="122">
        <f t="shared" si="0"/>
        <v>0</v>
      </c>
      <c r="F17" s="35">
        <f t="shared" si="1"/>
        <v>0</v>
      </c>
      <c r="G17" s="35"/>
      <c r="H17" s="125">
        <v>0</v>
      </c>
      <c r="I17" s="35"/>
      <c r="O17" s="124"/>
    </row>
    <row r="18" spans="1:15">
      <c r="A18" s="136"/>
      <c r="B18" s="136"/>
      <c r="C18" s="121" t="str">
        <f>"金融地产"&amp;" , "&amp;TEXT(SUM(E18:E18),"0.00%")</f>
        <v>金融地产 , 1.86%</v>
      </c>
      <c r="D18" s="121" t="s">
        <v>7561</v>
      </c>
      <c r="E18" s="122">
        <f t="shared" si="0"/>
        <v>1.8632989874262939E-2</v>
      </c>
      <c r="F18" s="35">
        <f t="shared" si="1"/>
        <v>23094.080000000002</v>
      </c>
      <c r="G18" s="35"/>
      <c r="H18" s="35">
        <v>23094.080000000002</v>
      </c>
      <c r="I18" s="35"/>
      <c r="N18" s="123"/>
    </row>
    <row r="19" spans="1:15">
      <c r="A19" s="136"/>
      <c r="B19" s="136"/>
      <c r="C19" s="121" t="str">
        <f>"证券公司"&amp;" , "&amp;TEXT(SUM(E19:E19),"0.00%")</f>
        <v>证券公司 , 2.64%</v>
      </c>
      <c r="D19" s="121" t="s">
        <v>7562</v>
      </c>
      <c r="E19" s="122">
        <f t="shared" si="0"/>
        <v>2.6409714855810944E-2</v>
      </c>
      <c r="F19" s="35">
        <f t="shared" si="1"/>
        <v>32732.7</v>
      </c>
      <c r="G19" s="35">
        <v>32732.7</v>
      </c>
      <c r="H19" s="35"/>
      <c r="I19" s="35"/>
      <c r="O19" s="124"/>
    </row>
    <row r="20" spans="1:15">
      <c r="A20" s="136" t="str">
        <f>"海外新兴"&amp;" , "&amp;TEXT(SUM(E20:E21),"0.00%")</f>
        <v>海外新兴 , 2.15%</v>
      </c>
      <c r="B20" s="121" t="str">
        <f>"香港"&amp;" , "&amp;TEXT(SUM(E20:E20),"0.00%")</f>
        <v>香港 , 0.55%</v>
      </c>
      <c r="C20" s="121" t="str">
        <f>"恒生"&amp;" , "&amp;TEXT(SUM(E20:E20),"0.00%")</f>
        <v>恒生 , 0.55%</v>
      </c>
      <c r="D20" s="121" t="s">
        <v>7563</v>
      </c>
      <c r="E20" s="122">
        <f t="shared" si="0"/>
        <v>5.5042729661111929E-3</v>
      </c>
      <c r="F20" s="35">
        <f t="shared" si="1"/>
        <v>6822.1</v>
      </c>
      <c r="G20" s="35"/>
      <c r="H20" s="125">
        <v>6822.1</v>
      </c>
      <c r="I20" s="35"/>
      <c r="N20" s="123"/>
    </row>
    <row r="21" spans="1:15" ht="28.5">
      <c r="A21" s="136"/>
      <c r="B21" s="121" t="str">
        <f>"海外互联"&amp;" , "&amp;TEXT(SUM(E21:E21),"0.00%")</f>
        <v>海外互联 , 1.60%</v>
      </c>
      <c r="C21" s="121" t="str">
        <f>"海外互联网"&amp;" , "&amp;TEXT(SUM(E21:E21),"0.00%")</f>
        <v>海外互联网 , 1.60%</v>
      </c>
      <c r="D21" s="121" t="s">
        <v>7480</v>
      </c>
      <c r="E21" s="122">
        <f t="shared" si="0"/>
        <v>1.6041775576911284E-2</v>
      </c>
      <c r="F21" s="35">
        <f t="shared" si="1"/>
        <v>19882.48</v>
      </c>
      <c r="G21" s="35"/>
      <c r="H21" s="125">
        <v>19882.48</v>
      </c>
      <c r="I21" s="35"/>
      <c r="O21" s="124"/>
    </row>
    <row r="22" spans="1:15">
      <c r="A22" s="121" t="str">
        <f>"海外成熟"&amp;" , "&amp;TEXT(SUM(E22:E22),"0.00%")</f>
        <v>海外成熟 , 1.89%</v>
      </c>
      <c r="B22" s="121" t="str">
        <f>"海外成熟"&amp;" , "&amp;TEXT(SUM(E22:E22),"0.00%")</f>
        <v>海外成熟 , 1.89%</v>
      </c>
      <c r="C22" s="121" t="str">
        <f>"德国30"&amp;" , "&amp;TEXT(SUM(E22:E22),"0.00%")</f>
        <v>德国30 , 1.89%</v>
      </c>
      <c r="D22" s="121" t="s">
        <v>7564</v>
      </c>
      <c r="E22" s="122">
        <f t="shared" si="0"/>
        <v>1.8887714082077386E-2</v>
      </c>
      <c r="F22" s="35">
        <f t="shared" si="1"/>
        <v>23409.79</v>
      </c>
      <c r="G22" s="35"/>
      <c r="H22" s="125">
        <v>23409.79</v>
      </c>
      <c r="I22" s="35"/>
      <c r="N22" s="123"/>
      <c r="O22" s="123"/>
    </row>
    <row r="23" spans="1:15">
      <c r="A23" s="136" t="str">
        <f>"商品"&amp;" , "&amp;TEXT(SUM(E23:E25),"0.00%")</f>
        <v>商品 , 3.14%</v>
      </c>
      <c r="B23" s="121" t="str">
        <f>"原油"&amp;" , "&amp;TEXT(SUM(E23:E23),"0.00%")</f>
        <v>原油 , 1.39%</v>
      </c>
      <c r="C23" s="121" t="str">
        <f>"原油"&amp;" , "&amp;TEXT(SUM(E23:E23),"0.00%")</f>
        <v>原油 , 1.39%</v>
      </c>
      <c r="D23" s="121" t="s">
        <v>7565</v>
      </c>
      <c r="E23" s="122">
        <f t="shared" si="0"/>
        <v>1.3921701420547153E-2</v>
      </c>
      <c r="F23" s="35">
        <f t="shared" si="1"/>
        <v>17254.82</v>
      </c>
      <c r="G23" s="35"/>
      <c r="H23" s="125">
        <v>17254.82</v>
      </c>
      <c r="I23" s="35"/>
      <c r="O23" s="124"/>
    </row>
    <row r="24" spans="1:15">
      <c r="A24" s="136"/>
      <c r="B24" s="121" t="str">
        <f>"黄金"&amp;" , "&amp;TEXT(SUM(E24:E24),"0.00%")</f>
        <v>黄金 , 0.60%</v>
      </c>
      <c r="C24" s="121" t="str">
        <f>"黄金"&amp;" , "&amp;TEXT(SUM(E24:E24),"0.00%")</f>
        <v>黄金 , 0.60%</v>
      </c>
      <c r="D24" s="121" t="s">
        <v>7566</v>
      </c>
      <c r="E24" s="122">
        <f t="shared" si="0"/>
        <v>5.9621488266626511E-3</v>
      </c>
      <c r="F24" s="35">
        <f t="shared" si="1"/>
        <v>7389.6</v>
      </c>
      <c r="G24" s="35">
        <v>7389.6</v>
      </c>
      <c r="H24" s="35"/>
      <c r="I24" s="35"/>
      <c r="N24" s="123"/>
      <c r="O24" s="123"/>
    </row>
    <row r="25" spans="1:15">
      <c r="A25" s="136"/>
      <c r="B25" s="121" t="str">
        <f>"白银"&amp;" , "&amp;TEXT(SUM(E25:E25),"0.00%")</f>
        <v>白银 , 1.15%</v>
      </c>
      <c r="C25" s="121" t="str">
        <f>"白银"&amp;" , "&amp;TEXT(SUM(E25:E25),"0.00%")</f>
        <v>白银 , 1.15%</v>
      </c>
      <c r="D25" s="121" t="s">
        <v>7567</v>
      </c>
      <c r="E25" s="122">
        <f t="shared" si="0"/>
        <v>1.1491264079551604E-2</v>
      </c>
      <c r="F25" s="132">
        <v>14242.49</v>
      </c>
      <c r="G25" s="35"/>
      <c r="H25" s="35"/>
      <c r="I25" s="35"/>
      <c r="O25" s="124"/>
    </row>
    <row r="26" spans="1:15">
      <c r="A26" s="136" t="str">
        <f>"债券"&amp;" , "&amp;TEXT(SUM(E26:E29),"0.00%")</f>
        <v>债券 , 6.02%</v>
      </c>
      <c r="B26" s="136" t="str">
        <f>"国内债券"&amp;" , "&amp;TEXT(SUM(E26:E28),"0.00%")</f>
        <v>国内债券 , 5.44%</v>
      </c>
      <c r="C26" s="136" t="str">
        <f>"可转债"&amp;" , "&amp;TEXT(SUM(E26:E28),"0.00%")</f>
        <v>可转债 , 5.44%</v>
      </c>
      <c r="D26" s="121" t="s">
        <v>7484</v>
      </c>
      <c r="E26" s="122">
        <f t="shared" si="0"/>
        <v>2.7653031370967231E-2</v>
      </c>
      <c r="F26" s="35">
        <f t="shared" ref="F26:F31" si="2">SUM(G26:I26)</f>
        <v>34273.69</v>
      </c>
      <c r="G26" s="35"/>
      <c r="H26" s="125">
        <v>34273.69</v>
      </c>
      <c r="I26" s="35"/>
      <c r="J26" s="122"/>
      <c r="N26" s="123"/>
      <c r="O26" s="123"/>
    </row>
    <row r="27" spans="1:15">
      <c r="A27" s="136"/>
      <c r="B27" s="136"/>
      <c r="C27" s="136"/>
      <c r="D27" s="121" t="s">
        <v>7485</v>
      </c>
      <c r="E27" s="122">
        <f t="shared" si="0"/>
        <v>5.5942344788010396E-3</v>
      </c>
      <c r="F27" s="35">
        <f t="shared" si="2"/>
        <v>6933.6</v>
      </c>
      <c r="G27" s="35"/>
      <c r="H27" s="125">
        <v>6933.6</v>
      </c>
      <c r="I27" s="35"/>
      <c r="J27" s="122"/>
      <c r="O27" s="124"/>
    </row>
    <row r="28" spans="1:15">
      <c r="A28" s="136"/>
      <c r="B28" s="136"/>
      <c r="C28" s="136"/>
      <c r="D28" s="121" t="s">
        <v>7487</v>
      </c>
      <c r="E28" s="122">
        <f t="shared" si="0"/>
        <v>2.1107988420154093E-2</v>
      </c>
      <c r="F28" s="35">
        <f t="shared" si="2"/>
        <v>26161.64</v>
      </c>
      <c r="G28" s="35"/>
      <c r="H28" s="125">
        <v>26161.64</v>
      </c>
      <c r="I28" s="35"/>
      <c r="N28" s="123"/>
      <c r="O28" s="123"/>
    </row>
    <row r="29" spans="1:15">
      <c r="A29" s="136"/>
      <c r="B29" s="121" t="str">
        <f>"海外债券"&amp;" , "&amp;TEXT(SUM(E29:E29),"0.00%")</f>
        <v>海外债券 , 0.59%</v>
      </c>
      <c r="C29" s="121" t="str">
        <f>"美元债"&amp;" , "&amp;TEXT(SUM(E29:E29),"0.00%")</f>
        <v>美元债 , 0.59%</v>
      </c>
      <c r="D29" s="121" t="s">
        <v>7568</v>
      </c>
      <c r="E29" s="122">
        <f t="shared" si="0"/>
        <v>5.8721711773786003E-3</v>
      </c>
      <c r="F29" s="35">
        <f t="shared" si="2"/>
        <v>7278.08</v>
      </c>
      <c r="G29" s="35"/>
      <c r="H29" s="125">
        <v>7278.08</v>
      </c>
      <c r="I29" s="35"/>
      <c r="O29" s="124"/>
    </row>
    <row r="30" spans="1:15">
      <c r="A30" s="136" t="str">
        <f>"现金"&amp;" , "&amp;TEXT(SUM(E30:E31),"0.00%")</f>
        <v>现金 , 12.27%</v>
      </c>
      <c r="B30" s="121" t="str">
        <f>"低风险理财"&amp;" , "&amp;TEXT(SUM(E30:E30),"0.00%")</f>
        <v>低风险理财 , 3.72%</v>
      </c>
      <c r="C30" s="121" t="str">
        <f>"货币基金"&amp;" , "&amp;TEXT(SUM(E30:E30),"0.00%")</f>
        <v>货币基金 , 3.72%</v>
      </c>
      <c r="D30" s="121" t="s">
        <v>7569</v>
      </c>
      <c r="E30" s="122">
        <f t="shared" si="0"/>
        <v>3.721426196410059E-2</v>
      </c>
      <c r="F30" s="35">
        <f t="shared" si="2"/>
        <v>46124.06</v>
      </c>
      <c r="G30" s="35"/>
      <c r="H30" s="35">
        <f>44800+1324.06</f>
        <v>46124.06</v>
      </c>
      <c r="I30" s="35"/>
      <c r="N30" s="123"/>
      <c r="O30" s="123"/>
    </row>
    <row r="31" spans="1:15">
      <c r="A31" s="136"/>
      <c r="B31" s="121" t="str">
        <f>"中低风险理财"&amp;" , "&amp;TEXT(SUM(E31:E31),"0.00%")</f>
        <v>中低风险理财 , 8.55%</v>
      </c>
      <c r="C31" s="121" t="str">
        <f>"地产定期"&amp;" , "&amp;TEXT(SUM(E31:E31),"0.00%")</f>
        <v>地产定期 , 8.55%</v>
      </c>
      <c r="D31" s="121" t="s">
        <v>7441</v>
      </c>
      <c r="E31" s="122">
        <f t="shared" si="0"/>
        <v>8.5523949283620365E-2</v>
      </c>
      <c r="F31" s="35">
        <f t="shared" si="2"/>
        <v>106000</v>
      </c>
      <c r="G31" s="35"/>
      <c r="H31" s="35">
        <f>100000+6000</f>
        <v>106000</v>
      </c>
      <c r="I31" s="35"/>
      <c r="O31" s="124"/>
    </row>
    <row r="32" spans="1:15">
      <c r="A32" s="121" t="str">
        <f>"冻结资金"&amp;" , "&amp;TEXT(SUM(E32:E32),"0.00%")</f>
        <v>冻结资金 , 24.63%</v>
      </c>
      <c r="B32" s="121" t="str">
        <f>"住房公积金"&amp;" , "&amp;TEXT(SUM(E32:E32),"0.00%")</f>
        <v>住房公积金 , 24.63%</v>
      </c>
      <c r="C32" s="121" t="str">
        <f>"公积金"&amp;" , "&amp;TEXT(SUM(E32:E32),"0.00%")</f>
        <v>公积金 , 24.63%</v>
      </c>
      <c r="D32" s="121" t="s">
        <v>7570</v>
      </c>
      <c r="E32" s="122">
        <f t="shared" si="0"/>
        <v>0.24627462719606244</v>
      </c>
      <c r="F32" s="35">
        <f>K10</f>
        <v>305237.43</v>
      </c>
      <c r="G32" s="35"/>
      <c r="H32" s="35"/>
      <c r="I32" s="35"/>
      <c r="N32" s="123"/>
      <c r="O32" s="123"/>
    </row>
    <row r="33" spans="1:16">
      <c r="C33" s="119"/>
      <c r="D33" s="119" t="s">
        <v>7424</v>
      </c>
      <c r="E33" s="124">
        <f>SUM(E2:E32)</f>
        <v>1.0000000000000002</v>
      </c>
      <c r="F33" s="35">
        <f>SUM(F2:F32)</f>
        <v>1239418.9099999997</v>
      </c>
      <c r="H33" s="119"/>
      <c r="I33" s="119"/>
      <c r="O33" s="124"/>
    </row>
    <row r="34" spans="1:16">
      <c r="D34" s="119" t="s">
        <v>7442</v>
      </c>
      <c r="E34" s="127">
        <f>F33/$K$2-1</f>
        <v>1.635040452326586E-2</v>
      </c>
      <c r="H34" s="119"/>
      <c r="I34" s="119"/>
      <c r="N34" s="123"/>
      <c r="O34" s="123"/>
    </row>
    <row r="35" spans="1:16">
      <c r="P35" s="124"/>
    </row>
    <row r="36" spans="1:16">
      <c r="A36" s="128"/>
      <c r="O36" s="123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4"/>
    </row>
    <row r="38" spans="1:16">
      <c r="A38" s="119" t="str">
        <f>C2</f>
        <v>上证50 , 0.64%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7973.1</v>
      </c>
      <c r="D38" s="34">
        <f t="shared" ref="D38:D62" si="3">C38/B38-1</f>
        <v>0.23738843390771169</v>
      </c>
      <c r="E38" s="34">
        <f>B38/$K$2</f>
        <v>5.2838016389806569E-3</v>
      </c>
      <c r="F38" s="34">
        <f>(C38-B38)/$K$2</f>
        <v>1.2543133961566179E-3</v>
      </c>
      <c r="O38" s="123"/>
    </row>
    <row r="39" spans="1:16">
      <c r="A39" s="119" t="str">
        <f>C3</f>
        <v>沪深300 , 4.67%</v>
      </c>
      <c r="B39" s="35">
        <f>SUMIFS(交易明细!M:M,交易明细!M:M,"&lt;0",交易明细!C:C,"=300ETF")*-1 - SUMIFS(交易明细!M:M,交易明细!M:M,"&gt;0",交易明细!C:C,"=300ETF")</f>
        <v>51004.06</v>
      </c>
      <c r="C39" s="35">
        <f>F3+F4</f>
        <v>57860.35</v>
      </c>
      <c r="D39" s="34">
        <f t="shared" si="3"/>
        <v>0.1344263574311535</v>
      </c>
      <c r="E39" s="34">
        <f t="shared" ref="E39:E61" si="4">B39/$K$2</f>
        <v>4.1824436108796284E-2</v>
      </c>
      <c r="F39" s="34">
        <f t="shared" ref="F39:F61" si="5">(C39-B39)/$K$2</f>
        <v>5.6223065977174932E-3</v>
      </c>
      <c r="P39" s="124"/>
    </row>
    <row r="40" spans="1:16">
      <c r="A40" s="119" t="str">
        <f>C5</f>
        <v>中证500 , 14.39%</v>
      </c>
      <c r="B40" s="35">
        <f>SUMIFS(交易明细!M:M,交易明细!M:M,"&lt;0",交易明细!C:C,"=500ETF")*-1 - SUMIFS(交易明细!M:M,交易明细!M:M,"&gt;0",交易明细!C:C,"=500ETF")</f>
        <v>186106.55</v>
      </c>
      <c r="C40" s="35">
        <f>F5+F6</f>
        <v>178293.84</v>
      </c>
      <c r="D40" s="34">
        <f t="shared" si="3"/>
        <v>-4.1979769116132659E-2</v>
      </c>
      <c r="E40" s="34">
        <f t="shared" si="4"/>
        <v>0.15261140995253125</v>
      </c>
      <c r="F40" s="34">
        <f t="shared" si="5"/>
        <v>-6.4065917542947262E-3</v>
      </c>
    </row>
    <row r="41" spans="1:16">
      <c r="A41" s="119" t="str">
        <f>C7</f>
        <v>中证1000 , 3.43%</v>
      </c>
      <c r="B41" s="35">
        <f>SUMIFS(交易明细!M:M,交易明细!M:M,"&lt;0",交易明细!C:C,"=1000ETF")*-1 - SUMIFS(交易明细!M:M,交易明细!M:M,"&gt;0",交易明细!C:C,"=1000ETF")</f>
        <v>46074.81</v>
      </c>
      <c r="C41" s="35">
        <f>F7</f>
        <v>42508.800000000003</v>
      </c>
      <c r="D41" s="34">
        <f t="shared" si="3"/>
        <v>-7.7396086929061525E-2</v>
      </c>
      <c r="E41" s="34">
        <f t="shared" si="4"/>
        <v>3.7782344132406873E-2</v>
      </c>
      <c r="F41" s="34">
        <f t="shared" si="5"/>
        <v>-2.9242055908554813E-3</v>
      </c>
    </row>
    <row r="42" spans="1:16">
      <c r="A42" s="119" t="str">
        <f>C8</f>
        <v>创业板 , 1.71%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21150.81</v>
      </c>
      <c r="D42" s="34">
        <f t="shared" si="3"/>
        <v>9.7689024931377766E-2</v>
      </c>
      <c r="E42" s="34">
        <f t="shared" si="4"/>
        <v>1.5800579971829303E-2</v>
      </c>
      <c r="F42" s="34">
        <f t="shared" si="5"/>
        <v>1.5435432507982612E-3</v>
      </c>
    </row>
    <row r="43" spans="1:16">
      <c r="A43" s="119" t="str">
        <f>C10</f>
        <v>中证红利 , 5.88%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72872.039999999994</v>
      </c>
      <c r="D43" s="34">
        <f t="shared" si="3"/>
        <v>9.8794330518697127E-2</v>
      </c>
      <c r="E43" s="34">
        <f t="shared" si="4"/>
        <v>5.4383839300937403E-2</v>
      </c>
      <c r="F43" s="34">
        <f t="shared" si="5"/>
        <v>5.3728149947725205E-3</v>
      </c>
    </row>
    <row r="44" spans="1:16">
      <c r="A44" s="119" t="str">
        <f>C11</f>
        <v>养老产业 , 4.77%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59077.440000000002</v>
      </c>
      <c r="D44" s="34">
        <f t="shared" si="3"/>
        <v>1.5076288659793935E-2</v>
      </c>
      <c r="E44" s="34">
        <f t="shared" si="4"/>
        <v>4.7725263077722513E-2</v>
      </c>
      <c r="F44" s="34">
        <f t="shared" si="5"/>
        <v>7.1951984252434625E-4</v>
      </c>
    </row>
    <row r="45" spans="1:16">
      <c r="A45" s="119" t="str">
        <f>C12</f>
        <v>全指医药 , 3.95%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48915.759999999995</v>
      </c>
      <c r="D45" s="34">
        <f t="shared" si="3"/>
        <v>1.1211400180675124E-3</v>
      </c>
      <c r="E45" s="34">
        <f t="shared" si="4"/>
        <v>4.0067063998888972E-2</v>
      </c>
      <c r="F45" s="34">
        <f t="shared" si="5"/>
        <v>4.4920788855628582E-5</v>
      </c>
    </row>
    <row r="46" spans="1:16">
      <c r="A46" s="119" t="str">
        <f>C14</f>
        <v>中证传媒 , 2.54%</v>
      </c>
      <c r="B46" s="35">
        <f>SUMIFS(交易明细!M:M,交易明细!M:M,"&lt;0",交易明细!C:C,"=传媒")*-1 - SUMIFS(交易明细!M:M,交易明细!M:M,"&gt;0",交易明细!C:C,"=传媒")</f>
        <v>36020.33</v>
      </c>
      <c r="C46" s="35">
        <f>F14</f>
        <v>31460.480000000003</v>
      </c>
      <c r="D46" s="34">
        <f t="shared" si="3"/>
        <v>-0.12659101124281757</v>
      </c>
      <c r="E46" s="34">
        <f t="shared" si="4"/>
        <v>2.9537452326398293E-2</v>
      </c>
      <c r="F46" s="34">
        <f t="shared" si="5"/>
        <v>-3.7391759595352737E-3</v>
      </c>
    </row>
    <row r="47" spans="1:16">
      <c r="A47" s="119" t="str">
        <f>C15</f>
        <v>中证环保 , 3.43%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42469.729999999996</v>
      </c>
      <c r="D47" s="34">
        <f t="shared" si="3"/>
        <v>-0.11623084521705551</v>
      </c>
      <c r="E47" s="34">
        <f t="shared" si="4"/>
        <v>3.9406331512207265E-2</v>
      </c>
      <c r="F47" s="34">
        <f t="shared" si="5"/>
        <v>-4.5802312185673384E-3</v>
      </c>
    </row>
    <row r="48" spans="1:16">
      <c r="A48" s="119" t="str">
        <f t="shared" ref="A48:A57" si="6">C17</f>
        <v>全指消费 , 0.00%</v>
      </c>
      <c r="B48" s="35">
        <f>SUMIFS(交易明细!M:M,交易明细!M:M,"&lt;0",交易明细!C:C,"=消费")*-1 - SUMIFS(交易明细!M:M,交易明细!M:M,"&gt;0",交易明细!C:C,"=消费")</f>
        <v>-3540.4400000000005</v>
      </c>
      <c r="C48" s="35">
        <f t="shared" ref="C48:C56" si="7">F17</f>
        <v>0</v>
      </c>
      <c r="D48" s="34">
        <f t="shared" si="3"/>
        <v>-1</v>
      </c>
      <c r="E48" s="34">
        <f t="shared" si="4"/>
        <v>-2.903237635925978E-3</v>
      </c>
      <c r="F48" s="34">
        <f t="shared" si="5"/>
        <v>2.903237635925978E-3</v>
      </c>
    </row>
    <row r="49" spans="1:6">
      <c r="A49" s="119" t="str">
        <f t="shared" si="6"/>
        <v>金融地产 , 1.86%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23094.080000000002</v>
      </c>
      <c r="D49" s="34">
        <f t="shared" si="3"/>
        <v>0.20281666666666687</v>
      </c>
      <c r="E49" s="34">
        <f t="shared" si="4"/>
        <v>1.5744416685434231E-2</v>
      </c>
      <c r="F49" s="34">
        <f t="shared" si="5"/>
        <v>3.1932301107508209E-3</v>
      </c>
    </row>
    <row r="50" spans="1:6">
      <c r="A50" s="119" t="str">
        <f t="shared" si="6"/>
        <v>证券公司 , 2.64%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32732.7</v>
      </c>
      <c r="D50" s="34">
        <f t="shared" si="3"/>
        <v>0.28001511020595871</v>
      </c>
      <c r="E50" s="34">
        <f t="shared" si="4"/>
        <v>2.0969693375517E-2</v>
      </c>
      <c r="F50" s="34">
        <f t="shared" si="5"/>
        <v>5.8718310015305562E-3</v>
      </c>
    </row>
    <row r="51" spans="1:6">
      <c r="A51" s="119" t="str">
        <f t="shared" si="6"/>
        <v>恒生 , 0.55%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6822.1</v>
      </c>
      <c r="D51" s="34">
        <f t="shared" si="3"/>
        <v>6.5953125000000057E-2</v>
      </c>
      <c r="E51" s="34">
        <f t="shared" si="4"/>
        <v>5.2481388951447433E-3</v>
      </c>
      <c r="F51" s="34">
        <f t="shared" si="5"/>
        <v>3.461311605688435E-4</v>
      </c>
    </row>
    <row r="52" spans="1:6">
      <c r="A52" s="119" t="str">
        <f t="shared" si="6"/>
        <v>海外互联网 , 1.60%</v>
      </c>
      <c r="B52" s="35">
        <f>SUMIFS(交易明细!M:M,交易明细!M:M,"&lt;0",交易明细!C:C,"=海外互联网")*-1 - SUMIFS(交易明细!M:M,交易明细!M:M,"&gt;0",交易明细!C:C,"=海外互联网")</f>
        <v>19200</v>
      </c>
      <c r="C52" s="35">
        <f t="shared" si="7"/>
        <v>19882.48</v>
      </c>
      <c r="D52" s="34">
        <f t="shared" si="3"/>
        <v>3.5545833333333388E-2</v>
      </c>
      <c r="E52" s="34">
        <f t="shared" si="4"/>
        <v>1.5744416685434231E-2</v>
      </c>
      <c r="F52" s="34">
        <f t="shared" si="5"/>
        <v>5.5964841143099728E-4</v>
      </c>
    </row>
    <row r="53" spans="1:6">
      <c r="A53" s="119" t="str">
        <f t="shared" si="6"/>
        <v>德国30 , 1.89%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23409.79</v>
      </c>
      <c r="D53" s="34">
        <f t="shared" si="3"/>
        <v>3.583141592920347E-2</v>
      </c>
      <c r="E53" s="34">
        <f t="shared" si="4"/>
        <v>1.8532490473479876E-2</v>
      </c>
      <c r="F53" s="34">
        <f t="shared" si="5"/>
        <v>6.6404537435926043E-4</v>
      </c>
    </row>
    <row r="54" spans="1:6">
      <c r="A54" s="119" t="str">
        <f t="shared" si="6"/>
        <v>原油 , 1.39%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17254.82</v>
      </c>
      <c r="D54" s="34">
        <f t="shared" si="3"/>
        <v>-0.10131145833333333</v>
      </c>
      <c r="E54" s="34">
        <f t="shared" si="4"/>
        <v>1.5744416685434231E-2</v>
      </c>
      <c r="F54" s="34">
        <f t="shared" si="5"/>
        <v>-1.5950898150090085E-3</v>
      </c>
    </row>
    <row r="55" spans="1:6">
      <c r="A55" s="119" t="str">
        <f t="shared" si="6"/>
        <v>黄金 , 0.60%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7389.6</v>
      </c>
      <c r="D55" s="34">
        <f t="shared" si="3"/>
        <v>0.14693871849434026</v>
      </c>
      <c r="E55" s="34">
        <f t="shared" si="4"/>
        <v>5.2833096259592375E-3</v>
      </c>
      <c r="F55" s="34">
        <f t="shared" si="5"/>
        <v>7.7632274584726261E-4</v>
      </c>
    </row>
    <row r="56" spans="1:6">
      <c r="A56" s="119" t="str">
        <f t="shared" si="6"/>
        <v>白银 , 1.15%</v>
      </c>
      <c r="B56" s="35">
        <f>SUMIFS(交易明细!M:M,交易明细!M:M,"&lt;0",交易明细!C:C,"=白银")*-1 - SUMIFS(交易明细!M:M,交易明细!M:M,"&gt;0",交易明细!C:C,"=白银")</f>
        <v>13991.010000000002</v>
      </c>
      <c r="C56" s="35">
        <f t="shared" si="7"/>
        <v>14242.49</v>
      </c>
      <c r="D56" s="34">
        <f t="shared" si="3"/>
        <v>1.7974399274962805E-2</v>
      </c>
      <c r="E56" s="34">
        <f t="shared" si="4"/>
        <v>1.1472931838024855E-2</v>
      </c>
      <c r="F56" s="34">
        <f t="shared" si="5"/>
        <v>2.0621905771109193E-4</v>
      </c>
    </row>
    <row r="57" spans="1:6">
      <c r="A57" s="119" t="str">
        <f t="shared" si="6"/>
        <v>可转债 , 5.44%</v>
      </c>
      <c r="B57" s="35">
        <f>SUMIFS(交易明细!M:M,交易明细!M:M,"&lt;0",交易明细!C:C,"=可转债")*-1 - SUMIFS(交易明细!M:M,交易明细!M:M,"&gt;0",交易明细!C:C,"=可转债")</f>
        <v>64000</v>
      </c>
      <c r="C57" s="35">
        <f>F26+F27+F28</f>
        <v>67368.929999999993</v>
      </c>
      <c r="D57" s="34">
        <f t="shared" si="3"/>
        <v>5.2639531249999871E-2</v>
      </c>
      <c r="E57" s="34">
        <f t="shared" si="4"/>
        <v>5.2481388951447439E-2</v>
      </c>
      <c r="F57" s="34">
        <f t="shared" si="5"/>
        <v>2.7625957137531161E-3</v>
      </c>
    </row>
    <row r="58" spans="1:6">
      <c r="A58" s="119" t="str">
        <f>C29</f>
        <v>美元债 , 0.59%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7278.08</v>
      </c>
      <c r="D58" s="34">
        <f t="shared" si="3"/>
        <v>0.4145598159032251</v>
      </c>
      <c r="E58" s="34">
        <f t="shared" si="4"/>
        <v>4.2191100612792376E-3</v>
      </c>
      <c r="F58" s="34">
        <f t="shared" si="5"/>
        <v>1.7490734902793651E-3</v>
      </c>
    </row>
    <row r="59" spans="1:6">
      <c r="A59" s="119" t="str">
        <f>C30</f>
        <v>货币基金 , 3.72%</v>
      </c>
      <c r="B59" s="117">
        <v>44800</v>
      </c>
      <c r="C59" s="35">
        <f>F30</f>
        <v>46124.06</v>
      </c>
      <c r="D59" s="34">
        <f t="shared" si="3"/>
        <v>2.955491071428562E-2</v>
      </c>
      <c r="E59" s="34">
        <f t="shared" si="4"/>
        <v>3.6736972266013204E-2</v>
      </c>
      <c r="F59" s="34">
        <f t="shared" si="5"/>
        <v>1.0857579352352088E-3</v>
      </c>
    </row>
    <row r="60" spans="1:6">
      <c r="A60" s="119" t="str">
        <f>C31</f>
        <v>地产定期 , 8.55%</v>
      </c>
      <c r="B60" s="119">
        <f>K6</f>
        <v>100000</v>
      </c>
      <c r="C60" s="35">
        <f>F31</f>
        <v>106000</v>
      </c>
      <c r="D60" s="34">
        <f t="shared" si="3"/>
        <v>6.0000000000000053E-2</v>
      </c>
      <c r="E60" s="34">
        <f t="shared" si="4"/>
        <v>8.2002170236636626E-2</v>
      </c>
      <c r="F60" s="34">
        <f t="shared" si="5"/>
        <v>4.9201302141981974E-3</v>
      </c>
    </row>
    <row r="61" spans="1:6">
      <c r="A61" s="119" t="str">
        <f>C32</f>
        <v>公积金 , 24.63%</v>
      </c>
      <c r="B61" s="119">
        <f>K10</f>
        <v>305237.43</v>
      </c>
      <c r="C61" s="35">
        <f>F32</f>
        <v>305237.43</v>
      </c>
      <c r="D61" s="34">
        <f t="shared" si="3"/>
        <v>0</v>
      </c>
      <c r="E61" s="34">
        <f t="shared" si="4"/>
        <v>0.2503013169745345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1214602.07</v>
      </c>
      <c r="C62" s="81">
        <f>SUM(C37:C61)</f>
        <v>1239418.9099999997</v>
      </c>
      <c r="D62" s="80">
        <f t="shared" si="3"/>
        <v>2.0432074514741716E-2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7973.1</v>
      </c>
      <c r="D67" s="34">
        <f t="shared" ref="D67:D95" si="8">C67/$C$96</f>
        <v>9.795697340902668E-3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35035</v>
      </c>
      <c r="D68" s="34">
        <f t="shared" si="8"/>
        <v>4.3043766707870836E-2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22825.35</v>
      </c>
      <c r="D69" s="34">
        <f t="shared" si="8"/>
        <v>2.8043072368360195E-2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163377.60000000001</v>
      </c>
      <c r="D70" s="34">
        <f t="shared" si="8"/>
        <v>0.20072462679297381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14916.24</v>
      </c>
      <c r="D71" s="34">
        <f t="shared" si="8"/>
        <v>1.8325992713532503E-2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42508.800000000003</v>
      </c>
      <c r="D72" s="34">
        <f t="shared" si="8"/>
        <v>5.2226027407779069E-2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13551.6</v>
      </c>
      <c r="D73" s="34">
        <f t="shared" si="8"/>
        <v>1.664940513538982E-2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7599.21</v>
      </c>
      <c r="D74" s="34">
        <f t="shared" si="8"/>
        <v>9.3363385872447299E-3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72872.039999999994</v>
      </c>
      <c r="D75" s="34">
        <f t="shared" si="8"/>
        <v>8.9530101021453729E-2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59077.440000000002</v>
      </c>
      <c r="D76" s="34">
        <f t="shared" si="8"/>
        <v>7.2582147711095668E-2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17596.8</v>
      </c>
      <c r="D77" s="34">
        <f t="shared" si="8"/>
        <v>2.1619310803626699E-2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31318.959999999999</v>
      </c>
      <c r="D78" s="34">
        <f t="shared" si="8"/>
        <v>3.8478264814418101E-2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25540.9</v>
      </c>
      <c r="D79" s="34">
        <f t="shared" si="8"/>
        <v>3.1379378938463202E-2</v>
      </c>
    </row>
    <row r="80" spans="1:4">
      <c r="A80" s="130" t="str">
        <f>基金成本!A16</f>
        <v>广发传媒</v>
      </c>
      <c r="B80" s="130" t="str">
        <f>基金成本!B16</f>
        <v>004752</v>
      </c>
      <c r="C80" s="35">
        <f>H14</f>
        <v>5919.58</v>
      </c>
      <c r="D80" s="34">
        <f t="shared" si="8"/>
        <v>7.2727564015578139E-3</v>
      </c>
    </row>
    <row r="81" spans="1:4">
      <c r="A81" s="119" t="str">
        <f>基金成本!A17</f>
        <v>环保ETF</v>
      </c>
      <c r="B81" s="119" t="str">
        <f>基金成本!B17</f>
        <v>512580</v>
      </c>
      <c r="C81" s="35">
        <f>G15</f>
        <v>25485.200000000001</v>
      </c>
      <c r="D81" s="34">
        <f t="shared" si="8"/>
        <v>3.1310946290949902E-2</v>
      </c>
    </row>
    <row r="82" spans="1:4">
      <c r="A82" s="119" t="str">
        <f>基金成本!A18</f>
        <v>广发环保</v>
      </c>
      <c r="B82" s="119" t="str">
        <f>基金成本!B18</f>
        <v>001064</v>
      </c>
      <c r="C82" s="83">
        <f>H16+I16</f>
        <v>16984.53</v>
      </c>
      <c r="D82" s="34">
        <f t="shared" si="8"/>
        <v>2.0867079976104846E-2</v>
      </c>
    </row>
    <row r="83" spans="1:4">
      <c r="A83" s="119" t="str">
        <f>基金成本!A19</f>
        <v>易方达消费</v>
      </c>
      <c r="B83" s="119" t="str">
        <f>基金成本!B19</f>
        <v>110022</v>
      </c>
      <c r="C83" s="35">
        <f>H17</f>
        <v>0</v>
      </c>
      <c r="D83" s="34">
        <f t="shared" si="8"/>
        <v>0</v>
      </c>
    </row>
    <row r="84" spans="1:4">
      <c r="A84" s="119" t="str">
        <f>基金成本!A20</f>
        <v>广发金融地产</v>
      </c>
      <c r="B84" s="119" t="str">
        <f>基金成本!B20</f>
        <v>001469</v>
      </c>
      <c r="C84" s="35">
        <f>H18</f>
        <v>23094.080000000002</v>
      </c>
      <c r="D84" s="34">
        <f t="shared" si="8"/>
        <v>2.8373232249262328E-2</v>
      </c>
    </row>
    <row r="85" spans="1:4">
      <c r="A85" s="119" t="str">
        <f>基金成本!A21</f>
        <v>证券ETF</v>
      </c>
      <c r="B85" s="119" t="str">
        <f>基金成本!B21</f>
        <v>512880</v>
      </c>
      <c r="C85" s="35">
        <f>G19</f>
        <v>32732.7</v>
      </c>
      <c r="D85" s="34">
        <f t="shared" si="8"/>
        <v>4.0215176324210747E-2</v>
      </c>
    </row>
    <row r="86" spans="1:4">
      <c r="A86" s="119" t="str">
        <f>基金成本!A22</f>
        <v>华夏恒生ETF</v>
      </c>
      <c r="B86" s="119" t="str">
        <f>基金成本!B22</f>
        <v>000071</v>
      </c>
      <c r="C86" s="35">
        <f>H20</f>
        <v>6822.1</v>
      </c>
      <c r="D86" s="34">
        <f t="shared" si="8"/>
        <v>8.3815864380695198E-3</v>
      </c>
    </row>
    <row r="87" spans="1:4">
      <c r="A87" s="119" t="str">
        <f>基金成本!A23</f>
        <v>交银海外互联网</v>
      </c>
      <c r="B87" s="119" t="str">
        <f>基金成本!B23</f>
        <v>164906</v>
      </c>
      <c r="C87" s="35">
        <f>H21</f>
        <v>19882.48</v>
      </c>
      <c r="D87" s="34">
        <f t="shared" si="8"/>
        <v>2.4427481966430929E-2</v>
      </c>
    </row>
    <row r="88" spans="1:4">
      <c r="A88" s="119" t="str">
        <f>基金成本!A24</f>
        <v>华安德国30</v>
      </c>
      <c r="B88" s="119" t="str">
        <f>基金成本!B24</f>
        <v>000614</v>
      </c>
      <c r="C88" s="35">
        <f>H22</f>
        <v>23409.79</v>
      </c>
      <c r="D88" s="34">
        <f t="shared" si="8"/>
        <v>2.8761111443991655E-2</v>
      </c>
    </row>
    <row r="89" spans="1:4">
      <c r="A89" s="119" t="str">
        <f>基金成本!A25</f>
        <v>华宝油气</v>
      </c>
      <c r="B89" s="119" t="str">
        <f>基金成本!B25</f>
        <v>162411</v>
      </c>
      <c r="C89" s="35">
        <f>H23</f>
        <v>17254.82</v>
      </c>
      <c r="D89" s="34">
        <f t="shared" si="8"/>
        <v>2.1199156462574677E-2</v>
      </c>
    </row>
    <row r="90" spans="1:4">
      <c r="A90" s="119" t="str">
        <f>基金成本!A26</f>
        <v>黄金ETF</v>
      </c>
      <c r="B90" s="119" t="str">
        <f>基金成本!B26</f>
        <v>518880</v>
      </c>
      <c r="C90" s="35">
        <f>G24</f>
        <v>7389.6</v>
      </c>
      <c r="D90" s="34">
        <f t="shared" si="8"/>
        <v>9.0788131429850819E-3</v>
      </c>
    </row>
    <row r="91" spans="1:4">
      <c r="A91" s="119" t="str">
        <f>基金成本!A27</f>
        <v>兴全可转债</v>
      </c>
      <c r="B91" s="119">
        <f>基金成本!B27</f>
        <v>340001</v>
      </c>
      <c r="C91" s="35">
        <f>H26</f>
        <v>34273.69</v>
      </c>
      <c r="D91" s="34">
        <f t="shared" si="8"/>
        <v>4.2108426333035125E-2</v>
      </c>
    </row>
    <row r="92" spans="1:4">
      <c r="A92" s="119" t="str">
        <f>基金成本!A28</f>
        <v>易方达安心债</v>
      </c>
      <c r="B92" s="119">
        <f>基金成本!B28</f>
        <v>110027</v>
      </c>
      <c r="C92" s="35">
        <f>H28</f>
        <v>26161.64</v>
      </c>
      <c r="D92" s="34">
        <f t="shared" si="8"/>
        <v>3.2142015951342993E-2</v>
      </c>
    </row>
    <row r="93" spans="1:4">
      <c r="A93" s="119" t="str">
        <f>基金成本!A29</f>
        <v>长信可转债</v>
      </c>
      <c r="B93" s="119">
        <f>基金成本!B29</f>
        <v>519977</v>
      </c>
      <c r="C93" s="35">
        <f>H27</f>
        <v>6933.6</v>
      </c>
      <c r="D93" s="34">
        <f t="shared" si="8"/>
        <v>8.518574592427379E-3</v>
      </c>
    </row>
    <row r="94" spans="1:4">
      <c r="A94" s="119" t="str">
        <f>基金成本!A30</f>
        <v>华夏海外债</v>
      </c>
      <c r="B94" s="119" t="str">
        <f>基金成本!B30</f>
        <v>001061</v>
      </c>
      <c r="C94" s="35">
        <f>H29</f>
        <v>7278.08</v>
      </c>
      <c r="D94" s="34">
        <f t="shared" si="8"/>
        <v>8.9418004167609692E-3</v>
      </c>
    </row>
    <row r="95" spans="1:4">
      <c r="A95" s="119" t="s">
        <v>7440</v>
      </c>
      <c r="B95" s="119" t="s">
        <v>7492</v>
      </c>
      <c r="C95" s="35">
        <f>C59</f>
        <v>46124.06</v>
      </c>
      <c r="D95" s="34">
        <f t="shared" si="8"/>
        <v>5.6667711667185289E-2</v>
      </c>
    </row>
    <row r="96" spans="1:4">
      <c r="C96" s="35">
        <f>SUM(C67:C95)</f>
        <v>813938.98999999976</v>
      </c>
      <c r="D96" s="84">
        <f>SUM(D67:D95)</f>
        <v>1.0000000000000002</v>
      </c>
    </row>
  </sheetData>
  <mergeCells count="15"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  <mergeCell ref="A30:A31"/>
    <mergeCell ref="A23:A25"/>
    <mergeCell ref="C26:C28"/>
    <mergeCell ref="B26:B28"/>
    <mergeCell ref="A26:A2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defaultColWidth="11" defaultRowHeight="14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zoomScaleNormal="100" workbookViewId="0">
      <selection activeCell="B3" sqref="B3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6.3755074999999994E-2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0.23263318749999998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5.7593512499999999E-2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4.5025412500000001E-2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-4.4255500000000003E-3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2.4E-2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1.7488762500000001E-2</v>
      </c>
    </row>
    <row r="22" spans="1:30">
      <c r="A22" s="105" t="s">
        <v>7439</v>
      </c>
      <c r="B22" s="34">
        <f>资产配置情况!B57/资产配置情况!$K$4</f>
        <v>0.08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6.3755074999999994E-2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5.2627196808920036E-2</v>
      </c>
    </row>
    <row r="38" spans="1:16">
      <c r="A38" s="99" t="str">
        <f t="shared" ref="A38:B38" si="17">A5</f>
        <v>中证500</v>
      </c>
      <c r="B38" s="107">
        <f t="shared" si="17"/>
        <v>0.23263318749999998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0.16500318026010827</v>
      </c>
    </row>
    <row r="39" spans="1:16">
      <c r="A39" s="99" t="str">
        <f t="shared" ref="A39:B39" si="21">A6</f>
        <v>中证1000</v>
      </c>
      <c r="B39" s="107">
        <f t="shared" si="21"/>
        <v>5.7593512499999999E-2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3.9438921987538782E-2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4.5025412500000001E-2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2.9696248505693582E-2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-4.4255500000000003E-3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-3.30237648692227E-3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2.4E-2</v>
      </c>
      <c r="L50" s="108"/>
      <c r="M50" s="108"/>
      <c r="N50" s="108">
        <v>11419.48</v>
      </c>
      <c r="O50" s="108"/>
      <c r="P50" s="109">
        <f t="shared" si="42"/>
        <v>2.4E-2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1.7488762500000001E-2</v>
      </c>
      <c r="L54" s="108"/>
      <c r="M54" s="108"/>
      <c r="N54" s="108"/>
      <c r="O54" s="108"/>
      <c r="P54" s="109">
        <f t="shared" si="42"/>
        <v>1.7488762500000001E-2</v>
      </c>
    </row>
    <row r="55" spans="1:16">
      <c r="A55" s="105" t="str">
        <f t="shared" ref="A55:B55" si="48">A22</f>
        <v>美元债</v>
      </c>
      <c r="B55" s="107">
        <f t="shared" si="48"/>
        <v>0.08</v>
      </c>
      <c r="L55" s="108"/>
      <c r="M55" s="108"/>
      <c r="N55" s="108"/>
      <c r="O55" s="108"/>
      <c r="P55" s="109">
        <f t="shared" si="42"/>
        <v>0.08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0.95570580000000005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0.76813196636521863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6.3755074999999994E-2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0.18076740056611101</v>
      </c>
    </row>
    <row r="63" spans="1:16">
      <c r="A63" s="99" t="str">
        <f t="shared" ref="A63:B63" si="63">A38</f>
        <v>中证500</v>
      </c>
      <c r="B63" s="107">
        <f t="shared" si="63"/>
        <v>0.23263318749999998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0.67093914616419525</v>
      </c>
    </row>
    <row r="64" spans="1:16">
      <c r="A64" s="99" t="str">
        <f t="shared" ref="A64:B64" si="66">A39</f>
        <v>中证1000</v>
      </c>
      <c r="B64" s="107">
        <f t="shared" si="66"/>
        <v>5.7593512499999999E-2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0.16873916982071324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4.5025412500000001E-2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0.13945479887732681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-4.4255500000000003E-3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-1.1229661091704703E-2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2.4E-2</v>
      </c>
      <c r="L75" s="108"/>
      <c r="M75" s="108"/>
      <c r="N75" s="108">
        <v>11419.48</v>
      </c>
      <c r="O75" s="108"/>
      <c r="P75" s="109">
        <f t="shared" si="87"/>
        <v>2.4E-2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1.7488762500000001E-2</v>
      </c>
      <c r="L79" s="108"/>
      <c r="M79" s="108"/>
      <c r="N79" s="108"/>
      <c r="O79" s="108"/>
      <c r="P79" s="109">
        <f t="shared" si="87"/>
        <v>1.7488762500000001E-2</v>
      </c>
    </row>
    <row r="80" spans="1:16">
      <c r="A80" s="105" t="str">
        <f t="shared" ref="A80:B80" si="93">A55</f>
        <v>美元债</v>
      </c>
      <c r="B80" s="107">
        <f t="shared" si="93"/>
        <v>0.08</v>
      </c>
      <c r="L80" s="108"/>
      <c r="M80" s="108"/>
      <c r="N80" s="108"/>
      <c r="O80" s="108"/>
      <c r="P80" s="109">
        <f t="shared" si="87"/>
        <v>0.08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0.95570580000000005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2.418002070647788</v>
      </c>
    </row>
    <row r="83" spans="1:16">
      <c r="P83" s="108" t="s">
        <v>7540</v>
      </c>
    </row>
    <row r="84" spans="1:16">
      <c r="P84" s="114">
        <f>P82*0.7</f>
        <v>1.6926014494534516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workbookViewId="0">
      <selection activeCell="K31" sqref="K31"/>
    </sheetView>
  </sheetViews>
  <sheetFormatPr defaultColWidth="8.875" defaultRowHeight="14.25"/>
  <cols>
    <col min="1" max="1" width="10.625" style="86" bestFit="1" customWidth="1"/>
    <col min="2" max="2" width="8.625" style="86" bestFit="1" customWidth="1"/>
    <col min="3" max="3" width="8.375" style="86" bestFit="1" customWidth="1"/>
    <col min="4" max="5" width="8.875" style="86" bestFit="1" customWidth="1"/>
    <col min="6" max="6" width="11.625" style="86" customWidth="1"/>
    <col min="7" max="8" width="11.625" style="86" bestFit="1" customWidth="1"/>
    <col min="9" max="9" width="12.625" style="86" bestFit="1" customWidth="1"/>
    <col min="10" max="13" width="8.5" style="86" customWidth="1"/>
    <col min="14" max="14" width="11.625" style="86" bestFit="1" customWidth="1"/>
    <col min="15" max="15" width="37.125" style="86" bestFit="1" customWidth="1"/>
    <col min="16" max="16" width="11.625" style="86" bestFit="1" customWidth="1"/>
    <col min="17" max="17" width="12.625" style="86" bestFit="1" customWidth="1"/>
    <col min="18" max="18" width="8.875" style="86"/>
    <col min="19" max="21" width="11.625" style="86" bestFit="1" customWidth="1"/>
    <col min="22" max="22" width="12.625" style="86" bestFit="1" customWidth="1"/>
    <col min="23" max="16384" width="8.87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0.12139999999999999</v>
      </c>
      <c r="D2" s="35">
        <f>交易明细!X14</f>
        <v>8.6594578109115563</v>
      </c>
      <c r="E2" s="86">
        <v>14.95</v>
      </c>
      <c r="F2" s="34">
        <f t="shared" ref="F2:F15" si="0">$E2*$K$4/$D2-1</f>
        <v>-0.48206918978823732</v>
      </c>
      <c r="G2" s="34">
        <f t="shared" ref="G2:G15" si="1">$E2*$K$6/$D2-1</f>
        <v>-0.13678198298039546</v>
      </c>
      <c r="H2" s="34">
        <f t="shared" ref="H2:H15" si="2">$E2*$K$8/$D2-1</f>
        <v>0.2085052238274463</v>
      </c>
      <c r="I2" s="34">
        <f t="shared" ref="I2:I15" si="3">$E2*$K$10/$D2-1</f>
        <v>0.72643603403920909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6.3755074999999994E-2</v>
      </c>
      <c r="C3" s="34">
        <f>交易明细!W15</f>
        <v>0.11890000000000001</v>
      </c>
      <c r="D3" s="35">
        <f>交易明细!X15</f>
        <v>11.8306174293269</v>
      </c>
      <c r="E3" s="35">
        <v>19</v>
      </c>
      <c r="F3" s="34">
        <f t="shared" si="0"/>
        <v>-0.51819927961914491</v>
      </c>
      <c r="G3" s="34">
        <f t="shared" si="1"/>
        <v>-0.19699879936524156</v>
      </c>
      <c r="H3" s="34">
        <f t="shared" si="2"/>
        <v>0.12420168088866168</v>
      </c>
      <c r="I3" s="34">
        <f t="shared" si="3"/>
        <v>0.60600240126951688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0.23263318749999998</v>
      </c>
      <c r="C4" s="34">
        <f>交易明细!W17</f>
        <v>7.8E-2</v>
      </c>
      <c r="D4" s="35">
        <f>交易明细!X17</f>
        <v>25.474387813615273</v>
      </c>
      <c r="E4" s="35">
        <v>83.24</v>
      </c>
      <c r="F4" s="34">
        <f t="shared" si="0"/>
        <v>-1.9721290940964864E-2</v>
      </c>
      <c r="G4" s="34">
        <f t="shared" si="1"/>
        <v>0.63379784843172526</v>
      </c>
      <c r="H4" s="34">
        <f t="shared" si="2"/>
        <v>1.2873169878044153</v>
      </c>
      <c r="I4" s="34">
        <f t="shared" si="3"/>
        <v>2.2675956968634505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5.7593512499999999E-2</v>
      </c>
      <c r="C5" s="34">
        <f>交易明细!W19</f>
        <v>5.8400000000000001E-2</v>
      </c>
      <c r="D5" s="35">
        <f>交易明细!X19</f>
        <v>38.399715161780172</v>
      </c>
      <c r="E5" s="35">
        <v>144.82</v>
      </c>
      <c r="F5" s="34">
        <f t="shared" si="0"/>
        <v>0.13141464245137091</v>
      </c>
      <c r="G5" s="34">
        <f t="shared" si="1"/>
        <v>0.8856910707522847</v>
      </c>
      <c r="H5" s="34">
        <f t="shared" si="2"/>
        <v>1.6399674990531987</v>
      </c>
      <c r="I5" s="34">
        <f t="shared" si="3"/>
        <v>2.7713821415045694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9.0800000000000006E-2</v>
      </c>
      <c r="D6" s="35">
        <f>交易明细!X20</f>
        <v>47.841250976050851</v>
      </c>
      <c r="E6" s="35">
        <v>137.86000000000001</v>
      </c>
      <c r="F6" s="34">
        <f t="shared" si="0"/>
        <v>-0.1355159165736769</v>
      </c>
      <c r="G6" s="34">
        <f t="shared" si="1"/>
        <v>0.44080680571053854</v>
      </c>
      <c r="H6" s="34">
        <f t="shared" si="2"/>
        <v>1.0171295279947539</v>
      </c>
      <c r="I6" s="34">
        <f t="shared" si="3"/>
        <v>1.8816136114210771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0.1295</v>
      </c>
      <c r="D7" s="35">
        <f>交易明细!X13</f>
        <v>10.278041990536218</v>
      </c>
      <c r="E7" s="35">
        <v>21.73</v>
      </c>
      <c r="F7" s="34">
        <f t="shared" si="0"/>
        <v>-0.36573522408231607</v>
      </c>
      <c r="G7" s="34">
        <f t="shared" si="1"/>
        <v>5.7107959862806368E-2</v>
      </c>
      <c r="H7" s="34">
        <f t="shared" si="2"/>
        <v>0.47995114380792891</v>
      </c>
      <c r="I7" s="34">
        <f t="shared" si="3"/>
        <v>1.1142159197256127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0.13930000000000001</v>
      </c>
      <c r="D8" s="35">
        <f>交易明细!X24</f>
        <v>23.698427862195803</v>
      </c>
      <c r="E8" s="35">
        <v>52.47</v>
      </c>
      <c r="F8" s="34">
        <f t="shared" si="0"/>
        <v>-0.33577872373929274</v>
      </c>
      <c r="G8" s="34">
        <f t="shared" si="1"/>
        <v>0.10703546043451206</v>
      </c>
      <c r="H8" s="34">
        <f t="shared" si="2"/>
        <v>0.54984964460831676</v>
      </c>
      <c r="I8" s="34">
        <f t="shared" si="3"/>
        <v>1.2140709208690241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0.10639999999999999</v>
      </c>
      <c r="D9" s="35">
        <f>交易明细!X22</f>
        <v>29.045212968889661</v>
      </c>
      <c r="E9" s="35">
        <v>74.42</v>
      </c>
      <c r="F9" s="34">
        <f t="shared" si="0"/>
        <v>-0.23133632988288333</v>
      </c>
      <c r="G9" s="34">
        <f t="shared" si="1"/>
        <v>0.28110611686186115</v>
      </c>
      <c r="H9" s="34">
        <f t="shared" si="2"/>
        <v>0.79354856360660553</v>
      </c>
      <c r="I9" s="34">
        <f t="shared" si="3"/>
        <v>1.5622122337237223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4.5025412500000001E-2</v>
      </c>
      <c r="C10" s="34">
        <f>交易明细!W28</f>
        <v>7.8600000000000003E-2</v>
      </c>
      <c r="D10" s="35">
        <f>交易明细!X28</f>
        <v>38.943044789133921</v>
      </c>
      <c r="E10" s="35">
        <v>121.16</v>
      </c>
      <c r="F10" s="34">
        <f t="shared" si="0"/>
        <v>-6.6636925879457798E-2</v>
      </c>
      <c r="G10" s="34">
        <f t="shared" si="1"/>
        <v>0.55560512353423697</v>
      </c>
      <c r="H10" s="34">
        <f t="shared" si="2"/>
        <v>1.1778471729479318</v>
      </c>
      <c r="I10" s="34">
        <f t="shared" si="3"/>
        <v>2.1112102470684739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0.1</v>
      </c>
      <c r="D11" s="35">
        <f>交易明细!X26</f>
        <v>32.307548201007393</v>
      </c>
      <c r="E11" s="35">
        <v>71.13</v>
      </c>
      <c r="F11" s="34">
        <f t="shared" si="0"/>
        <v>-0.33950419675193366</v>
      </c>
      <c r="G11" s="34">
        <f t="shared" si="1"/>
        <v>0.10082633874677716</v>
      </c>
      <c r="H11" s="34">
        <f t="shared" si="2"/>
        <v>0.5411568742454882</v>
      </c>
      <c r="I11" s="34">
        <f t="shared" si="3"/>
        <v>1.2016526774935543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交易明细!Z30</f>
        <v>-4.4255500000000003E-3</v>
      </c>
      <c r="C12" s="34">
        <f>交易明细!W30</f>
        <v>0.1875</v>
      </c>
      <c r="D12" s="35">
        <f>交易明细!X30</f>
        <v>55.983468162099186</v>
      </c>
      <c r="E12" s="35">
        <v>41.41</v>
      </c>
      <c r="F12" s="34">
        <f t="shared" si="0"/>
        <v>-0.77809520546263033</v>
      </c>
      <c r="G12" s="34">
        <f t="shared" si="1"/>
        <v>-0.63015867577105045</v>
      </c>
      <c r="H12" s="34">
        <f t="shared" si="2"/>
        <v>-0.48222214607947067</v>
      </c>
      <c r="I12" s="34">
        <f t="shared" si="3"/>
        <v>-0.26031735154210089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交易明细!Z31</f>
        <v>2.4E-2</v>
      </c>
      <c r="C13" s="34">
        <f>C2</f>
        <v>0.12139999999999999</v>
      </c>
      <c r="D13" s="35">
        <f>交易明细!Y31</f>
        <v>0.98196358748778112</v>
      </c>
      <c r="E13" s="35">
        <v>3.5</v>
      </c>
      <c r="F13" s="34">
        <f t="shared" si="0"/>
        <v>6.9286084921214686E-2</v>
      </c>
      <c r="G13" s="34">
        <f t="shared" si="1"/>
        <v>0.78214347486869085</v>
      </c>
      <c r="H13" s="34">
        <f t="shared" si="2"/>
        <v>1.4950008648161668</v>
      </c>
      <c r="I13" s="34">
        <f t="shared" si="3"/>
        <v>2.5642869497373817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1.4019490578717482</v>
      </c>
      <c r="E14" s="86">
        <v>5.04</v>
      </c>
      <c r="F14" s="34">
        <f t="shared" si="0"/>
        <v>7.8498531391230753E-2</v>
      </c>
      <c r="G14" s="34">
        <f t="shared" si="1"/>
        <v>0.79749755231871799</v>
      </c>
      <c r="H14" s="34">
        <f t="shared" si="2"/>
        <v>1.5164965732462048</v>
      </c>
      <c r="I14" s="34">
        <f t="shared" si="3"/>
        <v>2.594995104637436</v>
      </c>
      <c r="P14" s="34"/>
      <c r="Q14" s="34"/>
      <c r="R14" s="35"/>
    </row>
    <row r="15" spans="1:23">
      <c r="A15" s="102" t="s">
        <v>7437</v>
      </c>
      <c r="B15" s="85">
        <f>交易明细!Z33</f>
        <v>8.0000000000000002E-3</v>
      </c>
      <c r="C15" s="34">
        <v>0.1116</v>
      </c>
      <c r="D15" s="35">
        <f>交易明细!X33</f>
        <v>9.5949137429734446</v>
      </c>
      <c r="E15" s="35">
        <v>14.46</v>
      </c>
      <c r="F15" s="34">
        <f t="shared" si="0"/>
        <v>-0.54788546138032679</v>
      </c>
      <c r="G15" s="34">
        <f t="shared" si="1"/>
        <v>-0.24647576896721135</v>
      </c>
      <c r="H15" s="34">
        <f t="shared" si="2"/>
        <v>5.4933923445904087E-2</v>
      </c>
      <c r="I15" s="34">
        <f t="shared" si="3"/>
        <v>0.5070484620655773</v>
      </c>
      <c r="P15" s="34"/>
      <c r="Q15" s="34"/>
    </row>
    <row r="16" spans="1:23">
      <c r="A16" s="102" t="s">
        <v>7305</v>
      </c>
      <c r="B16" s="85">
        <f>交易明细!Z34</f>
        <v>2.4E-2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交易明细!Z32</f>
        <v>2.8250000000000001E-2</v>
      </c>
      <c r="C17" s="34">
        <f>交易明细!U32 / 交易明细!S32</f>
        <v>9.6754439681567675E-2</v>
      </c>
      <c r="D17" s="35">
        <f>交易明细!X32</f>
        <v>15.737049939573502</v>
      </c>
      <c r="E17" s="86">
        <v>24.7</v>
      </c>
      <c r="F17" s="34">
        <f>$E17*$K$4/$D17-1</f>
        <v>-0.52913665341009763</v>
      </c>
      <c r="G17" s="34">
        <f>$E17*$K$6/$D17-1</f>
        <v>-0.21522775568349606</v>
      </c>
      <c r="H17" s="34">
        <f>$E17*$K$8/$D17-1</f>
        <v>9.8681142043105519E-2</v>
      </c>
      <c r="I17" s="34">
        <f>$E17*$K$10/$D17-1</f>
        <v>0.56954448863300788</v>
      </c>
    </row>
    <row r="18" spans="1:16">
      <c r="A18" s="104" t="s">
        <v>7310</v>
      </c>
      <c r="B18" s="85">
        <f>交易明细!Z40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交易明细!Z37</f>
        <v>0.08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交易明细!Z36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6.9836574999999956E-2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7.180943749999999E-2</v>
      </c>
      <c r="C25" s="92">
        <f>SUM(B4:B6)</f>
        <v>0.31431231249999997</v>
      </c>
      <c r="D25" s="92">
        <f>SUM(B7:B7)</f>
        <v>8.2900000000000001E-2</v>
      </c>
      <c r="E25" s="92">
        <f>SUM(B8:B14)</f>
        <v>0.29046027499999999</v>
      </c>
      <c r="F25" s="92">
        <f>SUM(B15:B17)</f>
        <v>6.0249999999999998E-2</v>
      </c>
      <c r="G25" s="34">
        <f>SUM(B19:B19)</f>
        <v>0.08</v>
      </c>
      <c r="H25" s="34">
        <f>SUM(B18:B18)</f>
        <v>2.4E-2</v>
      </c>
      <c r="I25" s="34">
        <f>SUM(B20:B21)</f>
        <v>7.626797499999996E-2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-4.6990562500000013E-2</v>
      </c>
      <c r="C27" s="92">
        <f t="shared" ref="C27:I27" si="4">C25-C26</f>
        <v>0.13031231249999997</v>
      </c>
      <c r="D27" s="92">
        <f t="shared" si="4"/>
        <v>-9.4999999999999946E-3</v>
      </c>
      <c r="E27" s="92">
        <f t="shared" si="4"/>
        <v>6.0602750000000039E-3</v>
      </c>
      <c r="F27" s="92">
        <f t="shared" si="4"/>
        <v>-4.8850000000000005E-2</v>
      </c>
      <c r="G27" s="92">
        <f t="shared" si="4"/>
        <v>4.0100000000000004E-2</v>
      </c>
      <c r="H27" s="92">
        <f t="shared" si="4"/>
        <v>-1.4999999999999979E-3</v>
      </c>
      <c r="I27" s="92">
        <f t="shared" si="4"/>
        <v>-6.3432025000000031E-2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-0.10587288730125097</v>
      </c>
      <c r="D30" s="34">
        <f>($B30/$D$2)^(1/$D$29)-1+$C$2*$K$2</f>
        <v>-3.2243251966057901E-2</v>
      </c>
      <c r="E30" s="34">
        <f>($B30/$D$2)^(1/$E$29)-1+$C$2*$K$2</f>
        <v>1.3439956332036707E-3</v>
      </c>
      <c r="F30" s="34">
        <f>($B30/$D$2)^(1/$F$29)-1+$C$2*$K$2</f>
        <v>2.737619745147693E-2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-4.2809907845191231E-2</v>
      </c>
      <c r="K30" s="96">
        <f t="shared" si="5"/>
        <v>5.3294997196465466E-2</v>
      </c>
      <c r="L30" s="96">
        <f t="shared" si="5"/>
        <v>9.724800470131173E-2</v>
      </c>
      <c r="M30" s="96">
        <f t="shared" si="5"/>
        <v>0.1313614537494476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4.3203201715797307E-2</v>
      </c>
      <c r="D31" s="34">
        <f>($B31/$D$2)^(1/$D$29)-1+$C$2*$K$2</f>
        <v>6.2060887021053196E-2</v>
      </c>
      <c r="E31" s="34">
        <f>($B31/$D$2)^(1/$E$29)-1+$C$2*$K$2</f>
        <v>7.0256655459067591E-2</v>
      </c>
      <c r="F31" s="34">
        <f>($B31/$D$2)^(1/$F$29)-1+$C$2*$K$2</f>
        <v>7.6448846671261977E-2</v>
      </c>
      <c r="H31" s="86" t="s">
        <v>7513</v>
      </c>
      <c r="I31" s="95">
        <f>K6</f>
        <v>0.5</v>
      </c>
      <c r="J31" s="96">
        <f t="shared" si="5"/>
        <v>0.23084695800049898</v>
      </c>
      <c r="K31" s="96">
        <f t="shared" si="5"/>
        <v>0.22220666157849769</v>
      </c>
      <c r="L31" s="96">
        <f t="shared" si="5"/>
        <v>0.21945316021937908</v>
      </c>
      <c r="M31" s="96">
        <f t="shared" si="5"/>
        <v>0.21775209047566363</v>
      </c>
    </row>
    <row r="32" spans="1:16">
      <c r="B32" s="35">
        <f>E$2*$K$8</f>
        <v>10.464999999999998</v>
      </c>
      <c r="C32" s="34">
        <f>($B32/$D$2)^(1/$C$29)-1+$C$2*$K$2</f>
        <v>0.15621325792685994</v>
      </c>
      <c r="D32" s="34">
        <f>($B32/$D$2)^(1/$D$29)-1+$C$2*$K$2</f>
        <v>0.12965331969972108</v>
      </c>
      <c r="E32" s="34">
        <f>($B32/$D$2)^(1/$E$29)-1+$C$2*$K$2</f>
        <v>0.1184741985441439</v>
      </c>
      <c r="F32" s="34">
        <f>($B32/$D$2)^(1/$F$29)-1+$C$2*$K$2</f>
        <v>0.11016889379979658</v>
      </c>
      <c r="H32" s="86" t="s">
        <v>7514</v>
      </c>
      <c r="I32" s="95">
        <f>K8</f>
        <v>0.7</v>
      </c>
      <c r="J32" s="96">
        <f t="shared" si="5"/>
        <v>0.43829791808188434</v>
      </c>
      <c r="K32" s="96">
        <f t="shared" si="5"/>
        <v>0.34327399145406867</v>
      </c>
      <c r="L32" s="96">
        <f t="shared" si="5"/>
        <v>0.30495896374373155</v>
      </c>
      <c r="M32" s="96">
        <f t="shared" si="5"/>
        <v>0.27711502254042825</v>
      </c>
    </row>
    <row r="33" spans="1:13">
      <c r="B33" s="35">
        <f>E$2*$K$10</f>
        <v>14.95</v>
      </c>
      <c r="C33" s="34">
        <f>($B33/$D$2)^(1/$C$29)-1+$C$2*$K$2</f>
        <v>0.29068786156653215</v>
      </c>
      <c r="D33" s="34">
        <f>($B33/$D$2)^(1/$D$29)-1+$C$2*$K$2</f>
        <v>0.2064486086052956</v>
      </c>
      <c r="E33" s="34">
        <f>($B33/$D$2)^(1/$E$29)-1+$C$2*$K$2</f>
        <v>0.17218180001196229</v>
      </c>
      <c r="F33" s="34">
        <f>($B33/$D$2)^(1/$F$29)-1+$C$2*$K$2</f>
        <v>0.14717433387612835</v>
      </c>
      <c r="I33" s="95">
        <f>K10</f>
        <v>1</v>
      </c>
      <c r="J33" s="96">
        <f t="shared" si="5"/>
        <v>0.68515104396222393</v>
      </c>
      <c r="K33" s="96">
        <f t="shared" si="5"/>
        <v>0.48082490072553224</v>
      </c>
      <c r="L33" s="96">
        <f t="shared" si="5"/>
        <v>0.40020047388805202</v>
      </c>
      <c r="M33" s="96">
        <f t="shared" si="5"/>
        <v>0.34226177090956228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-0.12687358499221768</v>
      </c>
      <c r="D35" s="34">
        <f>($B35/$D$3)^(1/$D$29)-1+$C$3*$K$2</f>
        <v>-4.670613008661384E-2</v>
      </c>
      <c r="E35" s="34">
        <f>($B35/$D$3)^(1/$E$29)-1+$C$3*$K$2</f>
        <v>-9.8860785215806324E-3</v>
      </c>
      <c r="F35" s="34">
        <f>($B35/$D$3)^(1/$F$29)-1+$C$3*$K$2</f>
        <v>1.8754942723263612E-2</v>
      </c>
      <c r="I35" s="97" t="s">
        <v>7521</v>
      </c>
    </row>
    <row r="36" spans="1:13">
      <c r="A36" s="85">
        <f>B3</f>
        <v>6.3755074999999994E-2</v>
      </c>
      <c r="B36" s="35">
        <f>$E$3*$K$6</f>
        <v>9.5</v>
      </c>
      <c r="C36" s="34">
        <f>($B36/$D$3)^(1/$C$29)-1+$C$3*$K$2</f>
        <v>1.8652179695563764E-2</v>
      </c>
      <c r="D36" s="34">
        <f>($B36/$D$3)^(1/$D$29)-1+$C$3*$K$2</f>
        <v>4.6243976881813809E-2</v>
      </c>
      <c r="E36" s="34">
        <f>($B36/$D$3)^(1/$E$29)-1+$C$3*$K$2</f>
        <v>5.8318367204259536E-2</v>
      </c>
      <c r="F36" s="34">
        <f>($B36/$D$3)^(1/$F$29)-1+$C$3*$K$2</f>
        <v>6.7474022222660635E-2</v>
      </c>
    </row>
    <row r="37" spans="1:13">
      <c r="B37" s="35">
        <f>$E$3*$K$8</f>
        <v>13.299999999999999</v>
      </c>
      <c r="C37" s="34">
        <f>($B37/$D$3)^(1/$C$29)-1+$C$3*$K$2</f>
        <v>0.12897084284243054</v>
      </c>
      <c r="D37" s="34">
        <f>($B37/$D$3)^(1/$D$29)-1+$C$3*$K$2</f>
        <v>0.11286590795736418</v>
      </c>
      <c r="E37" s="34">
        <f>($B37/$D$3)^(1/$E$29)-1+$C$3*$K$2</f>
        <v>0.10604037951215139</v>
      </c>
      <c r="F37" s="34">
        <f>($B37/$D$3)^(1/$F$29)-1+$C$3*$K$2</f>
        <v>0.10095111553019187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0.26024286409536046</v>
      </c>
      <c r="D38" s="34">
        <f>($B38/$D$3)^(1/$D$29)-1+$C$3*$K$2</f>
        <v>0.18855855936283494</v>
      </c>
      <c r="E38" s="34">
        <f>($B38/$D$3)^(1/$E$29)-1+$C$3*$K$2</f>
        <v>0.15919602897675178</v>
      </c>
      <c r="F38" s="34">
        <f>($B38/$D$3)^(1/$F$29)-1+$C$3*$K$2</f>
        <v>0.1376899304434509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5.1882542199748638E-2</v>
      </c>
      <c r="D40" s="34">
        <f>($B40/$D$4)^(1/$D$29)-1+$C$4*$K$2</f>
        <v>5.4524254137525152E-2</v>
      </c>
      <c r="E40" s="34">
        <f>($B40/$D$4)^(1/$E$29)-1+$C$4*$K$2</f>
        <v>5.5658565858522135E-2</v>
      </c>
      <c r="F40" s="34">
        <f>($B40/$D$4)^(1/$F$29)-1+$C$4*$K$2</f>
        <v>5.6510147311902403E-2</v>
      </c>
    </row>
    <row r="41" spans="1:13">
      <c r="A41" s="85">
        <f>B4</f>
        <v>0.23263318749999998</v>
      </c>
      <c r="B41" s="86">
        <f>$E$4*$K$6</f>
        <v>41.62</v>
      </c>
      <c r="C41" s="34">
        <f>($B41/$D$4)^(1/$C$29)-1+$C$4*$K$2</f>
        <v>0.23628523771586774</v>
      </c>
      <c r="D41" s="34">
        <f>($B41/$D$4)^(1/$D$29)-1+$C$4*$K$2</f>
        <v>0.16166294094170408</v>
      </c>
      <c r="E41" s="34">
        <f>($B41/$D$4)^(1/$E$29)-1+$C$4*$K$2</f>
        <v>0.13114719851027878</v>
      </c>
      <c r="F41" s="34">
        <f>($B41/$D$4)^(1/$F$29)-1+$C$4*$K$2</f>
        <v>0.10881563872090561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0.37607532157945056</v>
      </c>
      <c r="D42" s="34">
        <f>($B42/$D$4)^(1/$D$29)-1+$C$4*$K$2</f>
        <v>0.23845452774662812</v>
      </c>
      <c r="E42" s="34">
        <f>($B42/$D$4)^(1/$E$29)-1+$C$4*$K$2</f>
        <v>0.18396588823314253</v>
      </c>
      <c r="F42" s="34">
        <f>($B42/$D$4)^(1/$F$29)-1+$C$4*$K$2</f>
        <v>0.14475711861723983</v>
      </c>
    </row>
    <row r="43" spans="1:13">
      <c r="B43" s="86">
        <f>$E$4*$K$10</f>
        <v>83.24</v>
      </c>
      <c r="C43" s="34">
        <f>($B43/$D$4)^(1/$C$29)-1+$C$4*$K$2</f>
        <v>0.54241641325365886</v>
      </c>
      <c r="D43" s="34">
        <f>($B43/$D$4)^(1/$D$29)-1+$C$4*$K$2</f>
        <v>0.32570145555342678</v>
      </c>
      <c r="E43" s="34">
        <f>($B43/$D$4)^(1/$E$29)-1+$C$4*$K$2</f>
        <v>0.2427985237467909</v>
      </c>
      <c r="F43" s="34">
        <f>($B43/$D$4)^(1/$F$29)-1+$C$4*$K$2</f>
        <v>0.18420042886792354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8.5814906172608729E-2</v>
      </c>
      <c r="D45" s="34">
        <f>($B45/$D$5)^(1/$D$29)-1+$C$5*$K$2</f>
        <v>6.8801164970292594E-2</v>
      </c>
      <c r="E45" s="34">
        <f>($B45/$D$5)^(1/$E$29)-1+$C$5*$K$2</f>
        <v>6.1594867323495332E-2</v>
      </c>
      <c r="F45" s="34">
        <f>($B45/$D$5)^(1/$F$29)-1+$C$5*$K$2</f>
        <v>5.6223411903484503E-2</v>
      </c>
      <c r="I45" s="97" t="s">
        <v>7534</v>
      </c>
    </row>
    <row r="46" spans="1:13">
      <c r="A46" s="85">
        <f>B5</f>
        <v>5.7593512499999999E-2</v>
      </c>
      <c r="B46" s="86">
        <f>$E$5*$K$6</f>
        <v>72.41</v>
      </c>
      <c r="C46" s="34">
        <f>($B46/$D$5)^(1/$C$29)-1+$C$5*$K$2</f>
        <v>0.27924528098139761</v>
      </c>
      <c r="D46" s="34">
        <f>($B46/$D$5)^(1/$D$29)-1+$C$5*$K$2</f>
        <v>0.17905679211138409</v>
      </c>
      <c r="E46" s="34">
        <f>($B46/$D$5)^(1/$E$29)-1+$C$5*$K$2</f>
        <v>0.13864574517267364</v>
      </c>
      <c r="F46" s="34">
        <f>($B46/$D$5)^(1/$F$29)-1+$C$5*$K$2</f>
        <v>0.10928429932654765</v>
      </c>
    </row>
    <row r="47" spans="1:13">
      <c r="B47" s="86">
        <f>$E$5*$K$8</f>
        <v>101.374</v>
      </c>
      <c r="C47" s="34">
        <f>($B47/$D$5)^(1/$C$29)-1+$C$5*$K$2</f>
        <v>0.42587897438053374</v>
      </c>
      <c r="D47" s="34">
        <f>($B47/$D$5)^(1/$D$29)-1+$C$5*$K$2</f>
        <v>0.25808244395469399</v>
      </c>
      <c r="E47" s="34">
        <f>($B47/$D$5)^(1/$E$29)-1+$C$5*$K$2</f>
        <v>0.19255752323817971</v>
      </c>
      <c r="F47" s="34">
        <f>($B47/$D$5)^(1/$F$29)-1+$C$5*$K$2</f>
        <v>0.14574484614915922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0.60036351550174916</v>
      </c>
      <c r="D48" s="34">
        <f>($B48/$D$5)^(1/$D$29)-1+$C$5*$K$2</f>
        <v>0.34786760959755808</v>
      </c>
      <c r="E48" s="34">
        <f>($B48/$D$5)^(1/$E$29)-1+$C$5*$K$2</f>
        <v>0.25260770633553981</v>
      </c>
      <c r="F48" s="34">
        <f>($B48/$D$5)^(1/$F$29)-1+$C$5*$K$2</f>
        <v>0.18575779676727028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2.0718476336373096E-2</v>
      </c>
      <c r="D50" s="34">
        <f>($B50/$D$6)^(1/$D$29)-1+$C$6*$K$2</f>
        <v>3.9395552920006363E-2</v>
      </c>
      <c r="E50" s="34">
        <f>($B50/$D$6)^(1/$E$29)-1+$C$6*$K$2</f>
        <v>4.7511695877649876E-2</v>
      </c>
      <c r="F50" s="34">
        <f>($B50/$D$6)^(1/$F$29)-1+$C$6*$K$2</f>
        <v>5.3643278055310176E-2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0.1975540934047903</v>
      </c>
      <c r="D51" s="34">
        <f>($B51/$D$6)^(1/$D$29)-1+$C$6*$K$2</f>
        <v>0.14387426376093732</v>
      </c>
      <c r="E51" s="34">
        <f>($B51/$D$6)^(1/$E$29)-1+$C$6*$K$2</f>
        <v>0.12165682410135088</v>
      </c>
      <c r="F51" s="34">
        <f>($B51/$D$6)^(1/$F$29)-1+$C$6*$K$2</f>
        <v>0.10529538359989705</v>
      </c>
    </row>
    <row r="52" spans="1:6">
      <c r="B52" s="86">
        <f>$E$6*$K$8</f>
        <v>96.50200000000001</v>
      </c>
      <c r="C52" s="34">
        <f>($B52/$D$6)^(1/$C$29)-1+$C$6*$K$2</f>
        <v>0.33160780488050795</v>
      </c>
      <c r="D52" s="34">
        <f>($B52/$D$6)^(1/$D$29)-1+$C$6*$K$2</f>
        <v>0.21875931445669566</v>
      </c>
      <c r="E52" s="34">
        <f>($B52/$D$6)^(1/$E$29)-1+$C$6*$K$2</f>
        <v>0.17353547635057115</v>
      </c>
      <c r="F52" s="34">
        <f>($B52/$D$6)^(1/$F$29)-1+$C$6*$K$2</f>
        <v>0.14078789237909056</v>
      </c>
    </row>
    <row r="53" spans="1:6">
      <c r="B53" s="86">
        <f>$E$6*$K$10</f>
        <v>137.86000000000001</v>
      </c>
      <c r="C53" s="34">
        <f>($B53/$D$6)^(1/$C$29)-1+$C$6*$K$2</f>
        <v>0.49112298717062547</v>
      </c>
      <c r="D53" s="34">
        <f>($B53/$D$6)^(1/$D$29)-1+$C$6*$K$2</f>
        <v>0.3038401271303352</v>
      </c>
      <c r="E53" s="34">
        <f>($B53/$D$6)^(1/$E$29)-1+$C$6*$K$2</f>
        <v>0.23132104154978655</v>
      </c>
      <c r="F53" s="34">
        <f>($B53/$D$6)^(1/$F$29)-1+$C$6*$K$2</f>
        <v>0.17973848760752048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-4.3683053076038494E-2</v>
      </c>
      <c r="D55" s="34">
        <f>($B55/$D$7)^(1/$D$29)-1+$C$7*$K$2</f>
        <v>1.0089979423109727E-2</v>
      </c>
      <c r="E55" s="34">
        <f>($B55/$D$7)^(1/$E$29)-1+$C$7*$K$2</f>
        <v>3.415380557754831E-2</v>
      </c>
      <c r="F55" s="34">
        <f>($B55/$D$7)^(1/$F$29)-1+$C$7*$K$2</f>
        <v>5.2617009083859231E-2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0.11580969442853993</v>
      </c>
      <c r="D56" s="34">
        <f>($B56/$D$7)^(1/$D$29)-1+$C$7*$K$2</f>
        <v>0.10829428377340387</v>
      </c>
      <c r="E56" s="34">
        <f>($B56/$D$7)^(1/$E$29)-1+$C$7*$K$2</f>
        <v>0.10509039050018508</v>
      </c>
      <c r="F56" s="34">
        <f>($B56/$D$7)^(1/$F$29)-1+$C$7*$K$2</f>
        <v>0.10269413425850736</v>
      </c>
    </row>
    <row r="57" spans="1:6">
      <c r="B57" s="86">
        <f>$E$7*$K$8</f>
        <v>15.210999999999999</v>
      </c>
      <c r="C57" s="34">
        <f>($B57/$D$7)^(1/$C$29)-1+$C$7*$K$2</f>
        <v>0.23671630312477443</v>
      </c>
      <c r="D57" s="34">
        <f>($B57/$D$7)^(1/$D$29)-1+$C$7*$K$2</f>
        <v>0.17868215753851924</v>
      </c>
      <c r="E57" s="34">
        <f>($B57/$D$7)^(1/$E$29)-1+$C$7*$K$2</f>
        <v>0.15472405503233955</v>
      </c>
      <c r="F57" s="34">
        <f>($B57/$D$7)^(1/$F$29)-1+$C$7*$K$2</f>
        <v>0.1371044024587792</v>
      </c>
    </row>
    <row r="58" spans="1:6">
      <c r="B58" s="86">
        <f>$E$7*$K$10</f>
        <v>21.73</v>
      </c>
      <c r="C58" s="34">
        <f>($B58/$D$7)^(1/$C$29)-1+$C$7*$K$2</f>
        <v>0.38058728971624423</v>
      </c>
      <c r="D58" s="34">
        <f>($B58/$D$7)^(1/$D$29)-1+$C$7*$K$2</f>
        <v>0.25865349289403905</v>
      </c>
      <c r="E58" s="34">
        <f>($B58/$D$7)^(1/$E$29)-1+$C$7*$K$2</f>
        <v>0.21000901779738379</v>
      </c>
      <c r="F58" s="34">
        <f>($B58/$D$7)^(1/$F$29)-1+$C$7*$K$2</f>
        <v>0.17486731284386303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-2.3013966563685567E-2</v>
      </c>
      <c r="D60" s="34">
        <f>($B60/$D$8)^(1/$D$29)-1+$C$8*$K$2</f>
        <v>2.5905442593617184E-2</v>
      </c>
      <c r="E60" s="34">
        <f>($B60/$D$8)^(1/$E$29)-1+$C$8*$K$2</f>
        <v>4.77017563593434E-2</v>
      </c>
      <c r="F60" s="34">
        <f>($B60/$D$8)^(1/$F$29)-1+$C$8*$K$2</f>
        <v>6.4386684788562826E-2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0.13895121764111065</v>
      </c>
      <c r="D61" s="34">
        <f>($B61/$D$8)^(1/$D$29)-1+$C$8*$K$2</f>
        <v>0.12502034586106583</v>
      </c>
      <c r="E61" s="34">
        <f>($B61/$D$8)^(1/$E$29)-1+$C$8*$K$2</f>
        <v>0.1191075493355235</v>
      </c>
      <c r="F61" s="34">
        <f>($B61/$D$8)^(1/$F$29)-1+$C$8*$K$2</f>
        <v>0.11469544419080427</v>
      </c>
    </row>
    <row r="62" spans="1:6">
      <c r="B62" s="86">
        <f>$E$8*$K$8</f>
        <v>36.728999999999999</v>
      </c>
      <c r="C62" s="34">
        <f>($B62/$D$8)^(1/$C$29)-1+$C$8*$K$2</f>
        <v>0.26173210552129877</v>
      </c>
      <c r="D62" s="34">
        <f>($B62/$D$8)^(1/$D$29)-1+$C$8*$K$2</f>
        <v>0.19606089083092507</v>
      </c>
      <c r="E62" s="34">
        <f>($B62/$D$8)^(1/$E$29)-1+$C$8*$K$2</f>
        <v>0.16906951435114173</v>
      </c>
      <c r="F62" s="34">
        <f>($B62/$D$8)^(1/$F$29)-1+$C$8*$K$2</f>
        <v>0.14926487879426023</v>
      </c>
    </row>
    <row r="63" spans="1:6">
      <c r="B63" s="86">
        <f>$E$8*$K$10</f>
        <v>52.47</v>
      </c>
      <c r="C63" s="34">
        <f>($B63/$D$8)^(1/$C$29)-1+$C$8*$K$2</f>
        <v>0.40783336222166555</v>
      </c>
      <c r="D63" s="34">
        <f>($B63/$D$8)^(1/$D$29)-1+$C$8*$K$2</f>
        <v>0.27677375999048659</v>
      </c>
      <c r="E63" s="34">
        <f>($B63/$D$8)^(1/$E$29)-1+$C$8*$K$2</f>
        <v>0.22472015795347869</v>
      </c>
      <c r="F63" s="34">
        <f>($B63/$D$8)^(1/$F$29)-1+$C$8*$K$2</f>
        <v>0.18720246339533034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-4.1648927961422805E-3</v>
      </c>
      <c r="D65" s="34">
        <f>($B65/$D$9)^(1/$D$29)-1+$C$9*$K$2</f>
        <v>2.8540130425086199E-2</v>
      </c>
      <c r="E65" s="34">
        <f>($B65/$D$9)^(1/$E$29)-1+$C$9*$K$2</f>
        <v>4.2911618867919624E-2</v>
      </c>
      <c r="F65" s="34">
        <f>($B65/$D$9)^(1/$F$29)-1+$C$9*$K$2</f>
        <v>5.3832920606426984E-2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0.16587971316374606</v>
      </c>
      <c r="D66" s="34">
        <f>($B66/$D$9)^(1/$D$29)-1+$C$9*$K$2</f>
        <v>0.13059263694781842</v>
      </c>
      <c r="E66" s="34">
        <f>($B66/$D$9)^(1/$E$29)-1+$C$9*$K$2</f>
        <v>0.11582277030225864</v>
      </c>
      <c r="F66" s="34">
        <f>($B66/$D$9)^(1/$F$29)-1+$C$9*$K$2</f>
        <v>0.10488177085919261</v>
      </c>
    </row>
    <row r="67" spans="1:6">
      <c r="B67" s="86">
        <f>$E$9*$K$8</f>
        <v>52.094000000000001</v>
      </c>
      <c r="C67" s="34">
        <f>($B67/$D$9)^(1/$C$29)-1+$C$9*$K$2</f>
        <v>0.29478536533521804</v>
      </c>
      <c r="D67" s="34">
        <f>($B67/$D$9)^(1/$D$29)-1+$C$9*$K$2</f>
        <v>0.20373870721489185</v>
      </c>
      <c r="E67" s="34">
        <f>($B67/$D$9)^(1/$E$29)-1+$C$9*$K$2</f>
        <v>0.16683802054149421</v>
      </c>
      <c r="F67" s="34">
        <f>($B67/$D$9)^(1/$F$29)-1+$C$9*$K$2</f>
        <v>0.13995975551559769</v>
      </c>
    </row>
    <row r="68" spans="1:6">
      <c r="B68" s="86">
        <f>$E$9*$K$10</f>
        <v>74.42</v>
      </c>
      <c r="C68" s="34">
        <f>($B68/$D$9)^(1/$C$29)-1+$C$9*$K$2</f>
        <v>0.4481746924787896</v>
      </c>
      <c r="D68" s="34">
        <f>($B68/$D$9)^(1/$D$29)-1+$C$9*$K$2</f>
        <v>0.28684377350495571</v>
      </c>
      <c r="E68" s="34">
        <f>($B68/$D$9)^(1/$E$29)-1+$C$9*$K$2</f>
        <v>0.22366187661801662</v>
      </c>
      <c r="F68" s="34">
        <f>($B68/$D$9)^(1/$F$29)-1+$C$9*$K$2</f>
        <v>0.17845543893659188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3.6225186031656864E-2</v>
      </c>
      <c r="D70" s="34">
        <f>($B70/$D$10)^(1/$D$29)-1+$C$10*$K$2</f>
        <v>4.5252475270006365E-2</v>
      </c>
      <c r="E70" s="34">
        <f>($B70/$D$10)^(1/$E$29)-1+$C$10*$K$2</f>
        <v>4.9146795366920071E-2</v>
      </c>
      <c r="F70" s="34">
        <f>($B70/$D$10)^(1/$F$29)-1+$C$10*$K$2</f>
        <v>5.2077622851165295E-2</v>
      </c>
    </row>
    <row r="71" spans="1:6">
      <c r="A71" s="85">
        <f>B10</f>
        <v>4.5025412500000001E-2</v>
      </c>
      <c r="B71" s="86">
        <f>$E$10*$K$6</f>
        <v>60.58</v>
      </c>
      <c r="C71" s="34">
        <f>($B71/$D$10)^(1/$C$29)-1+$C$10*$K$2</f>
        <v>0.21763785528009366</v>
      </c>
      <c r="D71" s="34">
        <f>($B71/$D$10)^(1/$D$29)-1+$C$10*$K$2</f>
        <v>0.15134542587153782</v>
      </c>
      <c r="E71" s="34">
        <f>($B71/$D$10)^(1/$E$29)-1+$C$10*$K$2</f>
        <v>0.12410839595653517</v>
      </c>
      <c r="F71" s="34">
        <f>($B71/$D$10)^(1/$F$29)-1+$C$10*$K$2</f>
        <v>0.10412722223149212</v>
      </c>
    </row>
    <row r="72" spans="1:6">
      <c r="B72" s="86">
        <f>$E$10*$K$8</f>
        <v>84.811999999999998</v>
      </c>
      <c r="C72" s="34">
        <f>($B72/$D$10)^(1/$C$29)-1+$C$10*$K$2</f>
        <v>0.35516129102585053</v>
      </c>
      <c r="D72" s="34">
        <f>($B72/$D$10)^(1/$D$29)-1+$C$10*$K$2</f>
        <v>0.22738748190680219</v>
      </c>
      <c r="E72" s="34">
        <f>($B72/$D$10)^(1/$E$29)-1+$C$10*$K$2</f>
        <v>0.17655832627832918</v>
      </c>
      <c r="F72" s="34">
        <f>($B72/$D$10)^(1/$F$29)-1+$C$10*$K$2</f>
        <v>0.13989286708724918</v>
      </c>
    </row>
    <row r="73" spans="1:6">
      <c r="B73" s="86">
        <f>$E$10*$K$10</f>
        <v>121.16</v>
      </c>
      <c r="C73" s="34">
        <f>($B73/$D$10)^(1/$C$29)-1+$C$10*$K$2</f>
        <v>0.51880521912493438</v>
      </c>
      <c r="D73" s="34">
        <f>($B73/$D$10)^(1/$D$29)-1+$C$10*$K$2</f>
        <v>0.31378282870492108</v>
      </c>
      <c r="E73" s="34">
        <f>($B73/$D$10)^(1/$E$29)-1+$C$10*$K$2</f>
        <v>0.23498021537722907</v>
      </c>
      <c r="F73" s="34">
        <f>($B73/$D$10)^(1/$F$29)-1+$C$10*$K$2</f>
        <v>0.17914321043511111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-5.4123267550925835E-2</v>
      </c>
      <c r="D75" s="34">
        <f>($B75/$D$11)^(1/$D$29)-1+$C$11*$K$2</f>
        <v>-4.6055048658961151E-3</v>
      </c>
      <c r="E75" s="34">
        <f>($B75/$D$11)^(1/$E$29)-1+$C$11*$K$2</f>
        <v>1.7469168458493833E-2</v>
      </c>
      <c r="F75" s="34">
        <f>($B75/$D$11)^(1/$F$29)-1+$C$11*$K$2</f>
        <v>3.4371927426534554E-2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0.10753853956143195</v>
      </c>
      <c r="D76" s="34">
        <f>($B76/$D$11)^(1/$D$29)-1+$C$11*$K$2</f>
        <v>9.4397965321535493E-2</v>
      </c>
      <c r="E76" s="34">
        <f>($B76/$D$11)^(1/$E$29)-1+$C$11*$K$2</f>
        <v>8.8817609197320124E-2</v>
      </c>
      <c r="F76" s="34">
        <f>($B76/$D$11)^(1/$F$29)-1+$C$11*$K$2</f>
        <v>8.4652398264638162E-2</v>
      </c>
    </row>
    <row r="77" spans="1:6">
      <c r="B77" s="35">
        <f>$E$11*$K$8</f>
        <v>49.790999999999997</v>
      </c>
      <c r="C77" s="34">
        <f>($B77/$D$11)^(1/$C$29)-1+$C$11*$K$2</f>
        <v>0.23008944648024859</v>
      </c>
      <c r="D77" s="34">
        <f>($B77/$D$11)^(1/$D$29)-1+$C$11*$K$2</f>
        <v>0.16535864070093825</v>
      </c>
      <c r="E77" s="34">
        <f>($B77/$D$11)^(1/$E$29)-1+$C$11*$K$2</f>
        <v>0.13873944538925592</v>
      </c>
      <c r="F77" s="34">
        <f>($B77/$D$11)^(1/$F$29)-1+$C$11*$K$2</f>
        <v>0.11920239451024922</v>
      </c>
    </row>
    <row r="78" spans="1:6">
      <c r="A78" s="85"/>
      <c r="B78" s="35">
        <f>$E$11*$K$10</f>
        <v>71.13</v>
      </c>
      <c r="C78" s="34">
        <f>($B78/$D$11)^(1/$C$29)-1+$C$11*$K$2</f>
        <v>0.37591704082115834</v>
      </c>
      <c r="D78" s="34">
        <f>($B78/$D$11)^(1/$D$29)-1+$C$11*$K$2</f>
        <v>0.24598076585217227</v>
      </c>
      <c r="E78" s="34">
        <f>($B78/$D$11)^(1/$E$29)-1+$C$11*$K$2</f>
        <v>0.19434539109261634</v>
      </c>
      <c r="F78" s="34">
        <f>($B78/$D$11)^(1/$F$29)-1+$C$11*$K$2</f>
        <v>0.15711864684616367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-0.25395667534339728</v>
      </c>
      <c r="D80" s="34">
        <f>($B80/$D$12)^(1/$D$29)-1+$C$12*$K$2</f>
        <v>-0.11937224402906732</v>
      </c>
      <c r="E80" s="34">
        <f>($B80/$D$12)^(1/$E$29)-1+$C$12*$K$2</f>
        <v>-5.2891956208997226E-2</v>
      </c>
      <c r="F80" s="34">
        <f>($B80/$D$12)^(1/$F$29)-1+$C$12*$K$2</f>
        <v>8.5912857833803091E-4</v>
      </c>
    </row>
    <row r="81" spans="1:11">
      <c r="A81" s="85">
        <f>B12</f>
        <v>-4.4255500000000003E-3</v>
      </c>
      <c r="B81" s="35">
        <f>$E$12*$K$6</f>
        <v>20.704999999999998</v>
      </c>
      <c r="C81" s="34">
        <f>($B81/$D$12)^(1/$C$29)-1+$C$12*$K$2</f>
        <v>-0.14157220487111288</v>
      </c>
      <c r="D81" s="34">
        <f>($B81/$D$12)^(1/$D$29)-1+$C$12*$K$2</f>
        <v>-3.977285357561744E-2</v>
      </c>
      <c r="E81" s="34">
        <f>($B81/$D$12)^(1/$E$29)-1+$C$12*$K$2</f>
        <v>8.1618263257730028E-3</v>
      </c>
      <c r="F81" s="34">
        <f>($B81/$D$12)^(1/$F$29)-1+$C$12*$K$2</f>
        <v>4.594380927349706E-2</v>
      </c>
    </row>
    <row r="82" spans="1:11">
      <c r="A82" s="85"/>
      <c r="B82" s="35">
        <f>$E$12*$K$8</f>
        <v>28.986999999999995</v>
      </c>
      <c r="C82" s="34">
        <f>($B82/$D$12)^(1/$C$29)-1+$C$12*$K$2</f>
        <v>-5.6376950494195666E-2</v>
      </c>
      <c r="D82" s="34">
        <f>($B82/$D$12)^(1/$D$29)-1+$C$12*$K$2</f>
        <v>1.7279959782056764E-2</v>
      </c>
      <c r="E82" s="34">
        <f>($B82/$D$12)^(1/$E$29)-1+$C$12*$K$2</f>
        <v>5.0880586526235949E-2</v>
      </c>
      <c r="F82" s="34">
        <f>($B82/$D$12)^(1/$F$29)-1+$C$12*$K$2</f>
        <v>7.6923542016410829E-2</v>
      </c>
    </row>
    <row r="83" spans="1:11">
      <c r="B83" s="35">
        <f>$E$12*$K$10</f>
        <v>41.41</v>
      </c>
      <c r="C83" s="34">
        <f>($B83/$D$12)^(1/$C$29)-1+$C$12*$K$2</f>
        <v>4.4999851256262047E-2</v>
      </c>
      <c r="D83" s="34">
        <f>($B83/$D$12)^(1/$D$29)-1+$C$12*$K$2</f>
        <v>8.2100637349727279E-2</v>
      </c>
      <c r="E83" s="34">
        <f>($B83/$D$12)^(1/$E$29)-1+$C$12*$K$2</f>
        <v>9.8463312672145253E-2</v>
      </c>
      <c r="F83" s="34">
        <f>($B83/$D$12)^(1/$F$29)-1+$C$12*$K$2</f>
        <v>0.11092167491428995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0.11363159488066224</v>
      </c>
      <c r="D85" s="34">
        <f>($B85/$D$13)^(1/$D$29)-1+$C$13*$K$2</f>
        <v>0.1045384017520247</v>
      </c>
      <c r="E85" s="34">
        <f>($B85/$D$13)^(1/$E$29)-1+$C$13*$K$2</f>
        <v>0.1006661141814468</v>
      </c>
      <c r="F85" s="34">
        <f>($B85/$D$13)^(1/$F$29)-1+$C$13*$K$2</f>
        <v>9.7771610849804264E-2</v>
      </c>
    </row>
    <row r="86" spans="1:11">
      <c r="A86" s="85">
        <f>B13</f>
        <v>2.4E-2</v>
      </c>
      <c r="B86" s="35">
        <f>$E$13*$K$6</f>
        <v>1.75</v>
      </c>
      <c r="C86" s="34">
        <f>($B86/$D$13)^(1/$C$29)-1+$C$13*$K$2</f>
        <v>0.30345454270859917</v>
      </c>
      <c r="D86" s="34">
        <f>($B86/$D$13)^(1/$D$29)-1+$C$13*$K$2</f>
        <v>0.21355564305304378</v>
      </c>
      <c r="E86" s="34">
        <f>($B86/$D$13)^(1/$E$29)-1+$C$13*$K$2</f>
        <v>0.17709782983052094</v>
      </c>
      <c r="F86" s="34">
        <f>($B86/$D$13)^(1/$F$29)-1+$C$13*$K$2</f>
        <v>0.15053366813889282</v>
      </c>
    </row>
    <row r="87" spans="1:11">
      <c r="B87" s="35">
        <f>$E$13*$K$8</f>
        <v>2.4499999999999997</v>
      </c>
      <c r="C87" s="34">
        <f>($B87/$D$13)^(1/$C$29)-1+$C$13*$K$2</f>
        <v>0.44735355525736231</v>
      </c>
      <c r="D87" s="34">
        <f>($B87/$D$13)^(1/$D$29)-1+$C$13*$K$2</f>
        <v>0.29169368261947615</v>
      </c>
      <c r="E87" s="34">
        <f>($B87/$D$13)^(1/$E$29)-1+$C$13*$K$2</f>
        <v>0.23057638589972621</v>
      </c>
      <c r="F87" s="34">
        <f>($B87/$D$13)^(1/$F$29)-1+$C$13*$K$2</f>
        <v>0.18678887519767953</v>
      </c>
    </row>
    <row r="88" spans="1:11">
      <c r="B88" s="35">
        <f>$E$13*$K$10</f>
        <v>3.5</v>
      </c>
      <c r="C88" s="34">
        <f>($B88/$D$13)^(1/$C$29)-1+$C$13*$K$2</f>
        <v>0.61858400434673178</v>
      </c>
      <c r="D88" s="34">
        <f>($B88/$D$13)^(1/$D$29)-1+$C$13*$K$2</f>
        <v>0.3804703856499202</v>
      </c>
      <c r="E88" s="34">
        <f>($B88/$D$13)^(1/$E$29)-1+$C$13*$K$2</f>
        <v>0.29014402026407915</v>
      </c>
      <c r="F88" s="34">
        <f>($B88/$D$13)^(1/$F$29)-1+$C$13*$K$2</f>
        <v>0.22657647950187423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6.2334889129129434E-2</v>
      </c>
      <c r="D90" s="34">
        <f>($B90/$D$14)^(1/$D$29)-1+$C$14*$K$2</f>
        <v>5.2053758595323685E-2</v>
      </c>
      <c r="E90" s="34">
        <f>($B90/$D$14)^(1/$E$29)-1+$C$14*$K$2</f>
        <v>4.7679173026234145E-2</v>
      </c>
      <c r="F90" s="34">
        <f>($B90/$D$14)^(1/$F$29)-1+$C$14*$K$2</f>
        <v>4.4410608568980936E-2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0.25270141944391578</v>
      </c>
      <c r="D91" s="34">
        <f>($B91/$D$14)^(1/$D$29)-1+$C$14*$K$2</f>
        <v>0.16125820371792365</v>
      </c>
      <c r="E91" s="34">
        <f>($B91/$D$14)^(1/$E$29)-1+$C$14*$K$2</f>
        <v>0.1242046143600043</v>
      </c>
      <c r="F91" s="34">
        <f>($B91/$D$14)^(1/$F$29)-1+$C$14*$K$2</f>
        <v>9.7217947787716974E-2</v>
      </c>
    </row>
    <row r="92" spans="1:11">
      <c r="B92" s="35">
        <f>$E$14*$K$8</f>
        <v>3.5279999999999996</v>
      </c>
      <c r="C92" s="34">
        <f>($B92/$D$14)^(1/$C$29)-1+$C$14*$K$2</f>
        <v>0.39701250536943078</v>
      </c>
      <c r="D92" s="34">
        <f>($B92/$D$14)^(1/$D$29)-1+$C$14*$K$2</f>
        <v>0.23953042150647119</v>
      </c>
      <c r="E92" s="34">
        <f>($B92/$D$14)^(1/$E$29)-1+$C$14*$K$2</f>
        <v>0.17774874941355601</v>
      </c>
      <c r="F92" s="34">
        <f>($B92/$D$14)^(1/$F$29)-1+$C$14*$K$2</f>
        <v>0.1335042701179644</v>
      </c>
    </row>
    <row r="93" spans="1:11">
      <c r="B93" s="35">
        <f>$E$14*$K$10</f>
        <v>5.04</v>
      </c>
      <c r="C93" s="34">
        <f>($B93/$D$14)^(1/$C$29)-1+$C$14*$K$2</f>
        <v>0.56873329492819746</v>
      </c>
      <c r="D93" s="34">
        <f>($B93/$D$14)^(1/$D$29)-1+$C$14*$K$2</f>
        <v>0.32845957141482496</v>
      </c>
      <c r="E93" s="34">
        <f>($B93/$D$14)^(1/$E$29)-1+$C$14*$K$2</f>
        <v>0.23738942959755482</v>
      </c>
      <c r="F93" s="34">
        <f>($B93/$D$14)^(1/$F$29)-1+$C$14*$K$2</f>
        <v>0.17332602129950814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-0.14879215320953199</v>
      </c>
      <c r="D95" s="34">
        <f>($B95/$D$15)^(1/$D$29)-1+$C$15*$K$2</f>
        <v>-6.3102263587917262E-2</v>
      </c>
      <c r="E95" s="34">
        <f>($B95/$D$15)^(1/$E$29)-1+$C$15*$K$2</f>
        <v>-2.3509044750258057E-2</v>
      </c>
      <c r="F95" s="34">
        <f>($B95/$D$15)^(1/$F$29)-1+$C$15*$K$2</f>
        <v>7.3870338009962566E-3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-6.3188262024664876E-3</v>
      </c>
      <c r="D96" s="34">
        <f>($B96/$D$15)^(1/$D$29)-1+$C$15*$K$2</f>
        <v>2.8673096985648905E-2</v>
      </c>
      <c r="E96" s="34">
        <f>($B96/$D$15)^(1/$E$29)-1+$C$15*$K$2</f>
        <v>4.4078569459958583E-2</v>
      </c>
      <c r="F96" s="34">
        <f>($B96/$D$15)^(1/$F$29)-1+$C$15*$K$2</f>
        <v>5.5797267245232485E-2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0.10168587662955042</v>
      </c>
      <c r="D97" s="34">
        <f>($B97/$D$15)^(1/$D$29)-1+$C$15*$K$2</f>
        <v>9.4453029316901804E-2</v>
      </c>
      <c r="E97" s="34">
        <f>($B97/$D$15)^(1/$E$29)-1+$C$15*$K$2</f>
        <v>9.1368990529666294E-2</v>
      </c>
      <c r="F97" s="34">
        <f>($B97/$D$15)^(1/$F$29)-1+$C$15*$K$2</f>
        <v>8.9062138394370716E-2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0.23020443587555761</v>
      </c>
      <c r="D98" s="34">
        <f>($B98/$D$15)^(1/$D$29)-1+$C$15*$K$2</f>
        <v>0.16918904202386853</v>
      </c>
      <c r="E98" s="34">
        <f>($B98/$D$15)^(1/$E$29)-1+$C$15*$K$2</f>
        <v>0.14404390769779718</v>
      </c>
      <c r="F98" s="34">
        <f>($B98/$D$15)^(1/$F$29)-1+$C$15*$K$2</f>
        <v>0.12556805403749116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2.4E-2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-0.14946038769176961</v>
      </c>
      <c r="D105" s="34">
        <f>($B105/$D$17)^(1/$D$29)-1+$C$17*$K$2</f>
        <v>-6.7274696493886177E-2</v>
      </c>
      <c r="E105" s="34">
        <f>($B105/$D$17)^(1/$E$29)-1+$C$17*$K$2</f>
        <v>-2.9445829658124034E-2</v>
      </c>
      <c r="F105" s="34">
        <f>($B105/$D$17)^(1/$F$29)-1+$C$17*$K$2</f>
        <v>1.3657805933320333E-5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-5.0442575020153146E-3</v>
      </c>
      <c r="D106" s="34">
        <f t="shared" ref="D106:D108" si="8">($B106/$D$17)^(1/$D$29)-1+$C$17*$K$2</f>
        <v>2.5249512707230304E-2</v>
      </c>
      <c r="E106" s="34">
        <f t="shared" ref="E106:E108" si="9">($B106/$D$17)^(1/$E$29)-1+$C$17*$K$2</f>
        <v>3.8535246059050232E-2</v>
      </c>
      <c r="F106" s="34">
        <f t="shared" ref="F106:F108" si="10">($B106/$D$17)^(1/$F$29)-1+$C$17*$K$2</f>
        <v>4.8620993645909549E-2</v>
      </c>
    </row>
    <row r="107" spans="1:11">
      <c r="A107" s="86" t="s">
        <v>7509</v>
      </c>
      <c r="B107" s="35">
        <f>$E$17*$K$8</f>
        <v>17.29</v>
      </c>
      <c r="C107" s="34">
        <f t="shared" si="7"/>
        <v>0.10443322542726841</v>
      </c>
      <c r="D107" s="34">
        <f t="shared" si="8"/>
        <v>9.1566181824247694E-2</v>
      </c>
      <c r="E107" s="34">
        <f t="shared" si="9"/>
        <v>8.6100968462532901E-2</v>
      </c>
      <c r="F107" s="34">
        <f t="shared" si="10"/>
        <v>8.2021302807447238E-2</v>
      </c>
    </row>
    <row r="108" spans="1:11">
      <c r="B108" s="35">
        <f>$E$17*$K$10</f>
        <v>24.7</v>
      </c>
      <c r="C108" s="34">
        <f t="shared" si="7"/>
        <v>0.23470429702897633</v>
      </c>
      <c r="D108" s="34">
        <f t="shared" si="8"/>
        <v>0.16691200919382565</v>
      </c>
      <c r="E108" s="34">
        <f t="shared" si="9"/>
        <v>0.13908253282527228</v>
      </c>
      <c r="F108" s="34">
        <f t="shared" si="10"/>
        <v>0.11867585238434608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0.08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6.9836574999999956E-2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E3" sqref="E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7571</v>
      </c>
      <c r="D2" s="51"/>
      <c r="E2" s="47" t="s">
        <v>158</v>
      </c>
      <c r="F2" s="48">
        <f>$B$2*K$2+$B$3*K$4+$B$4*K$5+$B$5*K$6+$B$6*K$7+$B$7*K$8+$B$8*K$9+$B$9*K$10+$B$10*K$11+$B$11*K$12+$B$12*K$13+$B13*$K$14</f>
        <v>1.255643072625E-2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6.8961613049999981E-2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6.3755074999999994E-2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0.11967883277249998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0.23263318749999998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9.1103234526250007E-2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5.7593512499999999E-2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5.0567830042499998E-2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0.11640169389249999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0.17750155587499999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交易明细!Z31</f>
        <v>2.4E-2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9.8055962621250006E-2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1.2696654437499998E-3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4.5025412500000001E-2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2.7227719291249997E-2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A16" sqref="A16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130" t="s">
        <v>7572</v>
      </c>
      <c r="B16" s="51" t="s">
        <v>7573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7471</v>
      </c>
      <c r="B17" s="51" t="s">
        <v>7472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7473</v>
      </c>
      <c r="B18" s="51" t="s">
        <v>65</v>
      </c>
      <c r="C18" s="34">
        <v>5.0000000000000001E-3</v>
      </c>
      <c r="D18" s="34">
        <v>1E-3</v>
      </c>
      <c r="E18" s="34">
        <v>0</v>
      </c>
      <c r="F18" s="34">
        <f t="shared" ref="F18" si="9">SUM(C18:E18)</f>
        <v>6.0000000000000001E-3</v>
      </c>
    </row>
    <row r="19" spans="1:6">
      <c r="A19" s="82" t="s">
        <v>7475</v>
      </c>
      <c r="B19" s="51" t="s">
        <v>7474</v>
      </c>
      <c r="C19" s="34">
        <v>1.4999999999999999E-2</v>
      </c>
      <c r="D19" s="34">
        <v>2.5000000000000001E-3</v>
      </c>
      <c r="E19" s="34">
        <v>0</v>
      </c>
      <c r="F19" s="34">
        <f t="shared" ref="F19" si="10">SUM(C19:E19)</f>
        <v>1.7499999999999998E-2</v>
      </c>
    </row>
    <row r="20" spans="1:6">
      <c r="A20" s="82" t="s">
        <v>7477</v>
      </c>
      <c r="B20" s="51" t="s">
        <v>131</v>
      </c>
      <c r="C20" s="34">
        <v>5.0000000000000001E-3</v>
      </c>
      <c r="D20" s="34">
        <v>1E-3</v>
      </c>
      <c r="E20" s="34">
        <v>0</v>
      </c>
      <c r="F20" s="34">
        <f t="shared" ref="F20:F25" si="11">SUM(C20:E20)</f>
        <v>6.0000000000000001E-3</v>
      </c>
    </row>
    <row r="21" spans="1:6">
      <c r="A21" s="82" t="s">
        <v>48</v>
      </c>
      <c r="B21" s="51" t="s">
        <v>7476</v>
      </c>
      <c r="C21" s="34">
        <v>5.0000000000000001E-3</v>
      </c>
      <c r="D21" s="34">
        <v>1E-3</v>
      </c>
      <c r="E21" s="34">
        <v>0</v>
      </c>
      <c r="F21" s="34">
        <f t="shared" si="11"/>
        <v>6.0000000000000001E-3</v>
      </c>
    </row>
    <row r="22" spans="1:6">
      <c r="A22" s="82" t="s">
        <v>7478</v>
      </c>
      <c r="B22" s="51" t="s">
        <v>66</v>
      </c>
      <c r="C22" s="34">
        <v>6.0000000000000001E-3</v>
      </c>
      <c r="D22" s="34">
        <v>1.5E-3</v>
      </c>
      <c r="E22" s="34">
        <v>0</v>
      </c>
      <c r="F22" s="34">
        <f t="shared" si="11"/>
        <v>7.4999999999999997E-3</v>
      </c>
    </row>
    <row r="23" spans="1:6">
      <c r="A23" s="82" t="s">
        <v>7480</v>
      </c>
      <c r="B23" s="51" t="s">
        <v>7481</v>
      </c>
      <c r="C23" s="34">
        <v>1.2E-2</v>
      </c>
      <c r="D23" s="34">
        <v>2.5000000000000001E-3</v>
      </c>
      <c r="E23" s="34">
        <v>0</v>
      </c>
      <c r="F23" s="34">
        <f t="shared" si="11"/>
        <v>1.4500000000000001E-2</v>
      </c>
    </row>
    <row r="24" spans="1:6">
      <c r="A24" s="82" t="s">
        <v>7479</v>
      </c>
      <c r="B24" s="51" t="s">
        <v>132</v>
      </c>
      <c r="C24" s="34">
        <v>8.0000000000000002E-3</v>
      </c>
      <c r="D24" s="34">
        <v>2E-3</v>
      </c>
      <c r="E24" s="34">
        <v>0</v>
      </c>
      <c r="F24" s="34">
        <f t="shared" si="11"/>
        <v>0.01</v>
      </c>
    </row>
    <row r="25" spans="1:6">
      <c r="A25" s="82" t="s">
        <v>7482</v>
      </c>
      <c r="B25" s="51" t="s">
        <v>7312</v>
      </c>
      <c r="C25" s="34">
        <v>0.01</v>
      </c>
      <c r="D25" s="34">
        <v>2.8E-3</v>
      </c>
      <c r="E25" s="34">
        <v>0</v>
      </c>
      <c r="F25" s="34">
        <f t="shared" si="11"/>
        <v>1.2800000000000001E-2</v>
      </c>
    </row>
    <row r="26" spans="1:6">
      <c r="A26" s="82" t="s">
        <v>7483</v>
      </c>
      <c r="B26" s="51" t="s">
        <v>7486</v>
      </c>
      <c r="C26" s="34">
        <v>5.0000000000000001E-3</v>
      </c>
      <c r="D26" s="34">
        <v>1E-3</v>
      </c>
      <c r="E26" s="34">
        <v>0</v>
      </c>
      <c r="F26" s="34">
        <f t="shared" ref="F26" si="12">SUM(C26:E26)</f>
        <v>6.0000000000000001E-3</v>
      </c>
    </row>
    <row r="27" spans="1:6">
      <c r="A27" s="82" t="s">
        <v>7484</v>
      </c>
      <c r="B27" s="51">
        <v>340001</v>
      </c>
      <c r="C27" s="34">
        <v>1.3000000000000001E-2</v>
      </c>
      <c r="D27" s="34">
        <v>2.5000000000000001E-3</v>
      </c>
      <c r="E27" s="34">
        <v>0</v>
      </c>
      <c r="F27" s="34">
        <f t="shared" ref="F27:F30" si="13">SUM(C27:E27)</f>
        <v>1.5500000000000002E-2</v>
      </c>
    </row>
    <row r="28" spans="1:6">
      <c r="A28" s="82" t="s">
        <v>7487</v>
      </c>
      <c r="B28" s="51">
        <v>110027</v>
      </c>
      <c r="C28" s="34">
        <v>7.0000000000000001E-3</v>
      </c>
      <c r="D28" s="34">
        <v>2E-3</v>
      </c>
      <c r="E28" s="34">
        <v>0</v>
      </c>
      <c r="F28" s="34">
        <f t="shared" si="13"/>
        <v>9.0000000000000011E-3</v>
      </c>
    </row>
    <row r="29" spans="1:6">
      <c r="A29" s="82" t="s">
        <v>7485</v>
      </c>
      <c r="B29" s="51">
        <v>519977</v>
      </c>
      <c r="C29" s="34">
        <v>7.0000000000000001E-3</v>
      </c>
      <c r="D29" s="34">
        <v>2E-3</v>
      </c>
      <c r="E29" s="34">
        <v>0</v>
      </c>
      <c r="F29" s="34">
        <f t="shared" si="13"/>
        <v>9.0000000000000011E-3</v>
      </c>
    </row>
    <row r="30" spans="1:6">
      <c r="A30" s="82" t="s">
        <v>7488</v>
      </c>
      <c r="B30" s="51" t="s">
        <v>7315</v>
      </c>
      <c r="C30" s="34">
        <v>7.4999999999999997E-3</v>
      </c>
      <c r="D30" s="34">
        <v>2.2000000000000001E-3</v>
      </c>
      <c r="E30" s="34">
        <v>0</v>
      </c>
      <c r="F30" s="34">
        <f t="shared" si="13"/>
        <v>9.7000000000000003E-3</v>
      </c>
    </row>
    <row r="31" spans="1:6">
      <c r="B31" s="27"/>
    </row>
    <row r="32" spans="1:6">
      <c r="B32" s="27"/>
    </row>
  </sheetData>
  <phoneticPr fontId="3" type="noConversion"/>
  <conditionalFormatting sqref="F2:F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C</cp:lastModifiedBy>
  <dcterms:created xsi:type="dcterms:W3CDTF">2018-05-19T08:29:27Z</dcterms:created>
  <dcterms:modified xsi:type="dcterms:W3CDTF">2019-06-30T13:07:11Z</dcterms:modified>
</cp:coreProperties>
</file>