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B12BC959-2464-422C-BE00-B7832BB019DD}" xr6:coauthVersionLast="45" xr6:coauthVersionMax="45" xr10:uidLastSave="{00000000-0000-0000-0000-000000000000}"/>
  <bookViews>
    <workbookView xWindow="14310" yWindow="3570" windowWidth="28800" windowHeight="15435" activeTab="2" xr2:uid="{00000000-000D-0000-FFFF-FFFF00000000}"/>
  </bookViews>
  <sheets>
    <sheet name="201508-201612" sheetId="3" r:id="rId1"/>
    <sheet name="201701-201912" sheetId="1" r:id="rId2"/>
    <sheet name="华泰证券交易记录整合" sheetId="2" r:id="rId3"/>
  </sheets>
  <definedNames>
    <definedName name="_xlnm._FilterDatabase" localSheetId="1" hidden="1">'201701-201912'!$A$1:$M$538</definedName>
    <definedName name="_xlnm._FilterDatabase" localSheetId="2" hidden="1">华泰证券交易记录整合!$A$1:$M$685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85" i="2" l="1"/>
  <c r="L684" i="2"/>
  <c r="L683" i="2"/>
  <c r="L682" i="2"/>
  <c r="C685" i="2"/>
  <c r="C684" i="2"/>
  <c r="C683" i="2"/>
  <c r="C682" i="2"/>
  <c r="D685" i="2"/>
  <c r="D684" i="2"/>
  <c r="D683" i="2"/>
  <c r="D682" i="2"/>
  <c r="D147" i="2" l="1"/>
  <c r="D148" i="2"/>
  <c r="D150" i="2"/>
  <c r="D153" i="2"/>
  <c r="D154" i="2"/>
  <c r="D155" i="2"/>
  <c r="D161" i="2"/>
  <c r="D162" i="2"/>
  <c r="D163" i="2"/>
  <c r="D167" i="2"/>
  <c r="D168" i="2"/>
  <c r="D169" i="2"/>
  <c r="D170" i="2"/>
  <c r="D175" i="2"/>
  <c r="D176" i="2"/>
  <c r="D177" i="2"/>
  <c r="D180" i="2"/>
  <c r="D181" i="2"/>
  <c r="D182" i="2"/>
  <c r="C357" i="2"/>
  <c r="M681" i="2"/>
  <c r="L681" i="2"/>
  <c r="F681" i="2"/>
  <c r="E681" i="2"/>
  <c r="C681" i="2"/>
  <c r="A681" i="2"/>
  <c r="M680" i="2"/>
  <c r="L680" i="2"/>
  <c r="F680" i="2"/>
  <c r="E680" i="2"/>
  <c r="A680" i="2"/>
  <c r="M679" i="2"/>
  <c r="L679" i="2"/>
  <c r="F679" i="2"/>
  <c r="E679" i="2"/>
  <c r="C679" i="2"/>
  <c r="A679" i="2"/>
  <c r="M678" i="2"/>
  <c r="L678" i="2"/>
  <c r="F678" i="2"/>
  <c r="E678" i="2"/>
  <c r="C678" i="2"/>
  <c r="A678" i="2"/>
  <c r="M677" i="2"/>
  <c r="L677" i="2"/>
  <c r="F677" i="2"/>
  <c r="E677" i="2"/>
  <c r="A677" i="2"/>
  <c r="M676" i="2"/>
  <c r="L676" i="2"/>
  <c r="F676" i="2"/>
  <c r="E676" i="2"/>
  <c r="A676" i="2"/>
  <c r="M675" i="2"/>
  <c r="L675" i="2"/>
  <c r="F675" i="2"/>
  <c r="E675" i="2"/>
  <c r="C675" i="2"/>
  <c r="A675" i="2"/>
  <c r="M674" i="2"/>
  <c r="L674" i="2"/>
  <c r="F674" i="2"/>
  <c r="E674" i="2"/>
  <c r="A674" i="2"/>
  <c r="M673" i="2"/>
  <c r="L673" i="2"/>
  <c r="F673" i="2"/>
  <c r="E673" i="2"/>
  <c r="D673" i="2"/>
  <c r="C673" i="2"/>
  <c r="A673" i="2"/>
  <c r="M672" i="2"/>
  <c r="L672" i="2"/>
  <c r="F672" i="2"/>
  <c r="E672" i="2"/>
  <c r="A672" i="2"/>
  <c r="M671" i="2"/>
  <c r="L671" i="2"/>
  <c r="F671" i="2"/>
  <c r="E671" i="2"/>
  <c r="C671" i="2"/>
  <c r="A671" i="2"/>
  <c r="M670" i="2"/>
  <c r="L670" i="2"/>
  <c r="F670" i="2"/>
  <c r="E670" i="2"/>
  <c r="C670" i="2"/>
  <c r="A670" i="2"/>
  <c r="M669" i="2"/>
  <c r="L669" i="2"/>
  <c r="F669" i="2"/>
  <c r="E669" i="2"/>
  <c r="A669" i="2"/>
  <c r="M668" i="2"/>
  <c r="L668" i="2"/>
  <c r="F668" i="2"/>
  <c r="E668" i="2"/>
  <c r="C668" i="2"/>
  <c r="A668" i="2"/>
  <c r="M667" i="2"/>
  <c r="L667" i="2"/>
  <c r="F667" i="2"/>
  <c r="E667" i="2"/>
  <c r="D667" i="2"/>
  <c r="C667" i="2"/>
  <c r="A667" i="2"/>
  <c r="M666" i="2"/>
  <c r="L666" i="2"/>
  <c r="F666" i="2"/>
  <c r="E666" i="2"/>
  <c r="A666" i="2"/>
  <c r="M660" i="2"/>
  <c r="L660" i="2"/>
  <c r="F660" i="2"/>
  <c r="E660" i="2"/>
  <c r="A660" i="2"/>
  <c r="M659" i="2"/>
  <c r="L659" i="2"/>
  <c r="F659" i="2"/>
  <c r="E659" i="2"/>
  <c r="A659" i="2"/>
  <c r="M658" i="2"/>
  <c r="L658" i="2"/>
  <c r="F658" i="2"/>
  <c r="E658" i="2"/>
  <c r="A658" i="2"/>
  <c r="M657" i="2"/>
  <c r="L657" i="2"/>
  <c r="F657" i="2"/>
  <c r="E657" i="2"/>
  <c r="D657" i="2"/>
  <c r="C657" i="2"/>
  <c r="A657" i="2"/>
  <c r="M656" i="2"/>
  <c r="L656" i="2"/>
  <c r="F656" i="2"/>
  <c r="E656" i="2"/>
  <c r="D656" i="2"/>
  <c r="C656" i="2"/>
  <c r="A656" i="2"/>
  <c r="M655" i="2"/>
  <c r="L655" i="2"/>
  <c r="F655" i="2"/>
  <c r="E655" i="2"/>
  <c r="A655" i="2"/>
  <c r="M654" i="2"/>
  <c r="L654" i="2"/>
  <c r="F654" i="2"/>
  <c r="E654" i="2"/>
  <c r="A654" i="2"/>
  <c r="M653" i="2"/>
  <c r="L653" i="2"/>
  <c r="F653" i="2"/>
  <c r="E653" i="2"/>
  <c r="A653" i="2"/>
  <c r="M652" i="2"/>
  <c r="L652" i="2"/>
  <c r="F652" i="2"/>
  <c r="E652" i="2"/>
  <c r="D652" i="2"/>
  <c r="C652" i="2"/>
  <c r="A652" i="2"/>
  <c r="M651" i="2"/>
  <c r="L651" i="2"/>
  <c r="F651" i="2"/>
  <c r="E651" i="2"/>
  <c r="C651" i="2"/>
  <c r="A651" i="2"/>
  <c r="M650" i="2"/>
  <c r="L650" i="2"/>
  <c r="F650" i="2"/>
  <c r="E650" i="2"/>
  <c r="A650" i="2"/>
  <c r="M649" i="2"/>
  <c r="L649" i="2"/>
  <c r="F649" i="2"/>
  <c r="E649" i="2"/>
  <c r="D649" i="2"/>
  <c r="C649" i="2"/>
  <c r="A649" i="2"/>
  <c r="M648" i="2"/>
  <c r="L648" i="2"/>
  <c r="F648" i="2"/>
  <c r="E648" i="2"/>
  <c r="D648" i="2"/>
  <c r="C648" i="2"/>
  <c r="A648" i="2"/>
  <c r="M647" i="2"/>
  <c r="L647" i="2"/>
  <c r="F647" i="2"/>
  <c r="E647" i="2"/>
  <c r="A647" i="2"/>
  <c r="M646" i="2"/>
  <c r="L646" i="2"/>
  <c r="F646" i="2"/>
  <c r="E646" i="2"/>
  <c r="C646" i="2"/>
  <c r="A646" i="2"/>
  <c r="M645" i="2"/>
  <c r="L645" i="2"/>
  <c r="F645" i="2"/>
  <c r="E645" i="2"/>
  <c r="C645" i="2"/>
  <c r="A645" i="2"/>
  <c r="M644" i="2"/>
  <c r="L644" i="2"/>
  <c r="F644" i="2"/>
  <c r="E644" i="2"/>
  <c r="A644" i="2"/>
  <c r="M643" i="2"/>
  <c r="L643" i="2"/>
  <c r="F643" i="2"/>
  <c r="E643" i="2"/>
  <c r="D643" i="2"/>
  <c r="C643" i="2"/>
  <c r="A643" i="2"/>
  <c r="M642" i="2"/>
  <c r="L642" i="2"/>
  <c r="F642" i="2"/>
  <c r="E642" i="2"/>
  <c r="A642" i="2"/>
  <c r="M641" i="2"/>
  <c r="L641" i="2"/>
  <c r="F641" i="2"/>
  <c r="E641" i="2"/>
  <c r="C641" i="2"/>
  <c r="A641" i="2"/>
  <c r="M640" i="2"/>
  <c r="L640" i="2"/>
  <c r="F640" i="2"/>
  <c r="E640" i="2"/>
  <c r="A640" i="2"/>
  <c r="M639" i="2"/>
  <c r="L639" i="2"/>
  <c r="F639" i="2"/>
  <c r="E639" i="2"/>
  <c r="C639" i="2"/>
  <c r="A639" i="2"/>
  <c r="M638" i="2"/>
  <c r="L638" i="2"/>
  <c r="F638" i="2"/>
  <c r="E638" i="2"/>
  <c r="C638" i="2"/>
  <c r="A638" i="2"/>
  <c r="M637" i="2"/>
  <c r="L637" i="2"/>
  <c r="F637" i="2"/>
  <c r="E637" i="2"/>
  <c r="A637" i="2"/>
  <c r="M636" i="2"/>
  <c r="L636" i="2"/>
  <c r="F636" i="2"/>
  <c r="E636" i="2"/>
  <c r="D636" i="2"/>
  <c r="C636" i="2"/>
  <c r="A636" i="2"/>
  <c r="M635" i="2"/>
  <c r="L635" i="2"/>
  <c r="F635" i="2"/>
  <c r="E635" i="2"/>
  <c r="A635" i="2"/>
  <c r="M634" i="2"/>
  <c r="L634" i="2"/>
  <c r="F634" i="2"/>
  <c r="E634" i="2"/>
  <c r="C634" i="2"/>
  <c r="A634" i="2"/>
  <c r="M633" i="2"/>
  <c r="L633" i="2"/>
  <c r="F633" i="2"/>
  <c r="E633" i="2"/>
  <c r="C633" i="2"/>
  <c r="A633" i="2"/>
  <c r="M632" i="2"/>
  <c r="L632" i="2"/>
  <c r="F632" i="2"/>
  <c r="E632" i="2"/>
  <c r="C632" i="2"/>
  <c r="A632" i="2"/>
  <c r="M631" i="2"/>
  <c r="L631" i="2"/>
  <c r="F631" i="2"/>
  <c r="E631" i="2"/>
  <c r="C631" i="2"/>
  <c r="A631" i="2"/>
  <c r="M626" i="2"/>
  <c r="L626" i="2"/>
  <c r="F626" i="2"/>
  <c r="E626" i="2"/>
  <c r="A626" i="2"/>
  <c r="M625" i="2"/>
  <c r="L625" i="2"/>
  <c r="F625" i="2"/>
  <c r="E625" i="2"/>
  <c r="D625" i="2"/>
  <c r="C625" i="2"/>
  <c r="A625" i="2"/>
  <c r="M624" i="2"/>
  <c r="L624" i="2"/>
  <c r="F624" i="2"/>
  <c r="E624" i="2"/>
  <c r="A624" i="2"/>
  <c r="M623" i="2"/>
  <c r="L623" i="2"/>
  <c r="F623" i="2"/>
  <c r="E623" i="2"/>
  <c r="A623" i="2"/>
  <c r="M622" i="2"/>
  <c r="L622" i="2"/>
  <c r="F622" i="2"/>
  <c r="E622" i="2"/>
  <c r="C622" i="2"/>
  <c r="A622" i="2"/>
  <c r="M621" i="2"/>
  <c r="L621" i="2"/>
  <c r="F621" i="2"/>
  <c r="E621" i="2"/>
  <c r="A621" i="2"/>
  <c r="M620" i="2"/>
  <c r="L620" i="2"/>
  <c r="F620" i="2"/>
  <c r="E620" i="2"/>
  <c r="A620" i="2"/>
  <c r="M619" i="2"/>
  <c r="L619" i="2"/>
  <c r="F619" i="2"/>
  <c r="E619" i="2"/>
  <c r="A619" i="2"/>
  <c r="M618" i="2"/>
  <c r="L618" i="2"/>
  <c r="F618" i="2"/>
  <c r="E618" i="2"/>
  <c r="D618" i="2"/>
  <c r="C618" i="2"/>
  <c r="A618" i="2"/>
  <c r="M617" i="2"/>
  <c r="L617" i="2"/>
  <c r="F617" i="2"/>
  <c r="E617" i="2"/>
  <c r="C617" i="2"/>
  <c r="A617" i="2"/>
  <c r="M616" i="2"/>
  <c r="L616" i="2"/>
  <c r="F616" i="2"/>
  <c r="E616" i="2"/>
  <c r="A616" i="2"/>
  <c r="M615" i="2"/>
  <c r="L615" i="2"/>
  <c r="F615" i="2"/>
  <c r="E615" i="2"/>
  <c r="A615" i="2"/>
  <c r="M614" i="2"/>
  <c r="L614" i="2"/>
  <c r="F614" i="2"/>
  <c r="E614" i="2"/>
  <c r="A614" i="2"/>
  <c r="M613" i="2"/>
  <c r="L613" i="2"/>
  <c r="F613" i="2"/>
  <c r="E613" i="2"/>
  <c r="D613" i="2"/>
  <c r="C613" i="2"/>
  <c r="A613" i="2"/>
  <c r="M612" i="2"/>
  <c r="L612" i="2"/>
  <c r="F612" i="2"/>
  <c r="E612" i="2"/>
  <c r="A612" i="2"/>
  <c r="M611" i="2"/>
  <c r="L611" i="2"/>
  <c r="F611" i="2"/>
  <c r="E611" i="2"/>
  <c r="A611" i="2"/>
  <c r="M610" i="2"/>
  <c r="L610" i="2"/>
  <c r="F610" i="2"/>
  <c r="E610" i="2"/>
  <c r="C610" i="2"/>
  <c r="A610" i="2"/>
  <c r="M609" i="2"/>
  <c r="L609" i="2"/>
  <c r="F609" i="2"/>
  <c r="E609" i="2"/>
  <c r="C609" i="2"/>
  <c r="A609" i="2"/>
  <c r="M608" i="2"/>
  <c r="L608" i="2"/>
  <c r="F608" i="2"/>
  <c r="E608" i="2"/>
  <c r="A608" i="2"/>
  <c r="M607" i="2"/>
  <c r="L607" i="2"/>
  <c r="F607" i="2"/>
  <c r="E607" i="2"/>
  <c r="D607" i="2"/>
  <c r="C607" i="2"/>
  <c r="A607" i="2"/>
  <c r="M606" i="2"/>
  <c r="L606" i="2"/>
  <c r="F606" i="2"/>
  <c r="E606" i="2"/>
  <c r="A606" i="2"/>
  <c r="M605" i="2"/>
  <c r="L605" i="2"/>
  <c r="F605" i="2"/>
  <c r="E605" i="2"/>
  <c r="C605" i="2"/>
  <c r="A605" i="2"/>
  <c r="M604" i="2"/>
  <c r="L604" i="2"/>
  <c r="F604" i="2"/>
  <c r="E604" i="2"/>
  <c r="A604" i="2"/>
  <c r="M603" i="2"/>
  <c r="L603" i="2"/>
  <c r="F603" i="2"/>
  <c r="E603" i="2"/>
  <c r="D603" i="2"/>
  <c r="C603" i="2"/>
  <c r="A603" i="2"/>
  <c r="M602" i="2"/>
  <c r="L602" i="2"/>
  <c r="F602" i="2"/>
  <c r="E602" i="2"/>
  <c r="A602" i="2"/>
  <c r="M601" i="2"/>
  <c r="L601" i="2"/>
  <c r="F601" i="2"/>
  <c r="E601" i="2"/>
  <c r="C601" i="2"/>
  <c r="A601" i="2"/>
  <c r="M600" i="2"/>
  <c r="L600" i="2"/>
  <c r="F600" i="2"/>
  <c r="E600" i="2"/>
  <c r="C600" i="2"/>
  <c r="A600" i="2"/>
  <c r="M599" i="2"/>
  <c r="L599" i="2"/>
  <c r="F599" i="2"/>
  <c r="E599" i="2"/>
  <c r="D599" i="2"/>
  <c r="C599" i="2"/>
  <c r="A599" i="2"/>
  <c r="M598" i="2"/>
  <c r="L598" i="2"/>
  <c r="F598" i="2"/>
  <c r="E598" i="2"/>
  <c r="A598" i="2"/>
  <c r="M597" i="2"/>
  <c r="L597" i="2"/>
  <c r="F597" i="2"/>
  <c r="E597" i="2"/>
  <c r="D597" i="2"/>
  <c r="C597" i="2"/>
  <c r="A597" i="2"/>
  <c r="M596" i="2"/>
  <c r="L596" i="2"/>
  <c r="F596" i="2"/>
  <c r="E596" i="2"/>
  <c r="D596" i="2"/>
  <c r="C596" i="2"/>
  <c r="A596" i="2"/>
  <c r="M595" i="2"/>
  <c r="L595" i="2"/>
  <c r="F595" i="2"/>
  <c r="E595" i="2"/>
  <c r="A595" i="2"/>
  <c r="M594" i="2"/>
  <c r="L594" i="2"/>
  <c r="F594" i="2"/>
  <c r="E594" i="2"/>
  <c r="A594" i="2"/>
  <c r="M593" i="2"/>
  <c r="L593" i="2"/>
  <c r="F593" i="2"/>
  <c r="E593" i="2"/>
  <c r="C593" i="2"/>
  <c r="A593" i="2"/>
  <c r="M592" i="2"/>
  <c r="L592" i="2"/>
  <c r="F592" i="2"/>
  <c r="E592" i="2"/>
  <c r="D592" i="2"/>
  <c r="C592" i="2"/>
  <c r="A592" i="2"/>
  <c r="M591" i="2"/>
  <c r="L591" i="2"/>
  <c r="F591" i="2"/>
  <c r="E591" i="2"/>
  <c r="A591" i="2"/>
  <c r="M590" i="2"/>
  <c r="L590" i="2"/>
  <c r="F590" i="2"/>
  <c r="E590" i="2"/>
  <c r="A590" i="2"/>
  <c r="M589" i="2"/>
  <c r="L589" i="2"/>
  <c r="F589" i="2"/>
  <c r="E589" i="2"/>
  <c r="A589" i="2"/>
  <c r="M588" i="2"/>
  <c r="L588" i="2"/>
  <c r="F588" i="2"/>
  <c r="E588" i="2"/>
  <c r="D588" i="2"/>
  <c r="C588" i="2"/>
  <c r="A588" i="2"/>
  <c r="M587" i="2"/>
  <c r="L587" i="2"/>
  <c r="F587" i="2"/>
  <c r="E587" i="2"/>
  <c r="A587" i="2"/>
  <c r="M586" i="2"/>
  <c r="L586" i="2"/>
  <c r="F586" i="2"/>
  <c r="E586" i="2"/>
  <c r="A586" i="2"/>
  <c r="M585" i="2"/>
  <c r="L585" i="2"/>
  <c r="F585" i="2"/>
  <c r="E585" i="2"/>
  <c r="A585" i="2"/>
  <c r="M584" i="2"/>
  <c r="L584" i="2"/>
  <c r="F584" i="2"/>
  <c r="E584" i="2"/>
  <c r="D584" i="2"/>
  <c r="C584" i="2"/>
  <c r="A584" i="2"/>
  <c r="M583" i="2"/>
  <c r="L583" i="2"/>
  <c r="F583" i="2"/>
  <c r="E583" i="2"/>
  <c r="D583" i="2"/>
  <c r="C583" i="2"/>
  <c r="A583" i="2"/>
  <c r="M582" i="2"/>
  <c r="L582" i="2"/>
  <c r="F582" i="2"/>
  <c r="E582" i="2"/>
  <c r="A582" i="2"/>
  <c r="M581" i="2"/>
  <c r="L581" i="2"/>
  <c r="F581" i="2"/>
  <c r="E581" i="2"/>
  <c r="A581" i="2"/>
  <c r="M580" i="2"/>
  <c r="L580" i="2"/>
  <c r="F580" i="2"/>
  <c r="E580" i="2"/>
  <c r="D580" i="2"/>
  <c r="C580" i="2"/>
  <c r="A580" i="2"/>
  <c r="M579" i="2"/>
  <c r="L579" i="2"/>
  <c r="F579" i="2"/>
  <c r="E579" i="2"/>
  <c r="D579" i="2"/>
  <c r="C579" i="2"/>
  <c r="A579" i="2"/>
  <c r="M578" i="2"/>
  <c r="L578" i="2"/>
  <c r="F578" i="2"/>
  <c r="E578" i="2"/>
  <c r="D578" i="2"/>
  <c r="C578" i="2"/>
  <c r="A578" i="2"/>
  <c r="M577" i="2"/>
  <c r="L577" i="2"/>
  <c r="F577" i="2"/>
  <c r="E577" i="2"/>
  <c r="D577" i="2"/>
  <c r="C577" i="2"/>
  <c r="A577" i="2"/>
  <c r="M576" i="2"/>
  <c r="L576" i="2"/>
  <c r="F576" i="2"/>
  <c r="E576" i="2"/>
  <c r="D576" i="2"/>
  <c r="C576" i="2"/>
  <c r="A576" i="2"/>
  <c r="M575" i="2"/>
  <c r="L575" i="2"/>
  <c r="F575" i="2"/>
  <c r="E575" i="2"/>
  <c r="D575" i="2"/>
  <c r="C575" i="2"/>
  <c r="A575" i="2"/>
  <c r="M574" i="2"/>
  <c r="L574" i="2"/>
  <c r="F574" i="2"/>
  <c r="E574" i="2"/>
  <c r="A574" i="2"/>
  <c r="M573" i="2"/>
  <c r="L573" i="2"/>
  <c r="F573" i="2"/>
  <c r="E573" i="2"/>
  <c r="C573" i="2"/>
  <c r="A573" i="2"/>
  <c r="M572" i="2"/>
  <c r="L572" i="2"/>
  <c r="F572" i="2"/>
  <c r="E572" i="2"/>
  <c r="C572" i="2"/>
  <c r="A572" i="2"/>
  <c r="M571" i="2"/>
  <c r="L571" i="2"/>
  <c r="F571" i="2"/>
  <c r="E571" i="2"/>
  <c r="A571" i="2"/>
  <c r="M570" i="2"/>
  <c r="L570" i="2"/>
  <c r="F570" i="2"/>
  <c r="E570" i="2"/>
  <c r="D570" i="2"/>
  <c r="C570" i="2"/>
  <c r="A570" i="2"/>
  <c r="M569" i="2"/>
  <c r="L569" i="2"/>
  <c r="F569" i="2"/>
  <c r="E569" i="2"/>
  <c r="D569" i="2"/>
  <c r="C569" i="2"/>
  <c r="A569" i="2"/>
  <c r="M568" i="2"/>
  <c r="L568" i="2"/>
  <c r="F568" i="2"/>
  <c r="E568" i="2"/>
  <c r="D568" i="2"/>
  <c r="C568" i="2"/>
  <c r="A568" i="2"/>
  <c r="M567" i="2"/>
  <c r="L567" i="2"/>
  <c r="F567" i="2"/>
  <c r="E567" i="2"/>
  <c r="A567" i="2"/>
  <c r="M566" i="2"/>
  <c r="L566" i="2"/>
  <c r="F566" i="2"/>
  <c r="E566" i="2"/>
  <c r="C566" i="2"/>
  <c r="A566" i="2"/>
  <c r="M565" i="2"/>
  <c r="L565" i="2"/>
  <c r="F565" i="2"/>
  <c r="E565" i="2"/>
  <c r="A565" i="2"/>
  <c r="M564" i="2"/>
  <c r="L564" i="2"/>
  <c r="F564" i="2"/>
  <c r="E564" i="2"/>
  <c r="A564" i="2"/>
  <c r="M563" i="2"/>
  <c r="L563" i="2"/>
  <c r="F563" i="2"/>
  <c r="E563" i="2"/>
  <c r="C563" i="2"/>
  <c r="A563" i="2"/>
  <c r="M562" i="2"/>
  <c r="L562" i="2"/>
  <c r="F562" i="2"/>
  <c r="E562" i="2"/>
  <c r="A562" i="2"/>
  <c r="M561" i="2"/>
  <c r="L561" i="2"/>
  <c r="F561" i="2"/>
  <c r="E561" i="2"/>
  <c r="A561" i="2"/>
  <c r="M560" i="2"/>
  <c r="L560" i="2"/>
  <c r="F560" i="2"/>
  <c r="E560" i="2"/>
  <c r="D560" i="2"/>
  <c r="C560" i="2"/>
  <c r="A560" i="2"/>
  <c r="M559" i="2"/>
  <c r="L559" i="2"/>
  <c r="F559" i="2"/>
  <c r="E559" i="2"/>
  <c r="D559" i="2"/>
  <c r="C559" i="2"/>
  <c r="A559" i="2"/>
  <c r="M558" i="2"/>
  <c r="L558" i="2"/>
  <c r="F558" i="2"/>
  <c r="E558" i="2"/>
  <c r="D558" i="2"/>
  <c r="C558" i="2"/>
  <c r="A558" i="2"/>
  <c r="M557" i="2"/>
  <c r="L557" i="2"/>
  <c r="F557" i="2"/>
  <c r="E557" i="2"/>
  <c r="A557" i="2"/>
  <c r="M556" i="2"/>
  <c r="L556" i="2"/>
  <c r="F556" i="2"/>
  <c r="E556" i="2"/>
  <c r="D556" i="2"/>
  <c r="C556" i="2"/>
  <c r="A556" i="2"/>
  <c r="M555" i="2"/>
  <c r="L555" i="2"/>
  <c r="F555" i="2"/>
  <c r="E555" i="2"/>
  <c r="A555" i="2"/>
  <c r="M554" i="2"/>
  <c r="L554" i="2"/>
  <c r="F554" i="2"/>
  <c r="E554" i="2"/>
  <c r="A554" i="2"/>
  <c r="M553" i="2"/>
  <c r="L553" i="2"/>
  <c r="F553" i="2"/>
  <c r="E553" i="2"/>
  <c r="D553" i="2"/>
  <c r="C553" i="2"/>
  <c r="A553" i="2"/>
  <c r="M552" i="2"/>
  <c r="L552" i="2"/>
  <c r="F552" i="2"/>
  <c r="E552" i="2"/>
  <c r="C552" i="2"/>
  <c r="A552" i="2"/>
  <c r="M551" i="2"/>
  <c r="L551" i="2"/>
  <c r="F551" i="2"/>
  <c r="E551" i="2"/>
  <c r="A551" i="2"/>
  <c r="M550" i="2"/>
  <c r="L550" i="2"/>
  <c r="F550" i="2"/>
  <c r="E550" i="2"/>
  <c r="A550" i="2"/>
  <c r="M549" i="2"/>
  <c r="L549" i="2"/>
  <c r="F549" i="2"/>
  <c r="E549" i="2"/>
  <c r="D549" i="2"/>
  <c r="C549" i="2"/>
  <c r="A549" i="2"/>
  <c r="M548" i="2"/>
  <c r="L548" i="2"/>
  <c r="F548" i="2"/>
  <c r="E548" i="2"/>
  <c r="D548" i="2"/>
  <c r="C548" i="2"/>
  <c r="A548" i="2"/>
  <c r="M547" i="2"/>
  <c r="L547" i="2"/>
  <c r="F547" i="2"/>
  <c r="E547" i="2"/>
  <c r="D547" i="2"/>
  <c r="C547" i="2"/>
  <c r="A547" i="2"/>
  <c r="M546" i="2"/>
  <c r="L546" i="2"/>
  <c r="F546" i="2"/>
  <c r="E546" i="2"/>
  <c r="D546" i="2"/>
  <c r="C546" i="2"/>
  <c r="A546" i="2"/>
  <c r="M545" i="2"/>
  <c r="L545" i="2"/>
  <c r="F545" i="2"/>
  <c r="E545" i="2"/>
  <c r="D545" i="2"/>
  <c r="C545" i="2"/>
  <c r="A545" i="2"/>
  <c r="M544" i="2"/>
  <c r="L544" i="2"/>
  <c r="F544" i="2"/>
  <c r="E544" i="2"/>
  <c r="A544" i="2"/>
  <c r="M543" i="2"/>
  <c r="L543" i="2"/>
  <c r="F543" i="2"/>
  <c r="E543" i="2"/>
  <c r="A543" i="2"/>
  <c r="M542" i="2"/>
  <c r="L542" i="2"/>
  <c r="F542" i="2"/>
  <c r="E542" i="2"/>
  <c r="C542" i="2"/>
  <c r="A542" i="2"/>
  <c r="M541" i="2"/>
  <c r="L541" i="2"/>
  <c r="F541" i="2"/>
  <c r="E541" i="2"/>
  <c r="A541" i="2"/>
  <c r="M540" i="2"/>
  <c r="L540" i="2"/>
  <c r="F540" i="2"/>
  <c r="E540" i="2"/>
  <c r="D540" i="2"/>
  <c r="C540" i="2"/>
  <c r="A540" i="2"/>
  <c r="M539" i="2"/>
  <c r="L539" i="2"/>
  <c r="F539" i="2"/>
  <c r="E539" i="2"/>
  <c r="A539" i="2"/>
  <c r="M538" i="2"/>
  <c r="L538" i="2"/>
  <c r="F538" i="2"/>
  <c r="E538" i="2"/>
  <c r="C538" i="2"/>
  <c r="A538" i="2"/>
  <c r="M537" i="2"/>
  <c r="L537" i="2"/>
  <c r="F537" i="2"/>
  <c r="E537" i="2"/>
  <c r="A537" i="2"/>
  <c r="M536" i="2"/>
  <c r="L536" i="2"/>
  <c r="F536" i="2"/>
  <c r="E536" i="2"/>
  <c r="A536" i="2"/>
  <c r="M535" i="2"/>
  <c r="L535" i="2"/>
  <c r="F535" i="2"/>
  <c r="E535" i="2"/>
  <c r="D535" i="2"/>
  <c r="C535" i="2"/>
  <c r="A535" i="2"/>
  <c r="M534" i="2"/>
  <c r="L534" i="2"/>
  <c r="F534" i="2"/>
  <c r="E534" i="2"/>
  <c r="D534" i="2"/>
  <c r="C534" i="2"/>
  <c r="A534" i="2"/>
  <c r="M533" i="2"/>
  <c r="L533" i="2"/>
  <c r="F533" i="2"/>
  <c r="E533" i="2"/>
  <c r="D533" i="2"/>
  <c r="C533" i="2"/>
  <c r="A533" i="2"/>
  <c r="M532" i="2"/>
  <c r="L532" i="2"/>
  <c r="F532" i="2"/>
  <c r="E532" i="2"/>
  <c r="D532" i="2"/>
  <c r="C532" i="2"/>
  <c r="A532" i="2"/>
  <c r="M531" i="2"/>
  <c r="L531" i="2"/>
  <c r="F531" i="2"/>
  <c r="E531" i="2"/>
  <c r="A531" i="2"/>
  <c r="M530" i="2"/>
  <c r="L530" i="2"/>
  <c r="F530" i="2"/>
  <c r="E530" i="2"/>
  <c r="A530" i="2"/>
  <c r="M529" i="2"/>
  <c r="L529" i="2"/>
  <c r="F529" i="2"/>
  <c r="E529" i="2"/>
  <c r="C529" i="2"/>
  <c r="A529" i="2"/>
  <c r="M528" i="2"/>
  <c r="L528" i="2"/>
  <c r="F528" i="2"/>
  <c r="E528" i="2"/>
  <c r="D528" i="2"/>
  <c r="C528" i="2"/>
  <c r="A528" i="2"/>
  <c r="M527" i="2"/>
  <c r="L527" i="2"/>
  <c r="F527" i="2"/>
  <c r="E527" i="2"/>
  <c r="D527" i="2"/>
  <c r="C527" i="2"/>
  <c r="A527" i="2"/>
  <c r="M526" i="2"/>
  <c r="L526" i="2"/>
  <c r="F526" i="2"/>
  <c r="E526" i="2"/>
  <c r="A526" i="2"/>
  <c r="M525" i="2"/>
  <c r="L525" i="2"/>
  <c r="F525" i="2"/>
  <c r="E525" i="2"/>
  <c r="A525" i="2"/>
  <c r="M524" i="2"/>
  <c r="L524" i="2"/>
  <c r="F524" i="2"/>
  <c r="E524" i="2"/>
  <c r="D524" i="2"/>
  <c r="C524" i="2"/>
  <c r="A524" i="2"/>
  <c r="M523" i="2"/>
  <c r="L523" i="2"/>
  <c r="F523" i="2"/>
  <c r="E523" i="2"/>
  <c r="D523" i="2"/>
  <c r="C523" i="2"/>
  <c r="A523" i="2"/>
  <c r="M522" i="2"/>
  <c r="L522" i="2"/>
  <c r="F522" i="2"/>
  <c r="E522" i="2"/>
  <c r="D522" i="2"/>
  <c r="C522" i="2"/>
  <c r="A522" i="2"/>
  <c r="M521" i="2"/>
  <c r="L521" i="2"/>
  <c r="F521" i="2"/>
  <c r="E521" i="2"/>
  <c r="D521" i="2"/>
  <c r="C521" i="2"/>
  <c r="A521" i="2"/>
  <c r="M520" i="2"/>
  <c r="L520" i="2"/>
  <c r="F520" i="2"/>
  <c r="E520" i="2"/>
  <c r="D520" i="2"/>
  <c r="C520" i="2"/>
  <c r="A520" i="2"/>
  <c r="M519" i="2"/>
  <c r="L519" i="2"/>
  <c r="F519" i="2"/>
  <c r="E519" i="2"/>
  <c r="D519" i="2"/>
  <c r="C519" i="2"/>
  <c r="A519" i="2"/>
  <c r="M518" i="2"/>
  <c r="L518" i="2"/>
  <c r="F518" i="2"/>
  <c r="E518" i="2"/>
  <c r="D518" i="2"/>
  <c r="C518" i="2"/>
  <c r="A518" i="2"/>
  <c r="M517" i="2"/>
  <c r="L517" i="2"/>
  <c r="F517" i="2"/>
  <c r="E517" i="2"/>
  <c r="A517" i="2"/>
  <c r="M516" i="2"/>
  <c r="L516" i="2"/>
  <c r="F516" i="2"/>
  <c r="E516" i="2"/>
  <c r="C516" i="2"/>
  <c r="A516" i="2"/>
  <c r="M515" i="2"/>
  <c r="L515" i="2"/>
  <c r="F515" i="2"/>
  <c r="E515" i="2"/>
  <c r="C515" i="2"/>
  <c r="A515" i="2"/>
  <c r="M514" i="2"/>
  <c r="L514" i="2"/>
  <c r="F514" i="2"/>
  <c r="E514" i="2"/>
  <c r="A514" i="2"/>
  <c r="M513" i="2"/>
  <c r="L513" i="2"/>
  <c r="F513" i="2"/>
  <c r="E513" i="2"/>
  <c r="D513" i="2"/>
  <c r="C513" i="2"/>
  <c r="A513" i="2"/>
  <c r="M512" i="2"/>
  <c r="L512" i="2"/>
  <c r="F512" i="2"/>
  <c r="E512" i="2"/>
  <c r="D512" i="2"/>
  <c r="C512" i="2"/>
  <c r="A512" i="2"/>
  <c r="M511" i="2"/>
  <c r="L511" i="2"/>
  <c r="F511" i="2"/>
  <c r="E511" i="2"/>
  <c r="A511" i="2"/>
  <c r="M510" i="2"/>
  <c r="L510" i="2"/>
  <c r="F510" i="2"/>
  <c r="E510" i="2"/>
  <c r="D510" i="2"/>
  <c r="C510" i="2"/>
  <c r="A510" i="2"/>
  <c r="M509" i="2"/>
  <c r="L509" i="2"/>
  <c r="F509" i="2"/>
  <c r="E509" i="2"/>
  <c r="D509" i="2"/>
  <c r="C509" i="2"/>
  <c r="A509" i="2"/>
  <c r="M508" i="2"/>
  <c r="L508" i="2"/>
  <c r="F508" i="2"/>
  <c r="E508" i="2"/>
  <c r="D508" i="2"/>
  <c r="C508" i="2"/>
  <c r="A508" i="2"/>
  <c r="M507" i="2"/>
  <c r="L507" i="2"/>
  <c r="F507" i="2"/>
  <c r="E507" i="2"/>
  <c r="A507" i="2"/>
  <c r="M506" i="2"/>
  <c r="L506" i="2"/>
  <c r="F506" i="2"/>
  <c r="E506" i="2"/>
  <c r="C506" i="2"/>
  <c r="A506" i="2"/>
  <c r="M505" i="2"/>
  <c r="L505" i="2"/>
  <c r="F505" i="2"/>
  <c r="E505" i="2"/>
  <c r="A505" i="2"/>
  <c r="M504" i="2"/>
  <c r="L504" i="2"/>
  <c r="F504" i="2"/>
  <c r="E504" i="2"/>
  <c r="D504" i="2"/>
  <c r="C504" i="2"/>
  <c r="A504" i="2"/>
  <c r="M503" i="2"/>
  <c r="L503" i="2"/>
  <c r="F503" i="2"/>
  <c r="E503" i="2"/>
  <c r="D503" i="2"/>
  <c r="C503" i="2"/>
  <c r="A503" i="2"/>
  <c r="M502" i="2"/>
  <c r="L502" i="2"/>
  <c r="F502" i="2"/>
  <c r="E502" i="2"/>
  <c r="A502" i="2"/>
  <c r="M501" i="2"/>
  <c r="L501" i="2"/>
  <c r="F501" i="2"/>
  <c r="E501" i="2"/>
  <c r="D501" i="2"/>
  <c r="C501" i="2"/>
  <c r="A501" i="2"/>
  <c r="M500" i="2"/>
  <c r="L500" i="2"/>
  <c r="F500" i="2"/>
  <c r="E500" i="2"/>
  <c r="D500" i="2"/>
  <c r="C500" i="2"/>
  <c r="A500" i="2"/>
  <c r="M499" i="2"/>
  <c r="L499" i="2"/>
  <c r="F499" i="2"/>
  <c r="E499" i="2"/>
  <c r="A499" i="2"/>
  <c r="M498" i="2"/>
  <c r="L498" i="2"/>
  <c r="F498" i="2"/>
  <c r="E498" i="2"/>
  <c r="A498" i="2"/>
  <c r="M497" i="2"/>
  <c r="L497" i="2"/>
  <c r="F497" i="2"/>
  <c r="E497" i="2"/>
  <c r="A497" i="2"/>
  <c r="M496" i="2"/>
  <c r="L496" i="2"/>
  <c r="F496" i="2"/>
  <c r="E496" i="2"/>
  <c r="D496" i="2"/>
  <c r="C496" i="2"/>
  <c r="A496" i="2"/>
  <c r="M495" i="2"/>
  <c r="L495" i="2"/>
  <c r="F495" i="2"/>
  <c r="E495" i="2"/>
  <c r="D495" i="2"/>
  <c r="C495" i="2"/>
  <c r="A495" i="2"/>
  <c r="M494" i="2"/>
  <c r="L494" i="2"/>
  <c r="F494" i="2"/>
  <c r="E494" i="2"/>
  <c r="D494" i="2"/>
  <c r="C494" i="2"/>
  <c r="A494" i="2"/>
  <c r="M493" i="2"/>
  <c r="L493" i="2"/>
  <c r="F493" i="2"/>
  <c r="E493" i="2"/>
  <c r="A493" i="2"/>
  <c r="M492" i="2"/>
  <c r="L492" i="2"/>
  <c r="F492" i="2"/>
  <c r="E492" i="2"/>
  <c r="A492" i="2"/>
  <c r="M491" i="2"/>
  <c r="L491" i="2"/>
  <c r="F491" i="2"/>
  <c r="E491" i="2"/>
  <c r="A491" i="2"/>
  <c r="M490" i="2"/>
  <c r="L490" i="2"/>
  <c r="F490" i="2"/>
  <c r="E490" i="2"/>
  <c r="A490" i="2"/>
  <c r="M489" i="2"/>
  <c r="L489" i="2"/>
  <c r="F489" i="2"/>
  <c r="E489" i="2"/>
  <c r="A489" i="2"/>
  <c r="M488" i="2"/>
  <c r="L488" i="2"/>
  <c r="F488" i="2"/>
  <c r="E488" i="2"/>
  <c r="D488" i="2"/>
  <c r="C488" i="2"/>
  <c r="A488" i="2"/>
  <c r="M487" i="2"/>
  <c r="L487" i="2"/>
  <c r="F487" i="2"/>
  <c r="E487" i="2"/>
  <c r="A487" i="2"/>
  <c r="M486" i="2"/>
  <c r="L486" i="2"/>
  <c r="F486" i="2"/>
  <c r="E486" i="2"/>
  <c r="D486" i="2"/>
  <c r="C486" i="2"/>
  <c r="A486" i="2"/>
  <c r="M485" i="2"/>
  <c r="L485" i="2"/>
  <c r="F485" i="2"/>
  <c r="E485" i="2"/>
  <c r="D485" i="2"/>
  <c r="C485" i="2"/>
  <c r="A485" i="2"/>
  <c r="M484" i="2"/>
  <c r="L484" i="2"/>
  <c r="F484" i="2"/>
  <c r="E484" i="2"/>
  <c r="D484" i="2"/>
  <c r="C484" i="2"/>
  <c r="A484" i="2"/>
  <c r="M483" i="2"/>
  <c r="L483" i="2"/>
  <c r="F483" i="2"/>
  <c r="E483" i="2"/>
  <c r="D483" i="2"/>
  <c r="C483" i="2"/>
  <c r="A483" i="2"/>
  <c r="M482" i="2"/>
  <c r="L482" i="2"/>
  <c r="F482" i="2"/>
  <c r="E482" i="2"/>
  <c r="A482" i="2"/>
  <c r="M481" i="2"/>
  <c r="L481" i="2"/>
  <c r="F481" i="2"/>
  <c r="E481" i="2"/>
  <c r="D481" i="2"/>
  <c r="C481" i="2"/>
  <c r="A481" i="2"/>
  <c r="M480" i="2"/>
  <c r="L480" i="2"/>
  <c r="F480" i="2"/>
  <c r="E480" i="2"/>
  <c r="A480" i="2"/>
  <c r="M479" i="2"/>
  <c r="L479" i="2"/>
  <c r="F479" i="2"/>
  <c r="E479" i="2"/>
  <c r="A479" i="2"/>
  <c r="M478" i="2"/>
  <c r="L478" i="2"/>
  <c r="F478" i="2"/>
  <c r="E478" i="2"/>
  <c r="A478" i="2"/>
  <c r="M477" i="2"/>
  <c r="L477" i="2"/>
  <c r="F477" i="2"/>
  <c r="E477" i="2"/>
  <c r="D477" i="2"/>
  <c r="C477" i="2"/>
  <c r="A477" i="2"/>
  <c r="M476" i="2"/>
  <c r="L476" i="2"/>
  <c r="F476" i="2"/>
  <c r="E476" i="2"/>
  <c r="D476" i="2"/>
  <c r="C476" i="2"/>
  <c r="A476" i="2"/>
  <c r="M475" i="2"/>
  <c r="L475" i="2"/>
  <c r="F475" i="2"/>
  <c r="E475" i="2"/>
  <c r="D475" i="2"/>
  <c r="C475" i="2"/>
  <c r="A475" i="2"/>
  <c r="M474" i="2"/>
  <c r="L474" i="2"/>
  <c r="F474" i="2"/>
  <c r="E474" i="2"/>
  <c r="D474" i="2"/>
  <c r="C474" i="2"/>
  <c r="A474" i="2"/>
  <c r="M473" i="2"/>
  <c r="L473" i="2"/>
  <c r="F473" i="2"/>
  <c r="E473" i="2"/>
  <c r="D473" i="2"/>
  <c r="C473" i="2"/>
  <c r="A473" i="2"/>
  <c r="M472" i="2"/>
  <c r="L472" i="2"/>
  <c r="F472" i="2"/>
  <c r="E472" i="2"/>
  <c r="D472" i="2"/>
  <c r="C472" i="2"/>
  <c r="A472" i="2"/>
  <c r="M471" i="2"/>
  <c r="L471" i="2"/>
  <c r="F471" i="2"/>
  <c r="E471" i="2"/>
  <c r="D471" i="2"/>
  <c r="C471" i="2"/>
  <c r="A471" i="2"/>
  <c r="M470" i="2"/>
  <c r="L470" i="2"/>
  <c r="F470" i="2"/>
  <c r="E470" i="2"/>
  <c r="A470" i="2"/>
  <c r="M469" i="2"/>
  <c r="L469" i="2"/>
  <c r="F469" i="2"/>
  <c r="E469" i="2"/>
  <c r="C469" i="2"/>
  <c r="A469" i="2"/>
  <c r="M468" i="2"/>
  <c r="L468" i="2"/>
  <c r="F468" i="2"/>
  <c r="E468" i="2"/>
  <c r="A468" i="2"/>
  <c r="M467" i="2"/>
  <c r="L467" i="2"/>
  <c r="F467" i="2"/>
  <c r="E467" i="2"/>
  <c r="D467" i="2"/>
  <c r="C467" i="2"/>
  <c r="A467" i="2"/>
  <c r="M466" i="2"/>
  <c r="L466" i="2"/>
  <c r="F466" i="2"/>
  <c r="E466" i="2"/>
  <c r="A466" i="2"/>
  <c r="M465" i="2"/>
  <c r="L465" i="2"/>
  <c r="F465" i="2"/>
  <c r="E465" i="2"/>
  <c r="D465" i="2"/>
  <c r="C465" i="2"/>
  <c r="A465" i="2"/>
  <c r="M464" i="2"/>
  <c r="L464" i="2"/>
  <c r="F464" i="2"/>
  <c r="E464" i="2"/>
  <c r="A464" i="2"/>
  <c r="M463" i="2"/>
  <c r="L463" i="2"/>
  <c r="F463" i="2"/>
  <c r="E463" i="2"/>
  <c r="A463" i="2"/>
  <c r="M462" i="2"/>
  <c r="L462" i="2"/>
  <c r="F462" i="2"/>
  <c r="E462" i="2"/>
  <c r="A462" i="2"/>
  <c r="M461" i="2"/>
  <c r="L461" i="2"/>
  <c r="F461" i="2"/>
  <c r="E461" i="2"/>
  <c r="D461" i="2"/>
  <c r="C461" i="2"/>
  <c r="A461" i="2"/>
  <c r="M460" i="2"/>
  <c r="L460" i="2"/>
  <c r="F460" i="2"/>
  <c r="E460" i="2"/>
  <c r="D460" i="2"/>
  <c r="C460" i="2"/>
  <c r="A460" i="2"/>
  <c r="M459" i="2"/>
  <c r="L459" i="2"/>
  <c r="F459" i="2"/>
  <c r="E459" i="2"/>
  <c r="D459" i="2"/>
  <c r="C459" i="2"/>
  <c r="A459" i="2"/>
  <c r="M458" i="2"/>
  <c r="L458" i="2"/>
  <c r="F458" i="2"/>
  <c r="E458" i="2"/>
  <c r="C458" i="2"/>
  <c r="A458" i="2"/>
  <c r="M457" i="2"/>
  <c r="L457" i="2"/>
  <c r="F457" i="2"/>
  <c r="E457" i="2"/>
  <c r="D457" i="2"/>
  <c r="C457" i="2"/>
  <c r="A457" i="2"/>
  <c r="M456" i="2"/>
  <c r="L456" i="2"/>
  <c r="F456" i="2"/>
  <c r="E456" i="2"/>
  <c r="A456" i="2"/>
  <c r="M455" i="2"/>
  <c r="L455" i="2"/>
  <c r="F455" i="2"/>
  <c r="E455" i="2"/>
  <c r="A455" i="2"/>
  <c r="M454" i="2"/>
  <c r="L454" i="2"/>
  <c r="F454" i="2"/>
  <c r="E454" i="2"/>
  <c r="D454" i="2"/>
  <c r="C454" i="2"/>
  <c r="A454" i="2"/>
  <c r="M453" i="2"/>
  <c r="L453" i="2"/>
  <c r="F453" i="2"/>
  <c r="E453" i="2"/>
  <c r="D453" i="2"/>
  <c r="C453" i="2"/>
  <c r="A453" i="2"/>
  <c r="M452" i="2"/>
  <c r="L452" i="2"/>
  <c r="F452" i="2"/>
  <c r="E452" i="2"/>
  <c r="A452" i="2"/>
  <c r="M451" i="2"/>
  <c r="L451" i="2"/>
  <c r="F451" i="2"/>
  <c r="E451" i="2"/>
  <c r="D451" i="2"/>
  <c r="C451" i="2"/>
  <c r="A451" i="2"/>
  <c r="M450" i="2"/>
  <c r="L450" i="2"/>
  <c r="F450" i="2"/>
  <c r="E450" i="2"/>
  <c r="A450" i="2"/>
  <c r="M449" i="2"/>
  <c r="L449" i="2"/>
  <c r="F449" i="2"/>
  <c r="E449" i="2"/>
  <c r="A449" i="2"/>
  <c r="M448" i="2"/>
  <c r="L448" i="2"/>
  <c r="F448" i="2"/>
  <c r="E448" i="2"/>
  <c r="D448" i="2"/>
  <c r="C448" i="2"/>
  <c r="A448" i="2"/>
  <c r="M447" i="2"/>
  <c r="L447" i="2"/>
  <c r="F447" i="2"/>
  <c r="E447" i="2"/>
  <c r="D447" i="2"/>
  <c r="C447" i="2"/>
  <c r="A447" i="2"/>
  <c r="M446" i="2"/>
  <c r="L446" i="2"/>
  <c r="F446" i="2"/>
  <c r="E446" i="2"/>
  <c r="D446" i="2"/>
  <c r="C446" i="2"/>
  <c r="A446" i="2"/>
  <c r="M445" i="2"/>
  <c r="L445" i="2"/>
  <c r="F445" i="2"/>
  <c r="E445" i="2"/>
  <c r="D445" i="2"/>
  <c r="C445" i="2"/>
  <c r="A445" i="2"/>
  <c r="M444" i="2"/>
  <c r="L444" i="2"/>
  <c r="F444" i="2"/>
  <c r="E444" i="2"/>
  <c r="A444" i="2"/>
  <c r="M443" i="2"/>
  <c r="L443" i="2"/>
  <c r="F443" i="2"/>
  <c r="E443" i="2"/>
  <c r="C443" i="2"/>
  <c r="A443" i="2"/>
  <c r="M442" i="2"/>
  <c r="L442" i="2"/>
  <c r="F442" i="2"/>
  <c r="E442" i="2"/>
  <c r="A442" i="2"/>
  <c r="M441" i="2"/>
  <c r="L441" i="2"/>
  <c r="F441" i="2"/>
  <c r="E441" i="2"/>
  <c r="D441" i="2"/>
  <c r="C441" i="2"/>
  <c r="A441" i="2"/>
  <c r="M440" i="2"/>
  <c r="L440" i="2"/>
  <c r="F440" i="2"/>
  <c r="E440" i="2"/>
  <c r="D440" i="2"/>
  <c r="C440" i="2"/>
  <c r="A440" i="2"/>
  <c r="M439" i="2"/>
  <c r="L439" i="2"/>
  <c r="F439" i="2"/>
  <c r="E439" i="2"/>
  <c r="D439" i="2"/>
  <c r="C439" i="2"/>
  <c r="A439" i="2"/>
  <c r="M438" i="2"/>
  <c r="L438" i="2"/>
  <c r="F438" i="2"/>
  <c r="E438" i="2"/>
  <c r="D438" i="2"/>
  <c r="C438" i="2"/>
  <c r="A438" i="2"/>
  <c r="M437" i="2"/>
  <c r="L437" i="2"/>
  <c r="F437" i="2"/>
  <c r="E437" i="2"/>
  <c r="D437" i="2"/>
  <c r="C437" i="2"/>
  <c r="A437" i="2"/>
  <c r="M436" i="2"/>
  <c r="L436" i="2"/>
  <c r="F436" i="2"/>
  <c r="E436" i="2"/>
  <c r="D436" i="2"/>
  <c r="C436" i="2"/>
  <c r="A436" i="2"/>
  <c r="M435" i="2"/>
  <c r="L435" i="2"/>
  <c r="F435" i="2"/>
  <c r="E435" i="2"/>
  <c r="A435" i="2"/>
  <c r="M434" i="2"/>
  <c r="L434" i="2"/>
  <c r="F434" i="2"/>
  <c r="E434" i="2"/>
  <c r="D434" i="2"/>
  <c r="C434" i="2"/>
  <c r="A434" i="2"/>
  <c r="M433" i="2"/>
  <c r="L433" i="2"/>
  <c r="F433" i="2"/>
  <c r="E433" i="2"/>
  <c r="D433" i="2"/>
  <c r="C433" i="2"/>
  <c r="A433" i="2"/>
  <c r="M432" i="2"/>
  <c r="L432" i="2"/>
  <c r="F432" i="2"/>
  <c r="E432" i="2"/>
  <c r="D432" i="2"/>
  <c r="C432" i="2"/>
  <c r="A432" i="2"/>
  <c r="M431" i="2"/>
  <c r="L431" i="2"/>
  <c r="F431" i="2"/>
  <c r="E431" i="2"/>
  <c r="D431" i="2"/>
  <c r="C431" i="2"/>
  <c r="A431" i="2"/>
  <c r="M430" i="2"/>
  <c r="L430" i="2"/>
  <c r="F430" i="2"/>
  <c r="E430" i="2"/>
  <c r="A430" i="2"/>
  <c r="M429" i="2"/>
  <c r="L429" i="2"/>
  <c r="F429" i="2"/>
  <c r="E429" i="2"/>
  <c r="A429" i="2"/>
  <c r="M428" i="2"/>
  <c r="L428" i="2"/>
  <c r="F428" i="2"/>
  <c r="E428" i="2"/>
  <c r="C428" i="2"/>
  <c r="A428" i="2"/>
  <c r="M427" i="2"/>
  <c r="L427" i="2"/>
  <c r="F427" i="2"/>
  <c r="E427" i="2"/>
  <c r="D427" i="2"/>
  <c r="C427" i="2"/>
  <c r="A427" i="2"/>
  <c r="M426" i="2"/>
  <c r="L426" i="2"/>
  <c r="F426" i="2"/>
  <c r="E426" i="2"/>
  <c r="D426" i="2"/>
  <c r="C426" i="2"/>
  <c r="A426" i="2"/>
  <c r="M425" i="2"/>
  <c r="L425" i="2"/>
  <c r="F425" i="2"/>
  <c r="E425" i="2"/>
  <c r="D425" i="2"/>
  <c r="C425" i="2"/>
  <c r="A425" i="2"/>
  <c r="M424" i="2"/>
  <c r="L424" i="2"/>
  <c r="F424" i="2"/>
  <c r="E424" i="2"/>
  <c r="A424" i="2"/>
  <c r="M423" i="2"/>
  <c r="L423" i="2"/>
  <c r="F423" i="2"/>
  <c r="E423" i="2"/>
  <c r="D423" i="2"/>
  <c r="C423" i="2"/>
  <c r="A423" i="2"/>
  <c r="M422" i="2"/>
  <c r="L422" i="2"/>
  <c r="F422" i="2"/>
  <c r="E422" i="2"/>
  <c r="D422" i="2"/>
  <c r="C422" i="2"/>
  <c r="A422" i="2"/>
  <c r="M421" i="2"/>
  <c r="L421" i="2"/>
  <c r="F421" i="2"/>
  <c r="E421" i="2"/>
  <c r="A421" i="2"/>
  <c r="M420" i="2"/>
  <c r="L420" i="2"/>
  <c r="F420" i="2"/>
  <c r="E420" i="2"/>
  <c r="D420" i="2"/>
  <c r="C420" i="2"/>
  <c r="A420" i="2"/>
  <c r="M419" i="2"/>
  <c r="L419" i="2"/>
  <c r="F419" i="2"/>
  <c r="E419" i="2"/>
  <c r="D419" i="2"/>
  <c r="C419" i="2"/>
  <c r="A419" i="2"/>
  <c r="M418" i="2"/>
  <c r="L418" i="2"/>
  <c r="F418" i="2"/>
  <c r="E418" i="2"/>
  <c r="A418" i="2"/>
  <c r="M417" i="2"/>
  <c r="L417" i="2"/>
  <c r="F417" i="2"/>
  <c r="E417" i="2"/>
  <c r="C417" i="2"/>
  <c r="A417" i="2"/>
  <c r="M416" i="2"/>
  <c r="L416" i="2"/>
  <c r="F416" i="2"/>
  <c r="E416" i="2"/>
  <c r="A416" i="2"/>
  <c r="M415" i="2"/>
  <c r="L415" i="2"/>
  <c r="F415" i="2"/>
  <c r="E415" i="2"/>
  <c r="A415" i="2"/>
  <c r="M414" i="2"/>
  <c r="L414" i="2"/>
  <c r="F414" i="2"/>
  <c r="E414" i="2"/>
  <c r="C414" i="2"/>
  <c r="A414" i="2"/>
  <c r="M413" i="2"/>
  <c r="L413" i="2"/>
  <c r="F413" i="2"/>
  <c r="E413" i="2"/>
  <c r="A413" i="2"/>
  <c r="M412" i="2"/>
  <c r="L412" i="2"/>
  <c r="F412" i="2"/>
  <c r="E412" i="2"/>
  <c r="D412" i="2"/>
  <c r="C412" i="2"/>
  <c r="A412" i="2"/>
  <c r="M411" i="2"/>
  <c r="L411" i="2"/>
  <c r="F411" i="2"/>
  <c r="E411" i="2"/>
  <c r="D411" i="2"/>
  <c r="C411" i="2"/>
  <c r="A411" i="2"/>
  <c r="M410" i="2"/>
  <c r="L410" i="2"/>
  <c r="F410" i="2"/>
  <c r="E410" i="2"/>
  <c r="A410" i="2"/>
  <c r="M409" i="2"/>
  <c r="L409" i="2"/>
  <c r="F409" i="2"/>
  <c r="E409" i="2"/>
  <c r="A409" i="2"/>
  <c r="M408" i="2"/>
  <c r="L408" i="2"/>
  <c r="F408" i="2"/>
  <c r="E408" i="2"/>
  <c r="D408" i="2"/>
  <c r="C408" i="2"/>
  <c r="A408" i="2"/>
  <c r="M407" i="2"/>
  <c r="L407" i="2"/>
  <c r="F407" i="2"/>
  <c r="E407" i="2"/>
  <c r="A407" i="2"/>
  <c r="M406" i="2"/>
  <c r="L406" i="2"/>
  <c r="F406" i="2"/>
  <c r="E406" i="2"/>
  <c r="D406" i="2"/>
  <c r="C406" i="2"/>
  <c r="A406" i="2"/>
  <c r="M405" i="2"/>
  <c r="L405" i="2"/>
  <c r="F405" i="2"/>
  <c r="E405" i="2"/>
  <c r="D405" i="2"/>
  <c r="C405" i="2"/>
  <c r="A405" i="2"/>
  <c r="M404" i="2"/>
  <c r="L404" i="2"/>
  <c r="F404" i="2"/>
  <c r="E404" i="2"/>
  <c r="D404" i="2"/>
  <c r="C404" i="2"/>
  <c r="A404" i="2"/>
  <c r="M403" i="2"/>
  <c r="L403" i="2"/>
  <c r="F403" i="2"/>
  <c r="E403" i="2"/>
  <c r="D403" i="2"/>
  <c r="C403" i="2"/>
  <c r="A403" i="2"/>
  <c r="M402" i="2"/>
  <c r="L402" i="2"/>
  <c r="F402" i="2"/>
  <c r="E402" i="2"/>
  <c r="A402" i="2"/>
  <c r="M401" i="2"/>
  <c r="L401" i="2"/>
  <c r="F401" i="2"/>
  <c r="E401" i="2"/>
  <c r="A401" i="2"/>
  <c r="M400" i="2"/>
  <c r="L400" i="2"/>
  <c r="F400" i="2"/>
  <c r="E400" i="2"/>
  <c r="D400" i="2"/>
  <c r="C400" i="2"/>
  <c r="A400" i="2"/>
  <c r="M399" i="2"/>
  <c r="L399" i="2"/>
  <c r="F399" i="2"/>
  <c r="E399" i="2"/>
  <c r="A399" i="2"/>
  <c r="M398" i="2"/>
  <c r="L398" i="2"/>
  <c r="F398" i="2"/>
  <c r="E398" i="2"/>
  <c r="D398" i="2"/>
  <c r="C398" i="2"/>
  <c r="A398" i="2"/>
  <c r="M397" i="2"/>
  <c r="L397" i="2"/>
  <c r="F397" i="2"/>
  <c r="E397" i="2"/>
  <c r="D397" i="2"/>
  <c r="C397" i="2"/>
  <c r="A397" i="2"/>
  <c r="M396" i="2"/>
  <c r="L396" i="2"/>
  <c r="F396" i="2"/>
  <c r="E396" i="2"/>
  <c r="A396" i="2"/>
  <c r="M395" i="2"/>
  <c r="L395" i="2"/>
  <c r="F395" i="2"/>
  <c r="E395" i="2"/>
  <c r="A395" i="2"/>
  <c r="M394" i="2"/>
  <c r="L394" i="2"/>
  <c r="F394" i="2"/>
  <c r="E394" i="2"/>
  <c r="D394" i="2"/>
  <c r="C394" i="2"/>
  <c r="A394" i="2"/>
  <c r="M393" i="2"/>
  <c r="L393" i="2"/>
  <c r="F393" i="2"/>
  <c r="E393" i="2"/>
  <c r="A393" i="2"/>
  <c r="M392" i="2"/>
  <c r="L392" i="2"/>
  <c r="F392" i="2"/>
  <c r="E392" i="2"/>
  <c r="A392" i="2"/>
  <c r="M391" i="2"/>
  <c r="L391" i="2"/>
  <c r="F391" i="2"/>
  <c r="E391" i="2"/>
  <c r="C391" i="2"/>
  <c r="A391" i="2"/>
  <c r="M390" i="2"/>
  <c r="L390" i="2"/>
  <c r="F390" i="2"/>
  <c r="E390" i="2"/>
  <c r="D390" i="2"/>
  <c r="C390" i="2"/>
  <c r="A390" i="2"/>
  <c r="M389" i="2"/>
  <c r="L389" i="2"/>
  <c r="F389" i="2"/>
  <c r="E389" i="2"/>
  <c r="A389" i="2"/>
  <c r="M388" i="2"/>
  <c r="L388" i="2"/>
  <c r="F388" i="2"/>
  <c r="E388" i="2"/>
  <c r="D388" i="2"/>
  <c r="C388" i="2"/>
  <c r="A388" i="2"/>
  <c r="M387" i="2"/>
  <c r="L387" i="2"/>
  <c r="F387" i="2"/>
  <c r="E387" i="2"/>
  <c r="D387" i="2"/>
  <c r="C387" i="2"/>
  <c r="A387" i="2"/>
  <c r="M386" i="2"/>
  <c r="L386" i="2"/>
  <c r="F386" i="2"/>
  <c r="E386" i="2"/>
  <c r="A386" i="2"/>
  <c r="M385" i="2"/>
  <c r="L385" i="2"/>
  <c r="F385" i="2"/>
  <c r="E385" i="2"/>
  <c r="D385" i="2"/>
  <c r="C385" i="2"/>
  <c r="A385" i="2"/>
  <c r="M384" i="2"/>
  <c r="L384" i="2"/>
  <c r="F384" i="2"/>
  <c r="E384" i="2"/>
  <c r="D384" i="2"/>
  <c r="C384" i="2"/>
  <c r="A384" i="2"/>
  <c r="M383" i="2"/>
  <c r="L383" i="2"/>
  <c r="F383" i="2"/>
  <c r="E383" i="2"/>
  <c r="D383" i="2"/>
  <c r="C383" i="2"/>
  <c r="A383" i="2"/>
  <c r="M382" i="2"/>
  <c r="L382" i="2"/>
  <c r="F382" i="2"/>
  <c r="E382" i="2"/>
  <c r="A382" i="2"/>
  <c r="M381" i="2"/>
  <c r="L381" i="2"/>
  <c r="F381" i="2"/>
  <c r="E381" i="2"/>
  <c r="A381" i="2"/>
  <c r="M380" i="2"/>
  <c r="L380" i="2"/>
  <c r="F380" i="2"/>
  <c r="E380" i="2"/>
  <c r="C380" i="2"/>
  <c r="A380" i="2"/>
  <c r="M379" i="2"/>
  <c r="L379" i="2"/>
  <c r="F379" i="2"/>
  <c r="E379" i="2"/>
  <c r="D379" i="2"/>
  <c r="C379" i="2"/>
  <c r="A379" i="2"/>
  <c r="M378" i="2"/>
  <c r="L378" i="2"/>
  <c r="F378" i="2"/>
  <c r="E378" i="2"/>
  <c r="D378" i="2"/>
  <c r="C378" i="2"/>
  <c r="A378" i="2"/>
  <c r="M377" i="2"/>
  <c r="L377" i="2"/>
  <c r="F377" i="2"/>
  <c r="E377" i="2"/>
  <c r="A377" i="2"/>
  <c r="M376" i="2"/>
  <c r="L376" i="2"/>
  <c r="F376" i="2"/>
  <c r="E376" i="2"/>
  <c r="A376" i="2"/>
  <c r="M375" i="2"/>
  <c r="L375" i="2"/>
  <c r="F375" i="2"/>
  <c r="E375" i="2"/>
  <c r="A375" i="2"/>
  <c r="M374" i="2"/>
  <c r="L374" i="2"/>
  <c r="F374" i="2"/>
  <c r="E374" i="2"/>
  <c r="D374" i="2"/>
  <c r="C374" i="2"/>
  <c r="A374" i="2"/>
  <c r="M373" i="2"/>
  <c r="L373" i="2"/>
  <c r="F373" i="2"/>
  <c r="E373" i="2"/>
  <c r="D373" i="2"/>
  <c r="C373" i="2"/>
  <c r="A373" i="2"/>
  <c r="M372" i="2"/>
  <c r="L372" i="2"/>
  <c r="F372" i="2"/>
  <c r="E372" i="2"/>
  <c r="D372" i="2"/>
  <c r="C372" i="2"/>
  <c r="A372" i="2"/>
  <c r="M371" i="2"/>
  <c r="L371" i="2"/>
  <c r="F371" i="2"/>
  <c r="E371" i="2"/>
  <c r="D371" i="2"/>
  <c r="C371" i="2"/>
  <c r="A371" i="2"/>
  <c r="M370" i="2"/>
  <c r="L370" i="2"/>
  <c r="F370" i="2"/>
  <c r="E370" i="2"/>
  <c r="A370" i="2"/>
  <c r="M369" i="2"/>
  <c r="L369" i="2"/>
  <c r="F369" i="2"/>
  <c r="E369" i="2"/>
  <c r="A369" i="2"/>
  <c r="M368" i="2"/>
  <c r="L368" i="2"/>
  <c r="F368" i="2"/>
  <c r="E368" i="2"/>
  <c r="D368" i="2"/>
  <c r="C368" i="2"/>
  <c r="A368" i="2"/>
  <c r="M367" i="2"/>
  <c r="L367" i="2"/>
  <c r="F367" i="2"/>
  <c r="E367" i="2"/>
  <c r="D367" i="2"/>
  <c r="C367" i="2"/>
  <c r="A367" i="2"/>
  <c r="M366" i="2"/>
  <c r="L366" i="2"/>
  <c r="F366" i="2"/>
  <c r="E366" i="2"/>
  <c r="D366" i="2"/>
  <c r="C366" i="2"/>
  <c r="A366" i="2"/>
  <c r="M365" i="2"/>
  <c r="L365" i="2"/>
  <c r="F365" i="2"/>
  <c r="E365" i="2"/>
  <c r="D365" i="2"/>
  <c r="C365" i="2"/>
  <c r="A365" i="2"/>
  <c r="M364" i="2"/>
  <c r="L364" i="2"/>
  <c r="F364" i="2"/>
  <c r="E364" i="2"/>
  <c r="A364" i="2"/>
  <c r="M363" i="2"/>
  <c r="L363" i="2"/>
  <c r="F363" i="2"/>
  <c r="E363" i="2"/>
  <c r="C363" i="2"/>
  <c r="A363" i="2"/>
  <c r="M362" i="2"/>
  <c r="L362" i="2"/>
  <c r="F362" i="2"/>
  <c r="E362" i="2"/>
  <c r="D362" i="2"/>
  <c r="C362" i="2"/>
  <c r="A362" i="2"/>
  <c r="M361" i="2"/>
  <c r="L361" i="2"/>
  <c r="F361" i="2"/>
  <c r="E361" i="2"/>
  <c r="D361" i="2"/>
  <c r="C361" i="2"/>
  <c r="A361" i="2"/>
  <c r="M360" i="2"/>
  <c r="L360" i="2"/>
  <c r="F360" i="2"/>
  <c r="E360" i="2"/>
  <c r="A360" i="2"/>
  <c r="M359" i="2"/>
  <c r="L359" i="2"/>
  <c r="F359" i="2"/>
  <c r="E359" i="2"/>
  <c r="A359" i="2"/>
  <c r="M358" i="2"/>
  <c r="L358" i="2"/>
  <c r="F358" i="2"/>
  <c r="E358" i="2"/>
  <c r="A358" i="2"/>
  <c r="M357" i="2"/>
  <c r="L357" i="2"/>
  <c r="F357" i="2"/>
  <c r="E357" i="2"/>
  <c r="D357" i="2"/>
  <c r="A357" i="2"/>
  <c r="M356" i="2"/>
  <c r="L356" i="2"/>
  <c r="F356" i="2"/>
  <c r="E356" i="2"/>
  <c r="D356" i="2"/>
  <c r="C356" i="2"/>
  <c r="A356" i="2"/>
  <c r="M355" i="2"/>
  <c r="L355" i="2"/>
  <c r="F355" i="2"/>
  <c r="E355" i="2"/>
  <c r="A355" i="2"/>
  <c r="M354" i="2"/>
  <c r="L354" i="2"/>
  <c r="F354" i="2"/>
  <c r="E354" i="2"/>
  <c r="A354" i="2"/>
  <c r="M353" i="2"/>
  <c r="L353" i="2"/>
  <c r="F353" i="2"/>
  <c r="E353" i="2"/>
  <c r="A353" i="2"/>
  <c r="M352" i="2"/>
  <c r="L352" i="2"/>
  <c r="F352" i="2"/>
  <c r="E352" i="2"/>
  <c r="A352" i="2"/>
  <c r="M351" i="2"/>
  <c r="L351" i="2"/>
  <c r="F351" i="2"/>
  <c r="E351" i="2"/>
  <c r="D351" i="2"/>
  <c r="C351" i="2"/>
  <c r="A351" i="2"/>
  <c r="M350" i="2"/>
  <c r="L350" i="2"/>
  <c r="F350" i="2"/>
  <c r="E350" i="2"/>
  <c r="A350" i="2"/>
  <c r="M349" i="2"/>
  <c r="L349" i="2"/>
  <c r="F349" i="2"/>
  <c r="E349" i="2"/>
  <c r="D349" i="2"/>
  <c r="C349" i="2"/>
  <c r="A349" i="2"/>
  <c r="M348" i="2"/>
  <c r="L348" i="2"/>
  <c r="F348" i="2"/>
  <c r="E348" i="2"/>
  <c r="D348" i="2"/>
  <c r="C348" i="2"/>
  <c r="A348" i="2"/>
  <c r="M347" i="2"/>
  <c r="L347" i="2"/>
  <c r="F347" i="2"/>
  <c r="E347" i="2"/>
  <c r="D347" i="2"/>
  <c r="C347" i="2"/>
  <c r="A347" i="2"/>
  <c r="M346" i="2"/>
  <c r="L346" i="2"/>
  <c r="F346" i="2"/>
  <c r="E346" i="2"/>
  <c r="A346" i="2"/>
  <c r="M345" i="2"/>
  <c r="L345" i="2"/>
  <c r="F345" i="2"/>
  <c r="E345" i="2"/>
  <c r="A345" i="2"/>
  <c r="M344" i="2"/>
  <c r="L344" i="2"/>
  <c r="F344" i="2"/>
  <c r="E344" i="2"/>
  <c r="A344" i="2"/>
  <c r="M343" i="2"/>
  <c r="L343" i="2"/>
  <c r="F343" i="2"/>
  <c r="E343" i="2"/>
  <c r="A343" i="2"/>
  <c r="M342" i="2"/>
  <c r="L342" i="2"/>
  <c r="F342" i="2"/>
  <c r="E342" i="2"/>
  <c r="D342" i="2"/>
  <c r="C342" i="2"/>
  <c r="A342" i="2"/>
  <c r="M341" i="2"/>
  <c r="L341" i="2"/>
  <c r="F341" i="2"/>
  <c r="E341" i="2"/>
  <c r="D341" i="2"/>
  <c r="C341" i="2"/>
  <c r="A341" i="2"/>
  <c r="M340" i="2"/>
  <c r="L340" i="2"/>
  <c r="F340" i="2"/>
  <c r="E340" i="2"/>
  <c r="D340" i="2"/>
  <c r="C340" i="2"/>
  <c r="A340" i="2"/>
  <c r="M339" i="2"/>
  <c r="L339" i="2"/>
  <c r="F339" i="2"/>
  <c r="E339" i="2"/>
  <c r="D339" i="2"/>
  <c r="C339" i="2"/>
  <c r="A339" i="2"/>
  <c r="M338" i="2"/>
  <c r="L338" i="2"/>
  <c r="F338" i="2"/>
  <c r="E338" i="2"/>
  <c r="A338" i="2"/>
  <c r="M337" i="2"/>
  <c r="L337" i="2"/>
  <c r="F337" i="2"/>
  <c r="E337" i="2"/>
  <c r="A337" i="2"/>
  <c r="M336" i="2"/>
  <c r="L336" i="2"/>
  <c r="F336" i="2"/>
  <c r="E336" i="2"/>
  <c r="A336" i="2"/>
  <c r="M335" i="2"/>
  <c r="L335" i="2"/>
  <c r="F335" i="2"/>
  <c r="E335" i="2"/>
  <c r="A335" i="2"/>
  <c r="M334" i="2"/>
  <c r="L334" i="2"/>
  <c r="F334" i="2"/>
  <c r="E334" i="2"/>
  <c r="D334" i="2"/>
  <c r="C334" i="2"/>
  <c r="A334" i="2"/>
  <c r="M333" i="2"/>
  <c r="L333" i="2"/>
  <c r="F333" i="2"/>
  <c r="E333" i="2"/>
  <c r="D333" i="2"/>
  <c r="C333" i="2"/>
  <c r="A333" i="2"/>
  <c r="M332" i="2"/>
  <c r="L332" i="2"/>
  <c r="F332" i="2"/>
  <c r="E332" i="2"/>
  <c r="A332" i="2"/>
  <c r="M331" i="2"/>
  <c r="L331" i="2"/>
  <c r="F331" i="2"/>
  <c r="E331" i="2"/>
  <c r="D331" i="2"/>
  <c r="C331" i="2"/>
  <c r="A331" i="2"/>
  <c r="M330" i="2"/>
  <c r="L330" i="2"/>
  <c r="F330" i="2"/>
  <c r="E330" i="2"/>
  <c r="C330" i="2"/>
  <c r="A330" i="2"/>
  <c r="M329" i="2"/>
  <c r="L329" i="2"/>
  <c r="F329" i="2"/>
  <c r="E329" i="2"/>
  <c r="A329" i="2"/>
  <c r="M328" i="2"/>
  <c r="L328" i="2"/>
  <c r="F328" i="2"/>
  <c r="E328" i="2"/>
  <c r="D328" i="2"/>
  <c r="C328" i="2"/>
  <c r="A328" i="2"/>
  <c r="M327" i="2"/>
  <c r="L327" i="2"/>
  <c r="F327" i="2"/>
  <c r="E327" i="2"/>
  <c r="A327" i="2"/>
  <c r="M326" i="2"/>
  <c r="L326" i="2"/>
  <c r="F326" i="2"/>
  <c r="E326" i="2"/>
  <c r="A326" i="2"/>
  <c r="M325" i="2"/>
  <c r="L325" i="2"/>
  <c r="F325" i="2"/>
  <c r="E325" i="2"/>
  <c r="D325" i="2"/>
  <c r="C325" i="2"/>
  <c r="A325" i="2"/>
  <c r="M324" i="2"/>
  <c r="L324" i="2"/>
  <c r="F324" i="2"/>
  <c r="E324" i="2"/>
  <c r="D324" i="2"/>
  <c r="C324" i="2"/>
  <c r="A324" i="2"/>
  <c r="M323" i="2"/>
  <c r="L323" i="2"/>
  <c r="F323" i="2"/>
  <c r="E323" i="2"/>
  <c r="A323" i="2"/>
  <c r="M322" i="2"/>
  <c r="L322" i="2"/>
  <c r="F322" i="2"/>
  <c r="E322" i="2"/>
  <c r="A322" i="2"/>
  <c r="M321" i="2"/>
  <c r="L321" i="2"/>
  <c r="F321" i="2"/>
  <c r="E321" i="2"/>
  <c r="A321" i="2"/>
  <c r="M320" i="2"/>
  <c r="L320" i="2"/>
  <c r="F320" i="2"/>
  <c r="E320" i="2"/>
  <c r="A320" i="2"/>
  <c r="M319" i="2"/>
  <c r="L319" i="2"/>
  <c r="F319" i="2"/>
  <c r="E319" i="2"/>
  <c r="C319" i="2"/>
  <c r="A319" i="2"/>
  <c r="M318" i="2"/>
  <c r="L318" i="2"/>
  <c r="F318" i="2"/>
  <c r="E318" i="2"/>
  <c r="A318" i="2"/>
  <c r="M317" i="2"/>
  <c r="L317" i="2"/>
  <c r="F317" i="2"/>
  <c r="E317" i="2"/>
  <c r="D317" i="2"/>
  <c r="C317" i="2"/>
  <c r="A317" i="2"/>
  <c r="M316" i="2"/>
  <c r="L316" i="2"/>
  <c r="F316" i="2"/>
  <c r="E316" i="2"/>
  <c r="A316" i="2"/>
  <c r="M315" i="2"/>
  <c r="L315" i="2"/>
  <c r="F315" i="2"/>
  <c r="E315" i="2"/>
  <c r="C315" i="2"/>
  <c r="A315" i="2"/>
  <c r="M314" i="2"/>
  <c r="L314" i="2"/>
  <c r="F314" i="2"/>
  <c r="E314" i="2"/>
  <c r="A314" i="2"/>
  <c r="M313" i="2"/>
  <c r="L313" i="2"/>
  <c r="F313" i="2"/>
  <c r="E313" i="2"/>
  <c r="D313" i="2"/>
  <c r="C313" i="2"/>
  <c r="A313" i="2"/>
  <c r="M312" i="2"/>
  <c r="L312" i="2"/>
  <c r="F312" i="2"/>
  <c r="E312" i="2"/>
  <c r="D312" i="2"/>
  <c r="C312" i="2"/>
  <c r="A312" i="2"/>
  <c r="M311" i="2"/>
  <c r="L311" i="2"/>
  <c r="F311" i="2"/>
  <c r="E311" i="2"/>
  <c r="A311" i="2"/>
  <c r="M310" i="2"/>
  <c r="L310" i="2"/>
  <c r="F310" i="2"/>
  <c r="E310" i="2"/>
  <c r="A310" i="2"/>
  <c r="M309" i="2"/>
  <c r="L309" i="2"/>
  <c r="F309" i="2"/>
  <c r="E309" i="2"/>
  <c r="C309" i="2"/>
  <c r="A309" i="2"/>
  <c r="M308" i="2"/>
  <c r="L308" i="2"/>
  <c r="F308" i="2"/>
  <c r="E308" i="2"/>
  <c r="A308" i="2"/>
  <c r="M307" i="2"/>
  <c r="L307" i="2"/>
  <c r="F307" i="2"/>
  <c r="E307" i="2"/>
  <c r="D307" i="2"/>
  <c r="C307" i="2"/>
  <c r="A307" i="2"/>
  <c r="M306" i="2"/>
  <c r="L306" i="2"/>
  <c r="F306" i="2"/>
  <c r="E306" i="2"/>
  <c r="A306" i="2"/>
  <c r="M305" i="2"/>
  <c r="L305" i="2"/>
  <c r="F305" i="2"/>
  <c r="E305" i="2"/>
  <c r="A305" i="2"/>
  <c r="M304" i="2"/>
  <c r="L304" i="2"/>
  <c r="F304" i="2"/>
  <c r="E304" i="2"/>
  <c r="C304" i="2"/>
  <c r="A304" i="2"/>
  <c r="M303" i="2"/>
  <c r="L303" i="2"/>
  <c r="F303" i="2"/>
  <c r="E303" i="2"/>
  <c r="A303" i="2"/>
  <c r="M302" i="2"/>
  <c r="L302" i="2"/>
  <c r="F302" i="2"/>
  <c r="E302" i="2"/>
  <c r="C302" i="2"/>
  <c r="A302" i="2"/>
  <c r="M301" i="2"/>
  <c r="L301" i="2"/>
  <c r="F301" i="2"/>
  <c r="E301" i="2"/>
  <c r="A301" i="2"/>
  <c r="M300" i="2"/>
  <c r="L300" i="2"/>
  <c r="F300" i="2"/>
  <c r="E300" i="2"/>
  <c r="A300" i="2"/>
  <c r="M299" i="2"/>
  <c r="L299" i="2"/>
  <c r="F299" i="2"/>
  <c r="E299" i="2"/>
  <c r="A299" i="2"/>
  <c r="M298" i="2"/>
  <c r="L298" i="2"/>
  <c r="F298" i="2"/>
  <c r="E298" i="2"/>
  <c r="A298" i="2"/>
  <c r="M297" i="2"/>
  <c r="L297" i="2"/>
  <c r="F297" i="2"/>
  <c r="E297" i="2"/>
  <c r="D297" i="2"/>
  <c r="C297" i="2"/>
  <c r="A297" i="2"/>
  <c r="M296" i="2"/>
  <c r="L296" i="2"/>
  <c r="F296" i="2"/>
  <c r="E296" i="2"/>
  <c r="A296" i="2"/>
  <c r="M295" i="2"/>
  <c r="L295" i="2"/>
  <c r="F295" i="2"/>
  <c r="E295" i="2"/>
  <c r="D295" i="2"/>
  <c r="C295" i="2"/>
  <c r="A295" i="2"/>
  <c r="M294" i="2"/>
  <c r="L294" i="2"/>
  <c r="F294" i="2"/>
  <c r="E294" i="2"/>
  <c r="A294" i="2"/>
  <c r="M293" i="2"/>
  <c r="L293" i="2"/>
  <c r="F293" i="2"/>
  <c r="E293" i="2"/>
  <c r="C293" i="2"/>
  <c r="A293" i="2"/>
  <c r="M292" i="2"/>
  <c r="L292" i="2"/>
  <c r="F292" i="2"/>
  <c r="E292" i="2"/>
  <c r="A292" i="2"/>
  <c r="M291" i="2"/>
  <c r="L291" i="2"/>
  <c r="F291" i="2"/>
  <c r="E291" i="2"/>
  <c r="D291" i="2"/>
  <c r="C291" i="2"/>
  <c r="A291" i="2"/>
  <c r="M290" i="2"/>
  <c r="L290" i="2"/>
  <c r="F290" i="2"/>
  <c r="E290" i="2"/>
  <c r="D290" i="2"/>
  <c r="C290" i="2"/>
  <c r="A290" i="2"/>
  <c r="M289" i="2"/>
  <c r="L289" i="2"/>
  <c r="F289" i="2"/>
  <c r="E289" i="2"/>
  <c r="D289" i="2"/>
  <c r="C289" i="2"/>
  <c r="A289" i="2"/>
  <c r="M288" i="2"/>
  <c r="L288" i="2"/>
  <c r="F288" i="2"/>
  <c r="E288" i="2"/>
  <c r="D288" i="2"/>
  <c r="C288" i="2"/>
  <c r="A288" i="2"/>
  <c r="M287" i="2"/>
  <c r="L287" i="2"/>
  <c r="F287" i="2"/>
  <c r="E287" i="2"/>
  <c r="A287" i="2"/>
  <c r="M286" i="2"/>
  <c r="L286" i="2"/>
  <c r="F286" i="2"/>
  <c r="E286" i="2"/>
  <c r="C286" i="2"/>
  <c r="A286" i="2"/>
  <c r="M285" i="2"/>
  <c r="L285" i="2"/>
  <c r="F285" i="2"/>
  <c r="E285" i="2"/>
  <c r="A285" i="2"/>
  <c r="M284" i="2"/>
  <c r="L284" i="2"/>
  <c r="F284" i="2"/>
  <c r="E284" i="2"/>
  <c r="C284" i="2"/>
  <c r="A284" i="2"/>
  <c r="M283" i="2"/>
  <c r="L283" i="2"/>
  <c r="F283" i="2"/>
  <c r="E283" i="2"/>
  <c r="A283" i="2"/>
  <c r="M282" i="2"/>
  <c r="L282" i="2"/>
  <c r="F282" i="2"/>
  <c r="E282" i="2"/>
  <c r="A282" i="2"/>
  <c r="M281" i="2"/>
  <c r="L281" i="2"/>
  <c r="F281" i="2"/>
  <c r="E281" i="2"/>
  <c r="C281" i="2"/>
  <c r="A281" i="2"/>
  <c r="M280" i="2"/>
  <c r="L280" i="2"/>
  <c r="F280" i="2"/>
  <c r="E280" i="2"/>
  <c r="A280" i="2"/>
  <c r="M279" i="2"/>
  <c r="L279" i="2"/>
  <c r="F279" i="2"/>
  <c r="E279" i="2"/>
  <c r="D279" i="2"/>
  <c r="C279" i="2"/>
  <c r="A279" i="2"/>
  <c r="M278" i="2"/>
  <c r="L278" i="2"/>
  <c r="F278" i="2"/>
  <c r="E278" i="2"/>
  <c r="A278" i="2"/>
  <c r="M277" i="2"/>
  <c r="L277" i="2"/>
  <c r="F277" i="2"/>
  <c r="E277" i="2"/>
  <c r="A277" i="2"/>
  <c r="M276" i="2"/>
  <c r="L276" i="2"/>
  <c r="F276" i="2"/>
  <c r="E276" i="2"/>
  <c r="A276" i="2"/>
  <c r="M275" i="2"/>
  <c r="L275" i="2"/>
  <c r="F275" i="2"/>
  <c r="E275" i="2"/>
  <c r="A275" i="2"/>
  <c r="M274" i="2"/>
  <c r="L274" i="2"/>
  <c r="F274" i="2"/>
  <c r="E274" i="2"/>
  <c r="D274" i="2"/>
  <c r="C274" i="2"/>
  <c r="A274" i="2"/>
  <c r="M273" i="2"/>
  <c r="L273" i="2"/>
  <c r="F273" i="2"/>
  <c r="E273" i="2"/>
  <c r="D273" i="2"/>
  <c r="C273" i="2"/>
  <c r="A273" i="2"/>
  <c r="M272" i="2"/>
  <c r="L272" i="2"/>
  <c r="F272" i="2"/>
  <c r="E272" i="2"/>
  <c r="D272" i="2"/>
  <c r="C272" i="2"/>
  <c r="A272" i="2"/>
  <c r="M271" i="2"/>
  <c r="L271" i="2"/>
  <c r="F271" i="2"/>
  <c r="E271" i="2"/>
  <c r="A271" i="2"/>
  <c r="M270" i="2"/>
  <c r="L270" i="2"/>
  <c r="F270" i="2"/>
  <c r="E270" i="2"/>
  <c r="D270" i="2"/>
  <c r="C270" i="2"/>
  <c r="A270" i="2"/>
  <c r="M269" i="2"/>
  <c r="L269" i="2"/>
  <c r="F269" i="2"/>
  <c r="E269" i="2"/>
  <c r="D269" i="2"/>
  <c r="C269" i="2"/>
  <c r="A269" i="2"/>
  <c r="M268" i="2"/>
  <c r="L268" i="2"/>
  <c r="F268" i="2"/>
  <c r="E268" i="2"/>
  <c r="A268" i="2"/>
  <c r="M267" i="2"/>
  <c r="L267" i="2"/>
  <c r="F267" i="2"/>
  <c r="E267" i="2"/>
  <c r="C267" i="2"/>
  <c r="A267" i="2"/>
  <c r="M266" i="2"/>
  <c r="L266" i="2"/>
  <c r="F266" i="2"/>
  <c r="E266" i="2"/>
  <c r="A266" i="2"/>
  <c r="M265" i="2"/>
  <c r="L265" i="2"/>
  <c r="F265" i="2"/>
  <c r="E265" i="2"/>
  <c r="A265" i="2"/>
  <c r="M264" i="2"/>
  <c r="L264" i="2"/>
  <c r="F264" i="2"/>
  <c r="E264" i="2"/>
  <c r="D264" i="2"/>
  <c r="C264" i="2"/>
  <c r="A264" i="2"/>
  <c r="M263" i="2"/>
  <c r="L263" i="2"/>
  <c r="F263" i="2"/>
  <c r="E263" i="2"/>
  <c r="A263" i="2"/>
  <c r="M262" i="2"/>
  <c r="L262" i="2"/>
  <c r="F262" i="2"/>
  <c r="E262" i="2"/>
  <c r="A262" i="2"/>
  <c r="M261" i="2"/>
  <c r="L261" i="2"/>
  <c r="F261" i="2"/>
  <c r="E261" i="2"/>
  <c r="A261" i="2"/>
  <c r="M260" i="2"/>
  <c r="L260" i="2"/>
  <c r="F260" i="2"/>
  <c r="E260" i="2"/>
  <c r="A260" i="2"/>
  <c r="M259" i="2"/>
  <c r="L259" i="2"/>
  <c r="F259" i="2"/>
  <c r="E259" i="2"/>
  <c r="A259" i="2"/>
  <c r="M258" i="2"/>
  <c r="L258" i="2"/>
  <c r="F258" i="2"/>
  <c r="E258" i="2"/>
  <c r="D258" i="2"/>
  <c r="C258" i="2"/>
  <c r="A258" i="2"/>
  <c r="M257" i="2"/>
  <c r="L257" i="2"/>
  <c r="F257" i="2"/>
  <c r="E257" i="2"/>
  <c r="D257" i="2"/>
  <c r="C257" i="2"/>
  <c r="A257" i="2"/>
  <c r="M256" i="2"/>
  <c r="L256" i="2"/>
  <c r="F256" i="2"/>
  <c r="E256" i="2"/>
  <c r="A256" i="2"/>
  <c r="M255" i="2"/>
  <c r="L255" i="2"/>
  <c r="F255" i="2"/>
  <c r="E255" i="2"/>
  <c r="D255" i="2"/>
  <c r="C255" i="2"/>
  <c r="A255" i="2"/>
  <c r="M254" i="2"/>
  <c r="L254" i="2"/>
  <c r="F254" i="2"/>
  <c r="E254" i="2"/>
  <c r="A254" i="2"/>
  <c r="M253" i="2"/>
  <c r="L253" i="2"/>
  <c r="F253" i="2"/>
  <c r="E253" i="2"/>
  <c r="A253" i="2"/>
  <c r="M252" i="2"/>
  <c r="L252" i="2"/>
  <c r="F252" i="2"/>
  <c r="E252" i="2"/>
  <c r="D252" i="2"/>
  <c r="C252" i="2"/>
  <c r="A252" i="2"/>
  <c r="M251" i="2"/>
  <c r="L251" i="2"/>
  <c r="F251" i="2"/>
  <c r="E251" i="2"/>
  <c r="D251" i="2"/>
  <c r="C251" i="2"/>
  <c r="A251" i="2"/>
  <c r="M250" i="2"/>
  <c r="L250" i="2"/>
  <c r="F250" i="2"/>
  <c r="E250" i="2"/>
  <c r="A250" i="2"/>
  <c r="M249" i="2"/>
  <c r="L249" i="2"/>
  <c r="F249" i="2"/>
  <c r="E249" i="2"/>
  <c r="A249" i="2"/>
  <c r="M248" i="2"/>
  <c r="L248" i="2"/>
  <c r="F248" i="2"/>
  <c r="E248" i="2"/>
  <c r="A248" i="2"/>
  <c r="M247" i="2"/>
  <c r="L247" i="2"/>
  <c r="F247" i="2"/>
  <c r="E247" i="2"/>
  <c r="D247" i="2"/>
  <c r="C247" i="2"/>
  <c r="A247" i="2"/>
  <c r="M246" i="2"/>
  <c r="L246" i="2"/>
  <c r="F246" i="2"/>
  <c r="E246" i="2"/>
  <c r="D246" i="2"/>
  <c r="C246" i="2"/>
  <c r="A246" i="2"/>
  <c r="M245" i="2"/>
  <c r="L245" i="2"/>
  <c r="F245" i="2"/>
  <c r="E245" i="2"/>
  <c r="A245" i="2"/>
  <c r="M244" i="2"/>
  <c r="L244" i="2"/>
  <c r="F244" i="2"/>
  <c r="E244" i="2"/>
  <c r="A244" i="2"/>
  <c r="M243" i="2"/>
  <c r="L243" i="2"/>
  <c r="F243" i="2"/>
  <c r="E243" i="2"/>
  <c r="D243" i="2"/>
  <c r="C243" i="2"/>
  <c r="A243" i="2"/>
  <c r="M242" i="2"/>
  <c r="L242" i="2"/>
  <c r="F242" i="2"/>
  <c r="E242" i="2"/>
  <c r="A242" i="2"/>
  <c r="M241" i="2"/>
  <c r="L241" i="2"/>
  <c r="F241" i="2"/>
  <c r="E241" i="2"/>
  <c r="A241" i="2"/>
  <c r="M240" i="2"/>
  <c r="L240" i="2"/>
  <c r="F240" i="2"/>
  <c r="E240" i="2"/>
  <c r="C240" i="2"/>
  <c r="A240" i="2"/>
  <c r="M239" i="2"/>
  <c r="L239" i="2"/>
  <c r="F239" i="2"/>
  <c r="E239" i="2"/>
  <c r="A239" i="2"/>
  <c r="M238" i="2"/>
  <c r="L238" i="2"/>
  <c r="F238" i="2"/>
  <c r="E238" i="2"/>
  <c r="D238" i="2"/>
  <c r="C238" i="2"/>
  <c r="A238" i="2"/>
  <c r="M237" i="2"/>
  <c r="L237" i="2"/>
  <c r="F237" i="2"/>
  <c r="E237" i="2"/>
  <c r="D237" i="2"/>
  <c r="C237" i="2"/>
  <c r="A237" i="2"/>
  <c r="M236" i="2"/>
  <c r="L236" i="2"/>
  <c r="F236" i="2"/>
  <c r="E236" i="2"/>
  <c r="A236" i="2"/>
  <c r="M235" i="2"/>
  <c r="L235" i="2"/>
  <c r="F235" i="2"/>
  <c r="E235" i="2"/>
  <c r="D235" i="2"/>
  <c r="C235" i="2"/>
  <c r="A235" i="2"/>
  <c r="M234" i="2"/>
  <c r="L234" i="2"/>
  <c r="F234" i="2"/>
  <c r="E234" i="2"/>
  <c r="D234" i="2"/>
  <c r="C234" i="2"/>
  <c r="A234" i="2"/>
  <c r="M233" i="2"/>
  <c r="L233" i="2"/>
  <c r="F233" i="2"/>
  <c r="E233" i="2"/>
  <c r="A233" i="2"/>
  <c r="M232" i="2"/>
  <c r="L232" i="2"/>
  <c r="F232" i="2"/>
  <c r="E232" i="2"/>
  <c r="A232" i="2"/>
  <c r="M231" i="2"/>
  <c r="L231" i="2"/>
  <c r="F231" i="2"/>
  <c r="E231" i="2"/>
  <c r="D231" i="2"/>
  <c r="C231" i="2"/>
  <c r="A231" i="2"/>
  <c r="M230" i="2"/>
  <c r="L230" i="2"/>
  <c r="F230" i="2"/>
  <c r="E230" i="2"/>
  <c r="D230" i="2"/>
  <c r="C230" i="2"/>
  <c r="A230" i="2"/>
  <c r="M229" i="2"/>
  <c r="L229" i="2"/>
  <c r="F229" i="2"/>
  <c r="E229" i="2"/>
  <c r="A229" i="2"/>
  <c r="M228" i="2"/>
  <c r="L228" i="2"/>
  <c r="F228" i="2"/>
  <c r="E228" i="2"/>
  <c r="A228" i="2"/>
  <c r="M227" i="2"/>
  <c r="L227" i="2"/>
  <c r="F227" i="2"/>
  <c r="E227" i="2"/>
  <c r="A227" i="2"/>
  <c r="M226" i="2"/>
  <c r="L226" i="2"/>
  <c r="F226" i="2"/>
  <c r="E226" i="2"/>
  <c r="A226" i="2"/>
  <c r="M225" i="2"/>
  <c r="L225" i="2"/>
  <c r="F225" i="2"/>
  <c r="E225" i="2"/>
  <c r="A225" i="2"/>
  <c r="M224" i="2"/>
  <c r="L224" i="2"/>
  <c r="F224" i="2"/>
  <c r="E224" i="2"/>
  <c r="D224" i="2"/>
  <c r="C224" i="2"/>
  <c r="A224" i="2"/>
  <c r="M223" i="2"/>
  <c r="L223" i="2"/>
  <c r="F223" i="2"/>
  <c r="E223" i="2"/>
  <c r="D223" i="2"/>
  <c r="C223" i="2"/>
  <c r="A223" i="2"/>
  <c r="M222" i="2"/>
  <c r="L222" i="2"/>
  <c r="F222" i="2"/>
  <c r="E222" i="2"/>
  <c r="D222" i="2"/>
  <c r="C222" i="2"/>
  <c r="A222" i="2"/>
  <c r="M221" i="2"/>
  <c r="L221" i="2"/>
  <c r="F221" i="2"/>
  <c r="E221" i="2"/>
  <c r="A221" i="2"/>
  <c r="M220" i="2"/>
  <c r="L220" i="2"/>
  <c r="F220" i="2"/>
  <c r="E220" i="2"/>
  <c r="A220" i="2"/>
  <c r="M219" i="2"/>
  <c r="L219" i="2"/>
  <c r="F219" i="2"/>
  <c r="E219" i="2"/>
  <c r="D219" i="2"/>
  <c r="C219" i="2"/>
  <c r="A219" i="2"/>
  <c r="M218" i="2"/>
  <c r="L218" i="2"/>
  <c r="F218" i="2"/>
  <c r="E218" i="2"/>
  <c r="D218" i="2"/>
  <c r="C218" i="2"/>
  <c r="A218" i="2"/>
  <c r="M217" i="2"/>
  <c r="L217" i="2"/>
  <c r="F217" i="2"/>
  <c r="E217" i="2"/>
  <c r="A217" i="2"/>
  <c r="M216" i="2"/>
  <c r="L216" i="2"/>
  <c r="F216" i="2"/>
  <c r="E216" i="2"/>
  <c r="A216" i="2"/>
  <c r="M215" i="2"/>
  <c r="L215" i="2"/>
  <c r="F215" i="2"/>
  <c r="E215" i="2"/>
  <c r="D215" i="2"/>
  <c r="C215" i="2"/>
  <c r="A215" i="2"/>
  <c r="M214" i="2"/>
  <c r="L214" i="2"/>
  <c r="F214" i="2"/>
  <c r="E214" i="2"/>
  <c r="A214" i="2"/>
  <c r="M213" i="2"/>
  <c r="L213" i="2"/>
  <c r="F213" i="2"/>
  <c r="E213" i="2"/>
  <c r="A213" i="2"/>
  <c r="M212" i="2"/>
  <c r="L212" i="2"/>
  <c r="F212" i="2"/>
  <c r="E212" i="2"/>
  <c r="A212" i="2"/>
  <c r="M211" i="2"/>
  <c r="L211" i="2"/>
  <c r="F211" i="2"/>
  <c r="E211" i="2"/>
  <c r="A211" i="2"/>
  <c r="M210" i="2"/>
  <c r="L210" i="2"/>
  <c r="F210" i="2"/>
  <c r="E210" i="2"/>
  <c r="A210" i="2"/>
  <c r="M209" i="2"/>
  <c r="L209" i="2"/>
  <c r="F209" i="2"/>
  <c r="E209" i="2"/>
  <c r="D209" i="2"/>
  <c r="C209" i="2"/>
  <c r="A209" i="2"/>
  <c r="M208" i="2"/>
  <c r="L208" i="2"/>
  <c r="F208" i="2"/>
  <c r="E208" i="2"/>
  <c r="A208" i="2"/>
  <c r="M207" i="2"/>
  <c r="L207" i="2"/>
  <c r="F207" i="2"/>
  <c r="E207" i="2"/>
  <c r="A207" i="2"/>
  <c r="M206" i="2"/>
  <c r="L206" i="2"/>
  <c r="F206" i="2"/>
  <c r="E206" i="2"/>
  <c r="D206" i="2"/>
  <c r="C206" i="2"/>
  <c r="A206" i="2"/>
  <c r="M205" i="2"/>
  <c r="L205" i="2"/>
  <c r="F205" i="2"/>
  <c r="E205" i="2"/>
  <c r="D205" i="2"/>
  <c r="C205" i="2"/>
  <c r="A205" i="2"/>
  <c r="M204" i="2"/>
  <c r="L204" i="2"/>
  <c r="F204" i="2"/>
  <c r="E204" i="2"/>
  <c r="A204" i="2"/>
  <c r="M203" i="2"/>
  <c r="L203" i="2"/>
  <c r="F203" i="2"/>
  <c r="E203" i="2"/>
  <c r="C203" i="2"/>
  <c r="A203" i="2"/>
  <c r="M202" i="2"/>
  <c r="L202" i="2"/>
  <c r="F202" i="2"/>
  <c r="E202" i="2"/>
  <c r="A202" i="2"/>
  <c r="M201" i="2"/>
  <c r="L201" i="2"/>
  <c r="F201" i="2"/>
  <c r="E201" i="2"/>
  <c r="D201" i="2"/>
  <c r="C201" i="2"/>
  <c r="A201" i="2"/>
  <c r="M200" i="2"/>
  <c r="L200" i="2"/>
  <c r="F200" i="2"/>
  <c r="E200" i="2"/>
  <c r="D200" i="2"/>
  <c r="C200" i="2"/>
  <c r="A200" i="2"/>
  <c r="M199" i="2"/>
  <c r="L199" i="2"/>
  <c r="F199" i="2"/>
  <c r="E199" i="2"/>
  <c r="A199" i="2"/>
  <c r="M198" i="2"/>
  <c r="L198" i="2"/>
  <c r="F198" i="2"/>
  <c r="E198" i="2"/>
  <c r="D198" i="2"/>
  <c r="C198" i="2"/>
  <c r="A198" i="2"/>
  <c r="M197" i="2"/>
  <c r="L197" i="2"/>
  <c r="F197" i="2"/>
  <c r="E197" i="2"/>
  <c r="A197" i="2"/>
  <c r="M196" i="2"/>
  <c r="L196" i="2"/>
  <c r="F196" i="2"/>
  <c r="E196" i="2"/>
  <c r="C196" i="2"/>
  <c r="A196" i="2"/>
  <c r="M195" i="2"/>
  <c r="L195" i="2"/>
  <c r="F195" i="2"/>
  <c r="E195" i="2"/>
  <c r="A195" i="2"/>
  <c r="M194" i="2"/>
  <c r="L194" i="2"/>
  <c r="F194" i="2"/>
  <c r="E194" i="2"/>
  <c r="A194" i="2"/>
  <c r="M193" i="2"/>
  <c r="L193" i="2"/>
  <c r="F193" i="2"/>
  <c r="E193" i="2"/>
  <c r="D193" i="2"/>
  <c r="C193" i="2"/>
  <c r="A193" i="2"/>
  <c r="M192" i="2"/>
  <c r="L192" i="2"/>
  <c r="F192" i="2"/>
  <c r="E192" i="2"/>
  <c r="D192" i="2"/>
  <c r="C192" i="2"/>
  <c r="A192" i="2"/>
  <c r="M191" i="2"/>
  <c r="L191" i="2"/>
  <c r="F191" i="2"/>
  <c r="E191" i="2"/>
  <c r="D191" i="2"/>
  <c r="C191" i="2"/>
  <c r="A191" i="2"/>
  <c r="M190" i="2"/>
  <c r="L190" i="2"/>
  <c r="F190" i="2"/>
  <c r="E190" i="2"/>
  <c r="A190" i="2"/>
  <c r="M189" i="2"/>
  <c r="L189" i="2"/>
  <c r="F189" i="2"/>
  <c r="E189" i="2"/>
  <c r="A189" i="2"/>
  <c r="M188" i="2"/>
  <c r="L188" i="2"/>
  <c r="F188" i="2"/>
  <c r="E188" i="2"/>
  <c r="A188" i="2"/>
  <c r="M187" i="2"/>
  <c r="L187" i="2"/>
  <c r="F187" i="2"/>
  <c r="E187" i="2"/>
  <c r="A187" i="2"/>
  <c r="M186" i="2"/>
  <c r="L186" i="2"/>
  <c r="F186" i="2"/>
  <c r="E186" i="2"/>
  <c r="A186" i="2"/>
  <c r="M185" i="2"/>
  <c r="L185" i="2"/>
  <c r="F185" i="2"/>
  <c r="E185" i="2"/>
  <c r="D185" i="2"/>
  <c r="C185" i="2"/>
  <c r="A185" i="2"/>
  <c r="M184" i="2"/>
  <c r="L184" i="2"/>
  <c r="F184" i="2"/>
  <c r="E184" i="2"/>
  <c r="C184" i="2"/>
  <c r="A184" i="2"/>
  <c r="M183" i="2"/>
  <c r="L183" i="2"/>
  <c r="F183" i="2"/>
  <c r="E183" i="2"/>
  <c r="A183" i="2"/>
  <c r="M182" i="2"/>
  <c r="L182" i="2"/>
  <c r="F182" i="2"/>
  <c r="E182" i="2"/>
  <c r="C182" i="2"/>
  <c r="A182" i="2"/>
  <c r="M181" i="2"/>
  <c r="L181" i="2"/>
  <c r="F181" i="2"/>
  <c r="E181" i="2"/>
  <c r="C181" i="2"/>
  <c r="A181" i="2"/>
  <c r="M180" i="2"/>
  <c r="L180" i="2"/>
  <c r="F180" i="2"/>
  <c r="E180" i="2"/>
  <c r="C180" i="2"/>
  <c r="A180" i="2"/>
  <c r="M179" i="2"/>
  <c r="L179" i="2"/>
  <c r="F179" i="2"/>
  <c r="E179" i="2"/>
  <c r="A179" i="2"/>
  <c r="M178" i="2"/>
  <c r="L178" i="2"/>
  <c r="F178" i="2"/>
  <c r="E178" i="2"/>
  <c r="A178" i="2"/>
  <c r="M177" i="2"/>
  <c r="L177" i="2"/>
  <c r="F177" i="2"/>
  <c r="E177" i="2"/>
  <c r="C177" i="2"/>
  <c r="A177" i="2"/>
  <c r="M176" i="2"/>
  <c r="L176" i="2"/>
  <c r="F176" i="2"/>
  <c r="E176" i="2"/>
  <c r="C176" i="2"/>
  <c r="A176" i="2"/>
  <c r="M175" i="2"/>
  <c r="L175" i="2"/>
  <c r="F175" i="2"/>
  <c r="E175" i="2"/>
  <c r="C175" i="2"/>
  <c r="A175" i="2"/>
  <c r="M174" i="2"/>
  <c r="L174" i="2"/>
  <c r="F174" i="2"/>
  <c r="E174" i="2"/>
  <c r="A174" i="2"/>
  <c r="M173" i="2"/>
  <c r="L173" i="2"/>
  <c r="F173" i="2"/>
  <c r="E173" i="2"/>
  <c r="A173" i="2"/>
  <c r="M172" i="2"/>
  <c r="L172" i="2"/>
  <c r="F172" i="2"/>
  <c r="E172" i="2"/>
  <c r="A172" i="2"/>
  <c r="M171" i="2"/>
  <c r="L171" i="2"/>
  <c r="F171" i="2"/>
  <c r="E171" i="2"/>
  <c r="A171" i="2"/>
  <c r="M170" i="2"/>
  <c r="L170" i="2"/>
  <c r="F170" i="2"/>
  <c r="E170" i="2"/>
  <c r="C170" i="2"/>
  <c r="A170" i="2"/>
  <c r="M169" i="2"/>
  <c r="L169" i="2"/>
  <c r="F169" i="2"/>
  <c r="E169" i="2"/>
  <c r="C169" i="2"/>
  <c r="A169" i="2"/>
  <c r="M168" i="2"/>
  <c r="L168" i="2"/>
  <c r="F168" i="2"/>
  <c r="E168" i="2"/>
  <c r="C168" i="2"/>
  <c r="A168" i="2"/>
  <c r="M167" i="2"/>
  <c r="L167" i="2"/>
  <c r="F167" i="2"/>
  <c r="E167" i="2"/>
  <c r="C167" i="2"/>
  <c r="A167" i="2"/>
  <c r="M166" i="2"/>
  <c r="L166" i="2"/>
  <c r="F166" i="2"/>
  <c r="E166" i="2"/>
  <c r="A166" i="2"/>
  <c r="M165" i="2"/>
  <c r="L165" i="2"/>
  <c r="F165" i="2"/>
  <c r="E165" i="2"/>
  <c r="A165" i="2"/>
  <c r="M164" i="2"/>
  <c r="L164" i="2"/>
  <c r="F164" i="2"/>
  <c r="E164" i="2"/>
  <c r="A164" i="2"/>
  <c r="M163" i="2"/>
  <c r="L163" i="2"/>
  <c r="F163" i="2"/>
  <c r="E163" i="2"/>
  <c r="C163" i="2"/>
  <c r="A163" i="2"/>
  <c r="M162" i="2"/>
  <c r="L162" i="2"/>
  <c r="F162" i="2"/>
  <c r="E162" i="2"/>
  <c r="C162" i="2"/>
  <c r="A162" i="2"/>
  <c r="M161" i="2"/>
  <c r="L161" i="2"/>
  <c r="F161" i="2"/>
  <c r="E161" i="2"/>
  <c r="C161" i="2"/>
  <c r="A161" i="2"/>
  <c r="M160" i="2"/>
  <c r="L160" i="2"/>
  <c r="F160" i="2"/>
  <c r="E160" i="2"/>
  <c r="A160" i="2"/>
  <c r="M159" i="2"/>
  <c r="L159" i="2"/>
  <c r="F159" i="2"/>
  <c r="E159" i="2"/>
  <c r="A159" i="2"/>
  <c r="M158" i="2"/>
  <c r="L158" i="2"/>
  <c r="F158" i="2"/>
  <c r="E158" i="2"/>
  <c r="A158" i="2"/>
  <c r="M157" i="2"/>
  <c r="L157" i="2"/>
  <c r="F157" i="2"/>
  <c r="E157" i="2"/>
  <c r="A157" i="2"/>
  <c r="M156" i="2"/>
  <c r="L156" i="2"/>
  <c r="F156" i="2"/>
  <c r="E156" i="2"/>
  <c r="A156" i="2"/>
  <c r="M155" i="2"/>
  <c r="L155" i="2"/>
  <c r="F155" i="2"/>
  <c r="E155" i="2"/>
  <c r="C155" i="2"/>
  <c r="A155" i="2"/>
  <c r="M154" i="2"/>
  <c r="L154" i="2"/>
  <c r="F154" i="2"/>
  <c r="E154" i="2"/>
  <c r="C154" i="2"/>
  <c r="A154" i="2"/>
  <c r="M153" i="2"/>
  <c r="L153" i="2"/>
  <c r="F153" i="2"/>
  <c r="E153" i="2"/>
  <c r="C153" i="2"/>
  <c r="A153" i="2"/>
  <c r="M152" i="2"/>
  <c r="L152" i="2"/>
  <c r="F152" i="2"/>
  <c r="E152" i="2"/>
  <c r="A152" i="2"/>
  <c r="M151" i="2"/>
  <c r="L151" i="2"/>
  <c r="F151" i="2"/>
  <c r="E151" i="2"/>
  <c r="A151" i="2"/>
  <c r="M150" i="2"/>
  <c r="L150" i="2"/>
  <c r="F150" i="2"/>
  <c r="E150" i="2"/>
  <c r="C150" i="2"/>
  <c r="A150" i="2"/>
  <c r="M149" i="2"/>
  <c r="L149" i="2"/>
  <c r="F149" i="2"/>
  <c r="E149" i="2"/>
  <c r="A149" i="2"/>
  <c r="M148" i="2"/>
  <c r="L148" i="2"/>
  <c r="F148" i="2"/>
  <c r="E148" i="2"/>
  <c r="C148" i="2"/>
  <c r="A148" i="2"/>
  <c r="M147" i="2"/>
  <c r="L147" i="2"/>
  <c r="F147" i="2"/>
  <c r="E147" i="2"/>
  <c r="C147" i="2"/>
  <c r="A147" i="2"/>
  <c r="M146" i="2"/>
  <c r="L146" i="2"/>
  <c r="F146" i="2"/>
  <c r="E146" i="2"/>
  <c r="A146" i="2"/>
  <c r="M145" i="2"/>
  <c r="L145" i="2"/>
  <c r="F145" i="2"/>
  <c r="E145" i="2"/>
  <c r="A145" i="2"/>
  <c r="A158" i="1" l="1"/>
  <c r="F158" i="1"/>
  <c r="L158" i="1"/>
  <c r="E158" i="1"/>
  <c r="M158" i="1"/>
  <c r="M538" i="1"/>
  <c r="E538" i="1"/>
  <c r="C538" i="1"/>
  <c r="L538" i="1"/>
  <c r="F538" i="1"/>
  <c r="A538" i="1"/>
  <c r="M537" i="1"/>
  <c r="E537" i="1"/>
  <c r="L537" i="1"/>
  <c r="F537" i="1"/>
  <c r="A537" i="1"/>
  <c r="M536" i="1"/>
  <c r="E536" i="1"/>
  <c r="C536" i="1"/>
  <c r="L536" i="1"/>
  <c r="F536" i="1"/>
  <c r="A536" i="1"/>
  <c r="M535" i="1"/>
  <c r="E535" i="1"/>
  <c r="C535" i="1"/>
  <c r="L535" i="1"/>
  <c r="F535" i="1"/>
  <c r="A535" i="1"/>
  <c r="M534" i="1"/>
  <c r="E534" i="1"/>
  <c r="L534" i="1"/>
  <c r="F534" i="1"/>
  <c r="A534" i="1"/>
  <c r="M533" i="1"/>
  <c r="E533" i="1"/>
  <c r="L533" i="1"/>
  <c r="F533" i="1"/>
  <c r="A533" i="1"/>
  <c r="M532" i="1"/>
  <c r="E532" i="1"/>
  <c r="C532" i="1"/>
  <c r="L532" i="1"/>
  <c r="F532" i="1"/>
  <c r="A532" i="1"/>
  <c r="M531" i="1"/>
  <c r="E531" i="1"/>
  <c r="L531" i="1"/>
  <c r="F531" i="1"/>
  <c r="A531" i="1"/>
  <c r="M530" i="1"/>
  <c r="E530" i="1"/>
  <c r="C530" i="1"/>
  <c r="D530" i="1"/>
  <c r="L530" i="1"/>
  <c r="F530" i="1"/>
  <c r="A530" i="1"/>
  <c r="M529" i="1"/>
  <c r="E529" i="1"/>
  <c r="L529" i="1"/>
  <c r="F529" i="1"/>
  <c r="A529" i="1"/>
  <c r="M528" i="1"/>
  <c r="E528" i="1"/>
  <c r="C528" i="1"/>
  <c r="L528" i="1"/>
  <c r="F528" i="1"/>
  <c r="A528" i="1"/>
  <c r="M527" i="1"/>
  <c r="E527" i="1"/>
  <c r="C527" i="1"/>
  <c r="L527" i="1"/>
  <c r="F527" i="1"/>
  <c r="A527" i="1"/>
  <c r="M526" i="1"/>
  <c r="E526" i="1"/>
  <c r="L526" i="1"/>
  <c r="F526" i="1"/>
  <c r="A526" i="1"/>
  <c r="M525" i="1"/>
  <c r="E525" i="1"/>
  <c r="C525" i="1"/>
  <c r="L525" i="1"/>
  <c r="F525" i="1"/>
  <c r="A525" i="1"/>
  <c r="M524" i="1"/>
  <c r="E524" i="1"/>
  <c r="C524" i="1"/>
  <c r="D524" i="1"/>
  <c r="L524" i="1"/>
  <c r="F524" i="1"/>
  <c r="A524" i="1"/>
  <c r="M523" i="1"/>
  <c r="E523" i="1"/>
  <c r="L523" i="1"/>
  <c r="F523" i="1"/>
  <c r="A523" i="1"/>
  <c r="M517" i="1"/>
  <c r="E517" i="1"/>
  <c r="L517" i="1"/>
  <c r="F517" i="1"/>
  <c r="A517" i="1"/>
  <c r="M516" i="1"/>
  <c r="E516" i="1"/>
  <c r="L516" i="1"/>
  <c r="F516" i="1"/>
  <c r="A516" i="1"/>
  <c r="M515" i="1"/>
  <c r="E515" i="1"/>
  <c r="L515" i="1"/>
  <c r="F515" i="1"/>
  <c r="A515" i="1"/>
  <c r="M514" i="1"/>
  <c r="E514" i="1"/>
  <c r="C514" i="1"/>
  <c r="D514" i="1"/>
  <c r="L514" i="1"/>
  <c r="F514" i="1"/>
  <c r="A514" i="1"/>
  <c r="M513" i="1"/>
  <c r="E513" i="1"/>
  <c r="C513" i="1"/>
  <c r="D513" i="1"/>
  <c r="L513" i="1"/>
  <c r="F513" i="1"/>
  <c r="A513" i="1"/>
  <c r="M512" i="1"/>
  <c r="E512" i="1"/>
  <c r="L512" i="1"/>
  <c r="F512" i="1"/>
  <c r="A512" i="1"/>
  <c r="M511" i="1"/>
  <c r="E511" i="1"/>
  <c r="L511" i="1"/>
  <c r="F511" i="1"/>
  <c r="A511" i="1"/>
  <c r="M510" i="1"/>
  <c r="E510" i="1"/>
  <c r="L510" i="1"/>
  <c r="F510" i="1"/>
  <c r="A510" i="1"/>
  <c r="M509" i="1"/>
  <c r="E509" i="1"/>
  <c r="C509" i="1"/>
  <c r="D509" i="1"/>
  <c r="L509" i="1"/>
  <c r="F509" i="1"/>
  <c r="A509" i="1"/>
  <c r="M508" i="1"/>
  <c r="E508" i="1"/>
  <c r="C508" i="1"/>
  <c r="L508" i="1"/>
  <c r="F508" i="1"/>
  <c r="A508" i="1"/>
  <c r="M507" i="1"/>
  <c r="E507" i="1"/>
  <c r="L507" i="1"/>
  <c r="F507" i="1"/>
  <c r="A507" i="1"/>
  <c r="M506" i="1"/>
  <c r="E506" i="1"/>
  <c r="C506" i="1"/>
  <c r="D506" i="1"/>
  <c r="L506" i="1"/>
  <c r="F506" i="1"/>
  <c r="A506" i="1"/>
  <c r="M505" i="1"/>
  <c r="E505" i="1"/>
  <c r="C505" i="1"/>
  <c r="D505" i="1"/>
  <c r="L505" i="1"/>
  <c r="F505" i="1"/>
  <c r="A505" i="1"/>
  <c r="M504" i="1"/>
  <c r="E504" i="1"/>
  <c r="L504" i="1"/>
  <c r="F504" i="1"/>
  <c r="A504" i="1"/>
  <c r="M503" i="1"/>
  <c r="E503" i="1"/>
  <c r="C503" i="1"/>
  <c r="L503" i="1"/>
  <c r="F503" i="1"/>
  <c r="A503" i="1"/>
  <c r="M502" i="1"/>
  <c r="E502" i="1"/>
  <c r="C502" i="1"/>
  <c r="L502" i="1"/>
  <c r="F502" i="1"/>
  <c r="A502" i="1"/>
  <c r="M501" i="1"/>
  <c r="E501" i="1"/>
  <c r="L501" i="1"/>
  <c r="F501" i="1"/>
  <c r="A501" i="1"/>
  <c r="M500" i="1"/>
  <c r="E500" i="1"/>
  <c r="C500" i="1"/>
  <c r="D500" i="1"/>
  <c r="L500" i="1"/>
  <c r="F500" i="1"/>
  <c r="A500" i="1"/>
  <c r="M499" i="1"/>
  <c r="E499" i="1"/>
  <c r="L499" i="1"/>
  <c r="F499" i="1"/>
  <c r="A499" i="1"/>
  <c r="M498" i="1"/>
  <c r="E498" i="1"/>
  <c r="C498" i="1"/>
  <c r="L498" i="1"/>
  <c r="F498" i="1"/>
  <c r="A498" i="1"/>
  <c r="M497" i="1"/>
  <c r="E497" i="1"/>
  <c r="L497" i="1"/>
  <c r="F497" i="1"/>
  <c r="A497" i="1"/>
  <c r="M496" i="1"/>
  <c r="E496" i="1"/>
  <c r="C496" i="1"/>
  <c r="L496" i="1"/>
  <c r="F496" i="1"/>
  <c r="A496" i="1"/>
  <c r="M495" i="1"/>
  <c r="E495" i="1"/>
  <c r="C495" i="1"/>
  <c r="L495" i="1"/>
  <c r="F495" i="1"/>
  <c r="A495" i="1"/>
  <c r="M494" i="1"/>
  <c r="E494" i="1"/>
  <c r="L494" i="1"/>
  <c r="F494" i="1"/>
  <c r="A494" i="1"/>
  <c r="M493" i="1"/>
  <c r="E493" i="1"/>
  <c r="C493" i="1"/>
  <c r="D493" i="1"/>
  <c r="L493" i="1"/>
  <c r="F493" i="1"/>
  <c r="A493" i="1"/>
  <c r="M492" i="1"/>
  <c r="E492" i="1"/>
  <c r="L492" i="1"/>
  <c r="F492" i="1"/>
  <c r="A492" i="1"/>
  <c r="M491" i="1"/>
  <c r="E491" i="1"/>
  <c r="C491" i="1"/>
  <c r="L491" i="1"/>
  <c r="F491" i="1"/>
  <c r="A491" i="1"/>
  <c r="M490" i="1"/>
  <c r="E490" i="1"/>
  <c r="C490" i="1"/>
  <c r="L490" i="1"/>
  <c r="F490" i="1"/>
  <c r="A490" i="1"/>
  <c r="M489" i="1"/>
  <c r="E489" i="1"/>
  <c r="C489" i="1"/>
  <c r="L489" i="1"/>
  <c r="F489" i="1"/>
  <c r="A489" i="1"/>
  <c r="M488" i="1"/>
  <c r="E488" i="1"/>
  <c r="C488" i="1"/>
  <c r="L488" i="1"/>
  <c r="F488" i="1"/>
  <c r="A488" i="1"/>
  <c r="M483" i="1"/>
  <c r="E483" i="1"/>
  <c r="L483" i="1"/>
  <c r="F483" i="1"/>
  <c r="A483" i="1"/>
  <c r="M482" i="1"/>
  <c r="E482" i="1"/>
  <c r="C482" i="1"/>
  <c r="D482" i="1"/>
  <c r="L482" i="1"/>
  <c r="F482" i="1"/>
  <c r="A482" i="1"/>
  <c r="M481" i="1"/>
  <c r="E481" i="1"/>
  <c r="L481" i="1"/>
  <c r="F481" i="1"/>
  <c r="A481" i="1"/>
  <c r="M480" i="1"/>
  <c r="E480" i="1"/>
  <c r="L480" i="1"/>
  <c r="F480" i="1"/>
  <c r="A480" i="1"/>
  <c r="M479" i="1"/>
  <c r="E479" i="1"/>
  <c r="C479" i="1"/>
  <c r="L479" i="1"/>
  <c r="F479" i="1"/>
  <c r="A479" i="1"/>
  <c r="M478" i="1"/>
  <c r="E478" i="1"/>
  <c r="L478" i="1"/>
  <c r="F478" i="1"/>
  <c r="A478" i="1"/>
  <c r="M477" i="1"/>
  <c r="E477" i="1"/>
  <c r="L477" i="1"/>
  <c r="F477" i="1"/>
  <c r="A477" i="1"/>
  <c r="M476" i="1"/>
  <c r="E476" i="1"/>
  <c r="L476" i="1"/>
  <c r="F476" i="1"/>
  <c r="A476" i="1"/>
  <c r="M475" i="1"/>
  <c r="E475" i="1"/>
  <c r="C475" i="1"/>
  <c r="D475" i="1"/>
  <c r="L475" i="1"/>
  <c r="F475" i="1"/>
  <c r="A475" i="1"/>
  <c r="M474" i="1"/>
  <c r="E474" i="1"/>
  <c r="C474" i="1"/>
  <c r="L474" i="1"/>
  <c r="F474" i="1"/>
  <c r="A474" i="1"/>
  <c r="M473" i="1"/>
  <c r="E473" i="1"/>
  <c r="L473" i="1"/>
  <c r="F473" i="1"/>
  <c r="A473" i="1"/>
  <c r="M472" i="1"/>
  <c r="E472" i="1"/>
  <c r="L472" i="1"/>
  <c r="F472" i="1"/>
  <c r="A472" i="1"/>
  <c r="M471" i="1"/>
  <c r="E471" i="1"/>
  <c r="L471" i="1"/>
  <c r="F471" i="1"/>
  <c r="A471" i="1"/>
  <c r="M470" i="1"/>
  <c r="E470" i="1"/>
  <c r="C470" i="1"/>
  <c r="D470" i="1"/>
  <c r="L470" i="1"/>
  <c r="F470" i="1"/>
  <c r="A470" i="1"/>
  <c r="M469" i="1"/>
  <c r="E469" i="1"/>
  <c r="L469" i="1"/>
  <c r="F469" i="1"/>
  <c r="A469" i="1"/>
  <c r="M468" i="1"/>
  <c r="E468" i="1"/>
  <c r="L468" i="1"/>
  <c r="F468" i="1"/>
  <c r="A468" i="1"/>
  <c r="M467" i="1"/>
  <c r="E467" i="1"/>
  <c r="C467" i="1"/>
  <c r="L467" i="1"/>
  <c r="F467" i="1"/>
  <c r="A467" i="1"/>
  <c r="M466" i="1"/>
  <c r="E466" i="1"/>
  <c r="C466" i="1"/>
  <c r="L466" i="1"/>
  <c r="F466" i="1"/>
  <c r="A466" i="1"/>
  <c r="M465" i="1"/>
  <c r="E465" i="1"/>
  <c r="L465" i="1"/>
  <c r="F465" i="1"/>
  <c r="A465" i="1"/>
  <c r="M464" i="1"/>
  <c r="E464" i="1"/>
  <c r="C464" i="1"/>
  <c r="D464" i="1"/>
  <c r="L464" i="1"/>
  <c r="F464" i="1"/>
  <c r="A464" i="1"/>
  <c r="M463" i="1"/>
  <c r="E463" i="1"/>
  <c r="L463" i="1"/>
  <c r="F463" i="1"/>
  <c r="A463" i="1"/>
  <c r="M462" i="1"/>
  <c r="E462" i="1"/>
  <c r="C462" i="1"/>
  <c r="L462" i="1"/>
  <c r="F462" i="1"/>
  <c r="A462" i="1"/>
  <c r="M461" i="1"/>
  <c r="E461" i="1"/>
  <c r="L461" i="1"/>
  <c r="F461" i="1"/>
  <c r="A461" i="1"/>
  <c r="M460" i="1"/>
  <c r="E460" i="1"/>
  <c r="C460" i="1"/>
  <c r="D460" i="1"/>
  <c r="L460" i="1"/>
  <c r="F460" i="1"/>
  <c r="A460" i="1"/>
  <c r="M459" i="1"/>
  <c r="E459" i="1"/>
  <c r="L459" i="1"/>
  <c r="F459" i="1"/>
  <c r="A459" i="1"/>
  <c r="M458" i="1"/>
  <c r="E458" i="1"/>
  <c r="C458" i="1"/>
  <c r="L458" i="1"/>
  <c r="F458" i="1"/>
  <c r="A458" i="1"/>
  <c r="M457" i="1"/>
  <c r="E457" i="1"/>
  <c r="C457" i="1"/>
  <c r="L457" i="1"/>
  <c r="F457" i="1"/>
  <c r="A457" i="1"/>
  <c r="M456" i="1"/>
  <c r="E456" i="1"/>
  <c r="C456" i="1"/>
  <c r="D456" i="1"/>
  <c r="L456" i="1"/>
  <c r="F456" i="1"/>
  <c r="A456" i="1"/>
  <c r="M455" i="1"/>
  <c r="E455" i="1"/>
  <c r="L455" i="1"/>
  <c r="F455" i="1"/>
  <c r="A455" i="1"/>
  <c r="M454" i="1"/>
  <c r="E454" i="1"/>
  <c r="C454" i="1"/>
  <c r="D454" i="1"/>
  <c r="L454" i="1"/>
  <c r="F454" i="1"/>
  <c r="A454" i="1"/>
  <c r="M453" i="1"/>
  <c r="E453" i="1"/>
  <c r="C453" i="1"/>
  <c r="D453" i="1"/>
  <c r="L453" i="1"/>
  <c r="F453" i="1"/>
  <c r="A453" i="1"/>
  <c r="M452" i="1"/>
  <c r="E452" i="1"/>
  <c r="L452" i="1"/>
  <c r="F452" i="1"/>
  <c r="A452" i="1"/>
  <c r="M451" i="1"/>
  <c r="E451" i="1"/>
  <c r="L451" i="1"/>
  <c r="F451" i="1"/>
  <c r="A451" i="1"/>
  <c r="M450" i="1"/>
  <c r="E450" i="1"/>
  <c r="C450" i="1"/>
  <c r="L450" i="1"/>
  <c r="F450" i="1"/>
  <c r="A450" i="1"/>
  <c r="M449" i="1"/>
  <c r="E449" i="1"/>
  <c r="C449" i="1"/>
  <c r="D449" i="1"/>
  <c r="L449" i="1"/>
  <c r="F449" i="1"/>
  <c r="A449" i="1"/>
  <c r="M448" i="1"/>
  <c r="E448" i="1"/>
  <c r="L448" i="1"/>
  <c r="F448" i="1"/>
  <c r="A448" i="1"/>
  <c r="M447" i="1"/>
  <c r="E447" i="1"/>
  <c r="L447" i="1"/>
  <c r="F447" i="1"/>
  <c r="A447" i="1"/>
  <c r="M446" i="1"/>
  <c r="E446" i="1"/>
  <c r="L446" i="1"/>
  <c r="F446" i="1"/>
  <c r="A446" i="1"/>
  <c r="M445" i="1"/>
  <c r="E445" i="1"/>
  <c r="C445" i="1"/>
  <c r="D445" i="1"/>
  <c r="L445" i="1"/>
  <c r="F445" i="1"/>
  <c r="A445" i="1"/>
  <c r="M444" i="1"/>
  <c r="E444" i="1"/>
  <c r="L444" i="1"/>
  <c r="F444" i="1"/>
  <c r="A444" i="1"/>
  <c r="M443" i="1"/>
  <c r="E443" i="1"/>
  <c r="L443" i="1"/>
  <c r="F443" i="1"/>
  <c r="A443" i="1"/>
  <c r="M442" i="1"/>
  <c r="E442" i="1"/>
  <c r="L442" i="1"/>
  <c r="F442" i="1"/>
  <c r="A442" i="1"/>
  <c r="M441" i="1"/>
  <c r="E441" i="1"/>
  <c r="C441" i="1"/>
  <c r="D441" i="1"/>
  <c r="L441" i="1"/>
  <c r="F441" i="1"/>
  <c r="A441" i="1"/>
  <c r="M440" i="1"/>
  <c r="E440" i="1"/>
  <c r="C440" i="1"/>
  <c r="D440" i="1"/>
  <c r="L440" i="1"/>
  <c r="F440" i="1"/>
  <c r="A440" i="1"/>
  <c r="M439" i="1"/>
  <c r="E439" i="1"/>
  <c r="L439" i="1"/>
  <c r="F439" i="1"/>
  <c r="A439" i="1"/>
  <c r="M438" i="1"/>
  <c r="E438" i="1"/>
  <c r="L438" i="1"/>
  <c r="F438" i="1"/>
  <c r="A438" i="1"/>
  <c r="M437" i="1"/>
  <c r="E437" i="1"/>
  <c r="C437" i="1"/>
  <c r="D437" i="1"/>
  <c r="L437" i="1"/>
  <c r="F437" i="1"/>
  <c r="A437" i="1"/>
  <c r="M436" i="1"/>
  <c r="E436" i="1"/>
  <c r="C436" i="1"/>
  <c r="D436" i="1"/>
  <c r="L436" i="1"/>
  <c r="F436" i="1"/>
  <c r="A436" i="1"/>
  <c r="M435" i="1"/>
  <c r="E435" i="1"/>
  <c r="C435" i="1"/>
  <c r="D435" i="1"/>
  <c r="L435" i="1"/>
  <c r="F435" i="1"/>
  <c r="A435" i="1"/>
  <c r="M434" i="1"/>
  <c r="E434" i="1"/>
  <c r="C434" i="1"/>
  <c r="D434" i="1"/>
  <c r="L434" i="1"/>
  <c r="F434" i="1"/>
  <c r="A434" i="1"/>
  <c r="M433" i="1"/>
  <c r="E433" i="1"/>
  <c r="C433" i="1"/>
  <c r="D433" i="1"/>
  <c r="L433" i="1"/>
  <c r="F433" i="1"/>
  <c r="A433" i="1"/>
  <c r="M432" i="1"/>
  <c r="E432" i="1"/>
  <c r="C432" i="1"/>
  <c r="D432" i="1"/>
  <c r="L432" i="1"/>
  <c r="F432" i="1"/>
  <c r="A432" i="1"/>
  <c r="M431" i="1"/>
  <c r="E431" i="1"/>
  <c r="L431" i="1"/>
  <c r="F431" i="1"/>
  <c r="A431" i="1"/>
  <c r="M430" i="1"/>
  <c r="E430" i="1"/>
  <c r="C430" i="1"/>
  <c r="L430" i="1"/>
  <c r="F430" i="1"/>
  <c r="A430" i="1"/>
  <c r="M429" i="1"/>
  <c r="E429" i="1"/>
  <c r="C429" i="1"/>
  <c r="L429" i="1"/>
  <c r="F429" i="1"/>
  <c r="A429" i="1"/>
  <c r="M428" i="1"/>
  <c r="E428" i="1"/>
  <c r="L428" i="1"/>
  <c r="F428" i="1"/>
  <c r="A428" i="1"/>
  <c r="M427" i="1"/>
  <c r="E427" i="1"/>
  <c r="C427" i="1"/>
  <c r="D427" i="1"/>
  <c r="L427" i="1"/>
  <c r="F427" i="1"/>
  <c r="A427" i="1"/>
  <c r="M426" i="1"/>
  <c r="E426" i="1"/>
  <c r="C426" i="1"/>
  <c r="D426" i="1"/>
  <c r="L426" i="1"/>
  <c r="F426" i="1"/>
  <c r="A426" i="1"/>
  <c r="M425" i="1"/>
  <c r="E425" i="1"/>
  <c r="C425" i="1"/>
  <c r="D425" i="1"/>
  <c r="L425" i="1"/>
  <c r="F425" i="1"/>
  <c r="A425" i="1"/>
  <c r="M424" i="1"/>
  <c r="E424" i="1"/>
  <c r="L424" i="1"/>
  <c r="F424" i="1"/>
  <c r="A424" i="1"/>
  <c r="M423" i="1"/>
  <c r="E423" i="1"/>
  <c r="C423" i="1"/>
  <c r="L423" i="1"/>
  <c r="F423" i="1"/>
  <c r="A423" i="1"/>
  <c r="M422" i="1"/>
  <c r="E422" i="1"/>
  <c r="L422" i="1"/>
  <c r="F422" i="1"/>
  <c r="A422" i="1"/>
  <c r="M421" i="1"/>
  <c r="E421" i="1"/>
  <c r="L421" i="1"/>
  <c r="F421" i="1"/>
  <c r="A421" i="1"/>
  <c r="M420" i="1"/>
  <c r="E420" i="1"/>
  <c r="C420" i="1"/>
  <c r="L420" i="1"/>
  <c r="F420" i="1"/>
  <c r="A420" i="1"/>
  <c r="M419" i="1"/>
  <c r="E419" i="1"/>
  <c r="L419" i="1"/>
  <c r="F419" i="1"/>
  <c r="A419" i="1"/>
  <c r="M418" i="1"/>
  <c r="E418" i="1"/>
  <c r="L418" i="1"/>
  <c r="F418" i="1"/>
  <c r="A418" i="1"/>
  <c r="M417" i="1"/>
  <c r="E417" i="1"/>
  <c r="C417" i="1"/>
  <c r="D417" i="1"/>
  <c r="L417" i="1"/>
  <c r="F417" i="1"/>
  <c r="A417" i="1"/>
  <c r="M416" i="1"/>
  <c r="E416" i="1"/>
  <c r="C416" i="1"/>
  <c r="D416" i="1"/>
  <c r="L416" i="1"/>
  <c r="F416" i="1"/>
  <c r="A416" i="1"/>
  <c r="M415" i="1"/>
  <c r="E415" i="1"/>
  <c r="C415" i="1"/>
  <c r="D415" i="1"/>
  <c r="L415" i="1"/>
  <c r="F415" i="1"/>
  <c r="A415" i="1"/>
  <c r="M414" i="1"/>
  <c r="E414" i="1"/>
  <c r="L414" i="1"/>
  <c r="F414" i="1"/>
  <c r="A414" i="1"/>
  <c r="M413" i="1"/>
  <c r="E413" i="1"/>
  <c r="C413" i="1"/>
  <c r="D413" i="1"/>
  <c r="L413" i="1"/>
  <c r="F413" i="1"/>
  <c r="A413" i="1"/>
  <c r="M412" i="1"/>
  <c r="E412" i="1"/>
  <c r="L412" i="1"/>
  <c r="F412" i="1"/>
  <c r="A412" i="1"/>
  <c r="M411" i="1"/>
  <c r="E411" i="1"/>
  <c r="L411" i="1"/>
  <c r="F411" i="1"/>
  <c r="A411" i="1"/>
  <c r="M410" i="1"/>
  <c r="E410" i="1"/>
  <c r="C410" i="1"/>
  <c r="D410" i="1"/>
  <c r="L410" i="1"/>
  <c r="F410" i="1"/>
  <c r="A410" i="1"/>
  <c r="M409" i="1"/>
  <c r="E409" i="1"/>
  <c r="C409" i="1"/>
  <c r="L409" i="1"/>
  <c r="F409" i="1"/>
  <c r="A409" i="1"/>
  <c r="M408" i="1"/>
  <c r="E408" i="1"/>
  <c r="L408" i="1"/>
  <c r="F408" i="1"/>
  <c r="A408" i="1"/>
  <c r="M407" i="1"/>
  <c r="E407" i="1"/>
  <c r="L407" i="1"/>
  <c r="F407" i="1"/>
  <c r="A407" i="1"/>
  <c r="M406" i="1"/>
  <c r="E406" i="1"/>
  <c r="C406" i="1"/>
  <c r="D406" i="1"/>
  <c r="L406" i="1"/>
  <c r="F406" i="1"/>
  <c r="A406" i="1"/>
  <c r="M405" i="1"/>
  <c r="E405" i="1"/>
  <c r="C405" i="1"/>
  <c r="D405" i="1"/>
  <c r="L405" i="1"/>
  <c r="F405" i="1"/>
  <c r="A405" i="1"/>
  <c r="M404" i="1"/>
  <c r="E404" i="1"/>
  <c r="C404" i="1"/>
  <c r="D404" i="1"/>
  <c r="L404" i="1"/>
  <c r="F404" i="1"/>
  <c r="A404" i="1"/>
  <c r="M403" i="1"/>
  <c r="E403" i="1"/>
  <c r="C403" i="1"/>
  <c r="D403" i="1"/>
  <c r="L403" i="1"/>
  <c r="F403" i="1"/>
  <c r="A403" i="1"/>
  <c r="M402" i="1"/>
  <c r="E402" i="1"/>
  <c r="C402" i="1"/>
  <c r="D402" i="1"/>
  <c r="L402" i="1"/>
  <c r="F402" i="1"/>
  <c r="A402" i="1"/>
  <c r="M401" i="1"/>
  <c r="E401" i="1"/>
  <c r="L401" i="1"/>
  <c r="F401" i="1"/>
  <c r="A401" i="1"/>
  <c r="M400" i="1"/>
  <c r="E400" i="1"/>
  <c r="L400" i="1"/>
  <c r="F400" i="1"/>
  <c r="A400" i="1"/>
  <c r="M399" i="1"/>
  <c r="E399" i="1"/>
  <c r="C399" i="1"/>
  <c r="L399" i="1"/>
  <c r="F399" i="1"/>
  <c r="A399" i="1"/>
  <c r="M398" i="1"/>
  <c r="E398" i="1"/>
  <c r="L398" i="1"/>
  <c r="F398" i="1"/>
  <c r="A398" i="1"/>
  <c r="M397" i="1"/>
  <c r="E397" i="1"/>
  <c r="C397" i="1"/>
  <c r="D397" i="1"/>
  <c r="L397" i="1"/>
  <c r="F397" i="1"/>
  <c r="A397" i="1"/>
  <c r="M396" i="1"/>
  <c r="E396" i="1"/>
  <c r="L396" i="1"/>
  <c r="F396" i="1"/>
  <c r="A396" i="1"/>
  <c r="M395" i="1"/>
  <c r="E395" i="1"/>
  <c r="C395" i="1"/>
  <c r="L395" i="1"/>
  <c r="F395" i="1"/>
  <c r="A395" i="1"/>
  <c r="M394" i="1"/>
  <c r="E394" i="1"/>
  <c r="L394" i="1"/>
  <c r="F394" i="1"/>
  <c r="A394" i="1"/>
  <c r="M393" i="1"/>
  <c r="E393" i="1"/>
  <c r="L393" i="1"/>
  <c r="F393" i="1"/>
  <c r="A393" i="1"/>
  <c r="M392" i="1"/>
  <c r="E392" i="1"/>
  <c r="C392" i="1"/>
  <c r="D392" i="1"/>
  <c r="L392" i="1"/>
  <c r="F392" i="1"/>
  <c r="A392" i="1"/>
  <c r="M391" i="1"/>
  <c r="E391" i="1"/>
  <c r="C391" i="1"/>
  <c r="D391" i="1"/>
  <c r="L391" i="1"/>
  <c r="F391" i="1"/>
  <c r="A391" i="1"/>
  <c r="M390" i="1"/>
  <c r="E390" i="1"/>
  <c r="C390" i="1"/>
  <c r="D390" i="1"/>
  <c r="L390" i="1"/>
  <c r="F390" i="1"/>
  <c r="A390" i="1"/>
  <c r="M389" i="1"/>
  <c r="E389" i="1"/>
  <c r="C389" i="1"/>
  <c r="D389" i="1"/>
  <c r="L389" i="1"/>
  <c r="F389" i="1"/>
  <c r="A389" i="1"/>
  <c r="M388" i="1"/>
  <c r="E388" i="1"/>
  <c r="L388" i="1"/>
  <c r="F388" i="1"/>
  <c r="A388" i="1"/>
  <c r="M387" i="1"/>
  <c r="E387" i="1"/>
  <c r="L387" i="1"/>
  <c r="F387" i="1"/>
  <c r="A387" i="1"/>
  <c r="M386" i="1"/>
  <c r="E386" i="1"/>
  <c r="C386" i="1"/>
  <c r="L386" i="1"/>
  <c r="F386" i="1"/>
  <c r="A386" i="1"/>
  <c r="M385" i="1"/>
  <c r="E385" i="1"/>
  <c r="C385" i="1"/>
  <c r="D385" i="1"/>
  <c r="L385" i="1"/>
  <c r="F385" i="1"/>
  <c r="A385" i="1"/>
  <c r="M384" i="1"/>
  <c r="E384" i="1"/>
  <c r="C384" i="1"/>
  <c r="D384" i="1"/>
  <c r="L384" i="1"/>
  <c r="F384" i="1"/>
  <c r="A384" i="1"/>
  <c r="M383" i="1"/>
  <c r="E383" i="1"/>
  <c r="L383" i="1"/>
  <c r="F383" i="1"/>
  <c r="A383" i="1"/>
  <c r="M382" i="1"/>
  <c r="E382" i="1"/>
  <c r="L382" i="1"/>
  <c r="F382" i="1"/>
  <c r="A382" i="1"/>
  <c r="M381" i="1"/>
  <c r="E381" i="1"/>
  <c r="C381" i="1"/>
  <c r="D381" i="1"/>
  <c r="L381" i="1"/>
  <c r="F381" i="1"/>
  <c r="A381" i="1"/>
  <c r="M380" i="1"/>
  <c r="E380" i="1"/>
  <c r="C380" i="1"/>
  <c r="D380" i="1"/>
  <c r="L380" i="1"/>
  <c r="F380" i="1"/>
  <c r="A380" i="1"/>
  <c r="M379" i="1"/>
  <c r="E379" i="1"/>
  <c r="C379" i="1"/>
  <c r="D379" i="1"/>
  <c r="L379" i="1"/>
  <c r="F379" i="1"/>
  <c r="A379" i="1"/>
  <c r="M378" i="1"/>
  <c r="E378" i="1"/>
  <c r="C378" i="1"/>
  <c r="D378" i="1"/>
  <c r="L378" i="1"/>
  <c r="F378" i="1"/>
  <c r="A378" i="1"/>
  <c r="M377" i="1"/>
  <c r="E377" i="1"/>
  <c r="C377" i="1"/>
  <c r="D377" i="1"/>
  <c r="L377" i="1"/>
  <c r="F377" i="1"/>
  <c r="A377" i="1"/>
  <c r="M376" i="1"/>
  <c r="E376" i="1"/>
  <c r="C376" i="1"/>
  <c r="D376" i="1"/>
  <c r="L376" i="1"/>
  <c r="F376" i="1"/>
  <c r="A376" i="1"/>
  <c r="M375" i="1"/>
  <c r="E375" i="1"/>
  <c r="C375" i="1"/>
  <c r="D375" i="1"/>
  <c r="L375" i="1"/>
  <c r="F375" i="1"/>
  <c r="A375" i="1"/>
  <c r="M374" i="1"/>
  <c r="E374" i="1"/>
  <c r="L374" i="1"/>
  <c r="F374" i="1"/>
  <c r="A374" i="1"/>
  <c r="M373" i="1"/>
  <c r="E373" i="1"/>
  <c r="C373" i="1"/>
  <c r="L373" i="1"/>
  <c r="F373" i="1"/>
  <c r="A373" i="1"/>
  <c r="M372" i="1"/>
  <c r="E372" i="1"/>
  <c r="C372" i="1"/>
  <c r="L372" i="1"/>
  <c r="F372" i="1"/>
  <c r="A372" i="1"/>
  <c r="M371" i="1"/>
  <c r="E371" i="1"/>
  <c r="L371" i="1"/>
  <c r="F371" i="1"/>
  <c r="A371" i="1"/>
  <c r="M370" i="1"/>
  <c r="E370" i="1"/>
  <c r="C370" i="1"/>
  <c r="D370" i="1"/>
  <c r="L370" i="1"/>
  <c r="F370" i="1"/>
  <c r="A370" i="1"/>
  <c r="M369" i="1"/>
  <c r="E369" i="1"/>
  <c r="C369" i="1"/>
  <c r="D369" i="1"/>
  <c r="L369" i="1"/>
  <c r="F369" i="1"/>
  <c r="A369" i="1"/>
  <c r="M368" i="1"/>
  <c r="E368" i="1"/>
  <c r="L368" i="1"/>
  <c r="F368" i="1"/>
  <c r="A368" i="1"/>
  <c r="M367" i="1"/>
  <c r="E367" i="1"/>
  <c r="C367" i="1"/>
  <c r="D367" i="1"/>
  <c r="L367" i="1"/>
  <c r="F367" i="1"/>
  <c r="A367" i="1"/>
  <c r="M366" i="1"/>
  <c r="E366" i="1"/>
  <c r="C366" i="1"/>
  <c r="D366" i="1"/>
  <c r="L366" i="1"/>
  <c r="F366" i="1"/>
  <c r="A366" i="1"/>
  <c r="M365" i="1"/>
  <c r="E365" i="1"/>
  <c r="C365" i="1"/>
  <c r="D365" i="1"/>
  <c r="L365" i="1"/>
  <c r="F365" i="1"/>
  <c r="A365" i="1"/>
  <c r="M364" i="1"/>
  <c r="E364" i="1"/>
  <c r="L364" i="1"/>
  <c r="F364" i="1"/>
  <c r="A364" i="1"/>
  <c r="M363" i="1"/>
  <c r="E363" i="1"/>
  <c r="C363" i="1"/>
  <c r="L363" i="1"/>
  <c r="F363" i="1"/>
  <c r="A363" i="1"/>
  <c r="M362" i="1"/>
  <c r="E362" i="1"/>
  <c r="L362" i="1"/>
  <c r="F362" i="1"/>
  <c r="A362" i="1"/>
  <c r="M361" i="1"/>
  <c r="E361" i="1"/>
  <c r="C361" i="1"/>
  <c r="D361" i="1"/>
  <c r="L361" i="1"/>
  <c r="F361" i="1"/>
  <c r="A361" i="1"/>
  <c r="M360" i="1"/>
  <c r="E360" i="1"/>
  <c r="C360" i="1"/>
  <c r="D360" i="1"/>
  <c r="L360" i="1"/>
  <c r="F360" i="1"/>
  <c r="A360" i="1"/>
  <c r="M359" i="1"/>
  <c r="E359" i="1"/>
  <c r="L359" i="1"/>
  <c r="F359" i="1"/>
  <c r="A359" i="1"/>
  <c r="M358" i="1"/>
  <c r="E358" i="1"/>
  <c r="C358" i="1"/>
  <c r="D358" i="1"/>
  <c r="L358" i="1"/>
  <c r="F358" i="1"/>
  <c r="A358" i="1"/>
  <c r="M357" i="1"/>
  <c r="E357" i="1"/>
  <c r="C357" i="1"/>
  <c r="D357" i="1"/>
  <c r="L357" i="1"/>
  <c r="F357" i="1"/>
  <c r="A357" i="1"/>
  <c r="M356" i="1"/>
  <c r="E356" i="1"/>
  <c r="L356" i="1"/>
  <c r="F356" i="1"/>
  <c r="A356" i="1"/>
  <c r="M355" i="1"/>
  <c r="E355" i="1"/>
  <c r="L355" i="1"/>
  <c r="F355" i="1"/>
  <c r="A355" i="1"/>
  <c r="M354" i="1"/>
  <c r="E354" i="1"/>
  <c r="L354" i="1"/>
  <c r="F354" i="1"/>
  <c r="A354" i="1"/>
  <c r="M353" i="1"/>
  <c r="E353" i="1"/>
  <c r="C353" i="1"/>
  <c r="D353" i="1"/>
  <c r="L353" i="1"/>
  <c r="F353" i="1"/>
  <c r="A353" i="1"/>
  <c r="M352" i="1"/>
  <c r="E352" i="1"/>
  <c r="C352" i="1"/>
  <c r="D352" i="1"/>
  <c r="L352" i="1"/>
  <c r="F352" i="1"/>
  <c r="A352" i="1"/>
  <c r="M351" i="1"/>
  <c r="E351" i="1"/>
  <c r="C351" i="1"/>
  <c r="D351" i="1"/>
  <c r="L351" i="1"/>
  <c r="F351" i="1"/>
  <c r="A351" i="1"/>
  <c r="M350" i="1"/>
  <c r="E350" i="1"/>
  <c r="L350" i="1"/>
  <c r="F350" i="1"/>
  <c r="A350" i="1"/>
  <c r="M349" i="1"/>
  <c r="E349" i="1"/>
  <c r="L349" i="1"/>
  <c r="F349" i="1"/>
  <c r="A349" i="1"/>
  <c r="M348" i="1"/>
  <c r="E348" i="1"/>
  <c r="L348" i="1"/>
  <c r="F348" i="1"/>
  <c r="A348" i="1"/>
  <c r="M347" i="1"/>
  <c r="E347" i="1"/>
  <c r="L347" i="1"/>
  <c r="F347" i="1"/>
  <c r="A347" i="1"/>
  <c r="M346" i="1"/>
  <c r="E346" i="1"/>
  <c r="L346" i="1"/>
  <c r="F346" i="1"/>
  <c r="A346" i="1"/>
  <c r="M345" i="1"/>
  <c r="E345" i="1"/>
  <c r="C345" i="1"/>
  <c r="D345" i="1"/>
  <c r="L345" i="1"/>
  <c r="F345" i="1"/>
  <c r="A345" i="1"/>
  <c r="M344" i="1"/>
  <c r="E344" i="1"/>
  <c r="L344" i="1"/>
  <c r="F344" i="1"/>
  <c r="A344" i="1"/>
  <c r="M343" i="1"/>
  <c r="E343" i="1"/>
  <c r="C343" i="1"/>
  <c r="D343" i="1"/>
  <c r="L343" i="1"/>
  <c r="F343" i="1"/>
  <c r="A343" i="1"/>
  <c r="M342" i="1"/>
  <c r="E342" i="1"/>
  <c r="C342" i="1"/>
  <c r="D342" i="1"/>
  <c r="L342" i="1"/>
  <c r="F342" i="1"/>
  <c r="A342" i="1"/>
  <c r="M341" i="1"/>
  <c r="E341" i="1"/>
  <c r="C341" i="1"/>
  <c r="D341" i="1"/>
  <c r="L341" i="1"/>
  <c r="F341" i="1"/>
  <c r="A341" i="1"/>
  <c r="M340" i="1"/>
  <c r="E340" i="1"/>
  <c r="C340" i="1"/>
  <c r="D340" i="1"/>
  <c r="L340" i="1"/>
  <c r="F340" i="1"/>
  <c r="A340" i="1"/>
  <c r="M339" i="1"/>
  <c r="E339" i="1"/>
  <c r="L339" i="1"/>
  <c r="F339" i="1"/>
  <c r="A339" i="1"/>
  <c r="M338" i="1"/>
  <c r="E338" i="1"/>
  <c r="C338" i="1"/>
  <c r="D338" i="1"/>
  <c r="L338" i="1"/>
  <c r="F338" i="1"/>
  <c r="A338" i="1"/>
  <c r="M337" i="1"/>
  <c r="E337" i="1"/>
  <c r="L337" i="1"/>
  <c r="F337" i="1"/>
  <c r="A337" i="1"/>
  <c r="M336" i="1"/>
  <c r="E336" i="1"/>
  <c r="L336" i="1"/>
  <c r="F336" i="1"/>
  <c r="A336" i="1"/>
  <c r="M335" i="1"/>
  <c r="E335" i="1"/>
  <c r="L335" i="1"/>
  <c r="F335" i="1"/>
  <c r="A335" i="1"/>
  <c r="M334" i="1"/>
  <c r="E334" i="1"/>
  <c r="C334" i="1"/>
  <c r="D334" i="1"/>
  <c r="L334" i="1"/>
  <c r="F334" i="1"/>
  <c r="A334" i="1"/>
  <c r="M333" i="1"/>
  <c r="E333" i="1"/>
  <c r="C333" i="1"/>
  <c r="D333" i="1"/>
  <c r="L333" i="1"/>
  <c r="F333" i="1"/>
  <c r="A333" i="1"/>
  <c r="M332" i="1"/>
  <c r="E332" i="1"/>
  <c r="C332" i="1"/>
  <c r="D332" i="1"/>
  <c r="L332" i="1"/>
  <c r="F332" i="1"/>
  <c r="A332" i="1"/>
  <c r="M331" i="1"/>
  <c r="E331" i="1"/>
  <c r="C331" i="1"/>
  <c r="D331" i="1"/>
  <c r="L331" i="1"/>
  <c r="F331" i="1"/>
  <c r="A331" i="1"/>
  <c r="M330" i="1"/>
  <c r="E330" i="1"/>
  <c r="C330" i="1"/>
  <c r="D330" i="1"/>
  <c r="L330" i="1"/>
  <c r="F330" i="1"/>
  <c r="A330" i="1"/>
  <c r="M329" i="1"/>
  <c r="E329" i="1"/>
  <c r="C329" i="1"/>
  <c r="D329" i="1"/>
  <c r="L329" i="1"/>
  <c r="F329" i="1"/>
  <c r="A329" i="1"/>
  <c r="M328" i="1"/>
  <c r="E328" i="1"/>
  <c r="C328" i="1"/>
  <c r="D328" i="1"/>
  <c r="L328" i="1"/>
  <c r="F328" i="1"/>
  <c r="A328" i="1"/>
  <c r="M327" i="1"/>
  <c r="E327" i="1"/>
  <c r="L327" i="1"/>
  <c r="F327" i="1"/>
  <c r="A327" i="1"/>
  <c r="M326" i="1"/>
  <c r="E326" i="1"/>
  <c r="C326" i="1"/>
  <c r="L326" i="1"/>
  <c r="F326" i="1"/>
  <c r="A326" i="1"/>
  <c r="M325" i="1"/>
  <c r="E325" i="1"/>
  <c r="L325" i="1"/>
  <c r="F325" i="1"/>
  <c r="A325" i="1"/>
  <c r="M324" i="1"/>
  <c r="E324" i="1"/>
  <c r="C324" i="1"/>
  <c r="D324" i="1"/>
  <c r="L324" i="1"/>
  <c r="F324" i="1"/>
  <c r="A324" i="1"/>
  <c r="M323" i="1"/>
  <c r="E323" i="1"/>
  <c r="L323" i="1"/>
  <c r="F323" i="1"/>
  <c r="A323" i="1"/>
  <c r="M322" i="1"/>
  <c r="E322" i="1"/>
  <c r="C322" i="1"/>
  <c r="D322" i="1"/>
  <c r="L322" i="1"/>
  <c r="F322" i="1"/>
  <c r="A322" i="1"/>
  <c r="M321" i="1"/>
  <c r="E321" i="1"/>
  <c r="L321" i="1"/>
  <c r="F321" i="1"/>
  <c r="A321" i="1"/>
  <c r="M320" i="1"/>
  <c r="E320" i="1"/>
  <c r="L320" i="1"/>
  <c r="F320" i="1"/>
  <c r="A320" i="1"/>
  <c r="M319" i="1"/>
  <c r="E319" i="1"/>
  <c r="L319" i="1"/>
  <c r="F319" i="1"/>
  <c r="A319" i="1"/>
  <c r="M318" i="1"/>
  <c r="E318" i="1"/>
  <c r="C318" i="1"/>
  <c r="D318" i="1"/>
  <c r="L318" i="1"/>
  <c r="F318" i="1"/>
  <c r="A318" i="1"/>
  <c r="M317" i="1"/>
  <c r="E317" i="1"/>
  <c r="C317" i="1"/>
  <c r="D317" i="1"/>
  <c r="L317" i="1"/>
  <c r="F317" i="1"/>
  <c r="A317" i="1"/>
  <c r="M316" i="1"/>
  <c r="E316" i="1"/>
  <c r="C316" i="1"/>
  <c r="D316" i="1"/>
  <c r="L316" i="1"/>
  <c r="F316" i="1"/>
  <c r="A316" i="1"/>
  <c r="M315" i="1"/>
  <c r="E315" i="1"/>
  <c r="C315" i="1"/>
  <c r="L315" i="1"/>
  <c r="F315" i="1"/>
  <c r="A315" i="1"/>
  <c r="M314" i="1"/>
  <c r="E314" i="1"/>
  <c r="C314" i="1"/>
  <c r="D314" i="1"/>
  <c r="L314" i="1"/>
  <c r="F314" i="1"/>
  <c r="A314" i="1"/>
  <c r="M313" i="1"/>
  <c r="E313" i="1"/>
  <c r="L313" i="1"/>
  <c r="F313" i="1"/>
  <c r="A313" i="1"/>
  <c r="M312" i="1"/>
  <c r="E312" i="1"/>
  <c r="L312" i="1"/>
  <c r="F312" i="1"/>
  <c r="A312" i="1"/>
  <c r="M311" i="1"/>
  <c r="E311" i="1"/>
  <c r="C311" i="1"/>
  <c r="D311" i="1"/>
  <c r="L311" i="1"/>
  <c r="F311" i="1"/>
  <c r="A311" i="1"/>
  <c r="M310" i="1"/>
  <c r="E310" i="1"/>
  <c r="C310" i="1"/>
  <c r="D310" i="1"/>
  <c r="L310" i="1"/>
  <c r="F310" i="1"/>
  <c r="A310" i="1"/>
  <c r="M309" i="1"/>
  <c r="E309" i="1"/>
  <c r="L309" i="1"/>
  <c r="F309" i="1"/>
  <c r="A309" i="1"/>
  <c r="M308" i="1"/>
  <c r="E308" i="1"/>
  <c r="C308" i="1"/>
  <c r="D308" i="1"/>
  <c r="L308" i="1"/>
  <c r="F308" i="1"/>
  <c r="A308" i="1"/>
  <c r="M307" i="1"/>
  <c r="E307" i="1"/>
  <c r="L307" i="1"/>
  <c r="F307" i="1"/>
  <c r="A307" i="1"/>
  <c r="M306" i="1"/>
  <c r="E306" i="1"/>
  <c r="L306" i="1"/>
  <c r="F306" i="1"/>
  <c r="A306" i="1"/>
  <c r="M305" i="1"/>
  <c r="E305" i="1"/>
  <c r="C305" i="1"/>
  <c r="D305" i="1"/>
  <c r="L305" i="1"/>
  <c r="F305" i="1"/>
  <c r="A305" i="1"/>
  <c r="M304" i="1"/>
  <c r="E304" i="1"/>
  <c r="C304" i="1"/>
  <c r="D304" i="1"/>
  <c r="L304" i="1"/>
  <c r="F304" i="1"/>
  <c r="A304" i="1"/>
  <c r="M303" i="1"/>
  <c r="E303" i="1"/>
  <c r="C303" i="1"/>
  <c r="D303" i="1"/>
  <c r="L303" i="1"/>
  <c r="F303" i="1"/>
  <c r="A303" i="1"/>
  <c r="M302" i="1"/>
  <c r="E302" i="1"/>
  <c r="C302" i="1"/>
  <c r="D302" i="1"/>
  <c r="L302" i="1"/>
  <c r="F302" i="1"/>
  <c r="A302" i="1"/>
  <c r="M301" i="1"/>
  <c r="E301" i="1"/>
  <c r="L301" i="1"/>
  <c r="F301" i="1"/>
  <c r="A301" i="1"/>
  <c r="M300" i="1"/>
  <c r="E300" i="1"/>
  <c r="C300" i="1"/>
  <c r="L300" i="1"/>
  <c r="F300" i="1"/>
  <c r="A300" i="1"/>
  <c r="M299" i="1"/>
  <c r="E299" i="1"/>
  <c r="L299" i="1"/>
  <c r="F299" i="1"/>
  <c r="A299" i="1"/>
  <c r="M298" i="1"/>
  <c r="E298" i="1"/>
  <c r="C298" i="1"/>
  <c r="D298" i="1"/>
  <c r="L298" i="1"/>
  <c r="F298" i="1"/>
  <c r="A298" i="1"/>
  <c r="M297" i="1"/>
  <c r="E297" i="1"/>
  <c r="C297" i="1"/>
  <c r="D297" i="1"/>
  <c r="L297" i="1"/>
  <c r="F297" i="1"/>
  <c r="A297" i="1"/>
  <c r="M296" i="1"/>
  <c r="E296" i="1"/>
  <c r="C296" i="1"/>
  <c r="D296" i="1"/>
  <c r="L296" i="1"/>
  <c r="F296" i="1"/>
  <c r="A296" i="1"/>
  <c r="M295" i="1"/>
  <c r="E295" i="1"/>
  <c r="C295" i="1"/>
  <c r="D295" i="1"/>
  <c r="L295" i="1"/>
  <c r="F295" i="1"/>
  <c r="A295" i="1"/>
  <c r="M294" i="1"/>
  <c r="E294" i="1"/>
  <c r="C294" i="1"/>
  <c r="D294" i="1"/>
  <c r="L294" i="1"/>
  <c r="F294" i="1"/>
  <c r="A294" i="1"/>
  <c r="M293" i="1"/>
  <c r="E293" i="1"/>
  <c r="C293" i="1"/>
  <c r="D293" i="1"/>
  <c r="L293" i="1"/>
  <c r="F293" i="1"/>
  <c r="A293" i="1"/>
  <c r="M292" i="1"/>
  <c r="E292" i="1"/>
  <c r="L292" i="1"/>
  <c r="F292" i="1"/>
  <c r="A292" i="1"/>
  <c r="M291" i="1"/>
  <c r="E291" i="1"/>
  <c r="C291" i="1"/>
  <c r="D291" i="1"/>
  <c r="L291" i="1"/>
  <c r="F291" i="1"/>
  <c r="A291" i="1"/>
  <c r="M290" i="1"/>
  <c r="E290" i="1"/>
  <c r="C290" i="1"/>
  <c r="D290" i="1"/>
  <c r="L290" i="1"/>
  <c r="F290" i="1"/>
  <c r="A290" i="1"/>
  <c r="M289" i="1"/>
  <c r="E289" i="1"/>
  <c r="C289" i="1"/>
  <c r="D289" i="1"/>
  <c r="L289" i="1"/>
  <c r="F289" i="1"/>
  <c r="A289" i="1"/>
  <c r="M288" i="1"/>
  <c r="E288" i="1"/>
  <c r="C288" i="1"/>
  <c r="D288" i="1"/>
  <c r="L288" i="1"/>
  <c r="F288" i="1"/>
  <c r="A288" i="1"/>
  <c r="M287" i="1"/>
  <c r="E287" i="1"/>
  <c r="L287" i="1"/>
  <c r="F287" i="1"/>
  <c r="A287" i="1"/>
  <c r="M286" i="1"/>
  <c r="E286" i="1"/>
  <c r="L286" i="1"/>
  <c r="F286" i="1"/>
  <c r="A286" i="1"/>
  <c r="M285" i="1"/>
  <c r="E285" i="1"/>
  <c r="C285" i="1"/>
  <c r="L285" i="1"/>
  <c r="F285" i="1"/>
  <c r="A285" i="1"/>
  <c r="M284" i="1"/>
  <c r="E284" i="1"/>
  <c r="C284" i="1"/>
  <c r="D284" i="1"/>
  <c r="L284" i="1"/>
  <c r="F284" i="1"/>
  <c r="A284" i="1"/>
  <c r="M283" i="1"/>
  <c r="E283" i="1"/>
  <c r="C283" i="1"/>
  <c r="D283" i="1"/>
  <c r="L283" i="1"/>
  <c r="F283" i="1"/>
  <c r="A283" i="1"/>
  <c r="M282" i="1"/>
  <c r="E282" i="1"/>
  <c r="C282" i="1"/>
  <c r="D282" i="1"/>
  <c r="L282" i="1"/>
  <c r="F282" i="1"/>
  <c r="A282" i="1"/>
  <c r="M281" i="1"/>
  <c r="E281" i="1"/>
  <c r="L281" i="1"/>
  <c r="F281" i="1"/>
  <c r="A281" i="1"/>
  <c r="M280" i="1"/>
  <c r="E280" i="1"/>
  <c r="C280" i="1"/>
  <c r="D280" i="1"/>
  <c r="L280" i="1"/>
  <c r="F280" i="1"/>
  <c r="A280" i="1"/>
  <c r="M279" i="1"/>
  <c r="E279" i="1"/>
  <c r="C279" i="1"/>
  <c r="D279" i="1"/>
  <c r="L279" i="1"/>
  <c r="F279" i="1"/>
  <c r="A279" i="1"/>
  <c r="M278" i="1"/>
  <c r="E278" i="1"/>
  <c r="L278" i="1"/>
  <c r="F278" i="1"/>
  <c r="A278" i="1"/>
  <c r="M277" i="1"/>
  <c r="E277" i="1"/>
  <c r="C277" i="1"/>
  <c r="D277" i="1"/>
  <c r="L277" i="1"/>
  <c r="F277" i="1"/>
  <c r="A277" i="1"/>
  <c r="M276" i="1"/>
  <c r="E276" i="1"/>
  <c r="C276" i="1"/>
  <c r="D276" i="1"/>
  <c r="L276" i="1"/>
  <c r="F276" i="1"/>
  <c r="A276" i="1"/>
  <c r="M275" i="1"/>
  <c r="E275" i="1"/>
  <c r="L275" i="1"/>
  <c r="F275" i="1"/>
  <c r="A275" i="1"/>
  <c r="M274" i="1"/>
  <c r="E274" i="1"/>
  <c r="C274" i="1"/>
  <c r="L274" i="1"/>
  <c r="F274" i="1"/>
  <c r="A274" i="1"/>
  <c r="M273" i="1"/>
  <c r="E273" i="1"/>
  <c r="L273" i="1"/>
  <c r="F273" i="1"/>
  <c r="A273" i="1"/>
  <c r="M272" i="1"/>
  <c r="E272" i="1"/>
  <c r="L272" i="1"/>
  <c r="F272" i="1"/>
  <c r="A272" i="1"/>
  <c r="M271" i="1"/>
  <c r="E271" i="1"/>
  <c r="C271" i="1"/>
  <c r="L271" i="1"/>
  <c r="F271" i="1"/>
  <c r="A271" i="1"/>
  <c r="M270" i="1"/>
  <c r="E270" i="1"/>
  <c r="L270" i="1"/>
  <c r="F270" i="1"/>
  <c r="A270" i="1"/>
  <c r="M269" i="1"/>
  <c r="E269" i="1"/>
  <c r="C269" i="1"/>
  <c r="D269" i="1"/>
  <c r="L269" i="1"/>
  <c r="F269" i="1"/>
  <c r="A269" i="1"/>
  <c r="M268" i="1"/>
  <c r="E268" i="1"/>
  <c r="C268" i="1"/>
  <c r="D268" i="1"/>
  <c r="L268" i="1"/>
  <c r="F268" i="1"/>
  <c r="A268" i="1"/>
  <c r="M267" i="1"/>
  <c r="E267" i="1"/>
  <c r="L267" i="1"/>
  <c r="F267" i="1"/>
  <c r="A267" i="1"/>
  <c r="M266" i="1"/>
  <c r="E266" i="1"/>
  <c r="L266" i="1"/>
  <c r="F266" i="1"/>
  <c r="A266" i="1"/>
  <c r="M265" i="1"/>
  <c r="E265" i="1"/>
  <c r="C265" i="1"/>
  <c r="D265" i="1"/>
  <c r="L265" i="1"/>
  <c r="F265" i="1"/>
  <c r="A265" i="1"/>
  <c r="M264" i="1"/>
  <c r="E264" i="1"/>
  <c r="L264" i="1"/>
  <c r="F264" i="1"/>
  <c r="A264" i="1"/>
  <c r="M263" i="1"/>
  <c r="E263" i="1"/>
  <c r="C263" i="1"/>
  <c r="D263" i="1"/>
  <c r="L263" i="1"/>
  <c r="F263" i="1"/>
  <c r="A263" i="1"/>
  <c r="M262" i="1"/>
  <c r="E262" i="1"/>
  <c r="C262" i="1"/>
  <c r="D262" i="1"/>
  <c r="L262" i="1"/>
  <c r="F262" i="1"/>
  <c r="A262" i="1"/>
  <c r="M261" i="1"/>
  <c r="E261" i="1"/>
  <c r="C261" i="1"/>
  <c r="D261" i="1"/>
  <c r="L261" i="1"/>
  <c r="F261" i="1"/>
  <c r="A261" i="1"/>
  <c r="M260" i="1"/>
  <c r="E260" i="1"/>
  <c r="C260" i="1"/>
  <c r="D260" i="1"/>
  <c r="L260" i="1"/>
  <c r="F260" i="1"/>
  <c r="A260" i="1"/>
  <c r="M259" i="1"/>
  <c r="E259" i="1"/>
  <c r="L259" i="1"/>
  <c r="F259" i="1"/>
  <c r="A259" i="1"/>
  <c r="M258" i="1"/>
  <c r="E258" i="1"/>
  <c r="L258" i="1"/>
  <c r="F258" i="1"/>
  <c r="A258" i="1"/>
  <c r="M257" i="1"/>
  <c r="E257" i="1"/>
  <c r="C257" i="1"/>
  <c r="D257" i="1"/>
  <c r="L257" i="1"/>
  <c r="F257" i="1"/>
  <c r="A257" i="1"/>
  <c r="M256" i="1"/>
  <c r="E256" i="1"/>
  <c r="L256" i="1"/>
  <c r="F256" i="1"/>
  <c r="A256" i="1"/>
  <c r="M255" i="1"/>
  <c r="E255" i="1"/>
  <c r="C255" i="1"/>
  <c r="D255" i="1"/>
  <c r="L255" i="1"/>
  <c r="F255" i="1"/>
  <c r="A255" i="1"/>
  <c r="M254" i="1"/>
  <c r="E254" i="1"/>
  <c r="C254" i="1"/>
  <c r="D254" i="1"/>
  <c r="L254" i="1"/>
  <c r="F254" i="1"/>
  <c r="A254" i="1"/>
  <c r="M253" i="1"/>
  <c r="E253" i="1"/>
  <c r="L253" i="1"/>
  <c r="F253" i="1"/>
  <c r="A253" i="1"/>
  <c r="M252" i="1"/>
  <c r="E252" i="1"/>
  <c r="L252" i="1"/>
  <c r="F252" i="1"/>
  <c r="A252" i="1"/>
  <c r="M251" i="1"/>
  <c r="E251" i="1"/>
  <c r="C251" i="1"/>
  <c r="D251" i="1"/>
  <c r="L251" i="1"/>
  <c r="F251" i="1"/>
  <c r="A251" i="1"/>
  <c r="M250" i="1"/>
  <c r="E250" i="1"/>
  <c r="L250" i="1"/>
  <c r="F250" i="1"/>
  <c r="A250" i="1"/>
  <c r="M249" i="1"/>
  <c r="E249" i="1"/>
  <c r="L249" i="1"/>
  <c r="F249" i="1"/>
  <c r="A249" i="1"/>
  <c r="M248" i="1"/>
  <c r="E248" i="1"/>
  <c r="C248" i="1"/>
  <c r="L248" i="1"/>
  <c r="F248" i="1"/>
  <c r="A248" i="1"/>
  <c r="M247" i="1"/>
  <c r="E247" i="1"/>
  <c r="C247" i="1"/>
  <c r="D247" i="1"/>
  <c r="L247" i="1"/>
  <c r="F247" i="1"/>
  <c r="A247" i="1"/>
  <c r="M246" i="1"/>
  <c r="E246" i="1"/>
  <c r="L246" i="1"/>
  <c r="F246" i="1"/>
  <c r="A246" i="1"/>
  <c r="M245" i="1"/>
  <c r="E245" i="1"/>
  <c r="C245" i="1"/>
  <c r="D245" i="1"/>
  <c r="L245" i="1"/>
  <c r="F245" i="1"/>
  <c r="A245" i="1"/>
  <c r="M244" i="1"/>
  <c r="E244" i="1"/>
  <c r="C244" i="1"/>
  <c r="D244" i="1"/>
  <c r="L244" i="1"/>
  <c r="F244" i="1"/>
  <c r="A244" i="1"/>
  <c r="M243" i="1"/>
  <c r="E243" i="1"/>
  <c r="L243" i="1"/>
  <c r="F243" i="1"/>
  <c r="A243" i="1"/>
  <c r="M242" i="1"/>
  <c r="E242" i="1"/>
  <c r="C242" i="1"/>
  <c r="D242" i="1"/>
  <c r="L242" i="1"/>
  <c r="F242" i="1"/>
  <c r="A242" i="1"/>
  <c r="M241" i="1"/>
  <c r="E241" i="1"/>
  <c r="C241" i="1"/>
  <c r="D241" i="1"/>
  <c r="L241" i="1"/>
  <c r="F241" i="1"/>
  <c r="A241" i="1"/>
  <c r="M240" i="1"/>
  <c r="E240" i="1"/>
  <c r="C240" i="1"/>
  <c r="D240" i="1"/>
  <c r="L240" i="1"/>
  <c r="F240" i="1"/>
  <c r="A240" i="1"/>
  <c r="M239" i="1"/>
  <c r="E239" i="1"/>
  <c r="L239" i="1"/>
  <c r="F239" i="1"/>
  <c r="A239" i="1"/>
  <c r="M238" i="1"/>
  <c r="E238" i="1"/>
  <c r="L238" i="1"/>
  <c r="F238" i="1"/>
  <c r="A238" i="1"/>
  <c r="M237" i="1"/>
  <c r="E237" i="1"/>
  <c r="C237" i="1"/>
  <c r="L237" i="1"/>
  <c r="F237" i="1"/>
  <c r="A237" i="1"/>
  <c r="M236" i="1"/>
  <c r="E236" i="1"/>
  <c r="C236" i="1"/>
  <c r="D236" i="1"/>
  <c r="L236" i="1"/>
  <c r="F236" i="1"/>
  <c r="A236" i="1"/>
  <c r="M235" i="1"/>
  <c r="E235" i="1"/>
  <c r="C235" i="1"/>
  <c r="D235" i="1"/>
  <c r="L235" i="1"/>
  <c r="F235" i="1"/>
  <c r="A235" i="1"/>
  <c r="M234" i="1"/>
  <c r="E234" i="1"/>
  <c r="L234" i="1"/>
  <c r="F234" i="1"/>
  <c r="A234" i="1"/>
  <c r="M233" i="1"/>
  <c r="E233" i="1"/>
  <c r="L233" i="1"/>
  <c r="F233" i="1"/>
  <c r="A233" i="1"/>
  <c r="M232" i="1"/>
  <c r="E232" i="1"/>
  <c r="L232" i="1"/>
  <c r="F232" i="1"/>
  <c r="A232" i="1"/>
  <c r="M231" i="1"/>
  <c r="E231" i="1"/>
  <c r="C231" i="1"/>
  <c r="D231" i="1"/>
  <c r="L231" i="1"/>
  <c r="F231" i="1"/>
  <c r="A231" i="1"/>
  <c r="M230" i="1"/>
  <c r="E230" i="1"/>
  <c r="C230" i="1"/>
  <c r="D230" i="1"/>
  <c r="L230" i="1"/>
  <c r="F230" i="1"/>
  <c r="A230" i="1"/>
  <c r="M229" i="1"/>
  <c r="E229" i="1"/>
  <c r="C229" i="1"/>
  <c r="D229" i="1"/>
  <c r="L229" i="1"/>
  <c r="F229" i="1"/>
  <c r="A229" i="1"/>
  <c r="M228" i="1"/>
  <c r="E228" i="1"/>
  <c r="C228" i="1"/>
  <c r="D228" i="1"/>
  <c r="L228" i="1"/>
  <c r="F228" i="1"/>
  <c r="A228" i="1"/>
  <c r="M227" i="1"/>
  <c r="E227" i="1"/>
  <c r="L227" i="1"/>
  <c r="F227" i="1"/>
  <c r="A227" i="1"/>
  <c r="M226" i="1"/>
  <c r="E226" i="1"/>
  <c r="L226" i="1"/>
  <c r="F226" i="1"/>
  <c r="A226" i="1"/>
  <c r="M225" i="1"/>
  <c r="E225" i="1"/>
  <c r="C225" i="1"/>
  <c r="D225" i="1"/>
  <c r="L225" i="1"/>
  <c r="F225" i="1"/>
  <c r="A225" i="1"/>
  <c r="M224" i="1"/>
  <c r="E224" i="1"/>
  <c r="C224" i="1"/>
  <c r="D224" i="1"/>
  <c r="L224" i="1"/>
  <c r="F224" i="1"/>
  <c r="A224" i="1"/>
  <c r="M223" i="1"/>
  <c r="E223" i="1"/>
  <c r="C223" i="1"/>
  <c r="D223" i="1"/>
  <c r="L223" i="1"/>
  <c r="F223" i="1"/>
  <c r="A223" i="1"/>
  <c r="M222" i="1"/>
  <c r="E222" i="1"/>
  <c r="C222" i="1"/>
  <c r="D222" i="1"/>
  <c r="L222" i="1"/>
  <c r="F222" i="1"/>
  <c r="A222" i="1"/>
  <c r="M221" i="1"/>
  <c r="E221" i="1"/>
  <c r="L221" i="1"/>
  <c r="F221" i="1"/>
  <c r="A221" i="1"/>
  <c r="M220" i="1"/>
  <c r="E220" i="1"/>
  <c r="C220" i="1"/>
  <c r="L220" i="1"/>
  <c r="F220" i="1"/>
  <c r="A220" i="1"/>
  <c r="M219" i="1"/>
  <c r="E219" i="1"/>
  <c r="C219" i="1"/>
  <c r="D219" i="1"/>
  <c r="L219" i="1"/>
  <c r="F219" i="1"/>
  <c r="A219" i="1"/>
  <c r="M218" i="1"/>
  <c r="E218" i="1"/>
  <c r="C218" i="1"/>
  <c r="D218" i="1"/>
  <c r="L218" i="1"/>
  <c r="F218" i="1"/>
  <c r="A218" i="1"/>
  <c r="M217" i="1"/>
  <c r="E217" i="1"/>
  <c r="L217" i="1"/>
  <c r="F217" i="1"/>
  <c r="A217" i="1"/>
  <c r="M216" i="1"/>
  <c r="E216" i="1"/>
  <c r="L216" i="1"/>
  <c r="F216" i="1"/>
  <c r="A216" i="1"/>
  <c r="M215" i="1"/>
  <c r="E215" i="1"/>
  <c r="L215" i="1"/>
  <c r="F215" i="1"/>
  <c r="A215" i="1"/>
  <c r="M214" i="1"/>
  <c r="E214" i="1"/>
  <c r="C214" i="1"/>
  <c r="D214" i="1"/>
  <c r="L214" i="1"/>
  <c r="F214" i="1"/>
  <c r="A214" i="1"/>
  <c r="M213" i="1"/>
  <c r="E213" i="1"/>
  <c r="C213" i="1"/>
  <c r="D213" i="1"/>
  <c r="L213" i="1"/>
  <c r="F213" i="1"/>
  <c r="A213" i="1"/>
  <c r="M212" i="1"/>
  <c r="E212" i="1"/>
  <c r="L212" i="1"/>
  <c r="F212" i="1"/>
  <c r="A212" i="1"/>
  <c r="M211" i="1"/>
  <c r="E211" i="1"/>
  <c r="L211" i="1"/>
  <c r="F211" i="1"/>
  <c r="A211" i="1"/>
  <c r="M210" i="1"/>
  <c r="E210" i="1"/>
  <c r="L210" i="1"/>
  <c r="F210" i="1"/>
  <c r="A210" i="1"/>
  <c r="M209" i="1"/>
  <c r="E209" i="1"/>
  <c r="L209" i="1"/>
  <c r="F209" i="1"/>
  <c r="A209" i="1"/>
  <c r="M208" i="1"/>
  <c r="E208" i="1"/>
  <c r="C208" i="1"/>
  <c r="D208" i="1"/>
  <c r="L208" i="1"/>
  <c r="F208" i="1"/>
  <c r="A208" i="1"/>
  <c r="M207" i="1"/>
  <c r="E207" i="1"/>
  <c r="L207" i="1"/>
  <c r="F207" i="1"/>
  <c r="A207" i="1"/>
  <c r="M206" i="1"/>
  <c r="E206" i="1"/>
  <c r="C206" i="1"/>
  <c r="D206" i="1"/>
  <c r="L206" i="1"/>
  <c r="F206" i="1"/>
  <c r="A206" i="1"/>
  <c r="M205" i="1"/>
  <c r="E205" i="1"/>
  <c r="C205" i="1"/>
  <c r="D205" i="1"/>
  <c r="L205" i="1"/>
  <c r="F205" i="1"/>
  <c r="A205" i="1"/>
  <c r="M204" i="1"/>
  <c r="E204" i="1"/>
  <c r="C204" i="1"/>
  <c r="D204" i="1"/>
  <c r="L204" i="1"/>
  <c r="F204" i="1"/>
  <c r="A204" i="1"/>
  <c r="M203" i="1"/>
  <c r="E203" i="1"/>
  <c r="L203" i="1"/>
  <c r="F203" i="1"/>
  <c r="A203" i="1"/>
  <c r="M202" i="1"/>
  <c r="E202" i="1"/>
  <c r="L202" i="1"/>
  <c r="F202" i="1"/>
  <c r="A202" i="1"/>
  <c r="M201" i="1"/>
  <c r="E201" i="1"/>
  <c r="L201" i="1"/>
  <c r="F201" i="1"/>
  <c r="A201" i="1"/>
  <c r="M200" i="1"/>
  <c r="E200" i="1"/>
  <c r="L200" i="1"/>
  <c r="F200" i="1"/>
  <c r="A200" i="1"/>
  <c r="M199" i="1"/>
  <c r="E199" i="1"/>
  <c r="C199" i="1"/>
  <c r="D199" i="1"/>
  <c r="L199" i="1"/>
  <c r="F199" i="1"/>
  <c r="A199" i="1"/>
  <c r="M198" i="1"/>
  <c r="E198" i="1"/>
  <c r="C198" i="1"/>
  <c r="D198" i="1"/>
  <c r="L198" i="1"/>
  <c r="F198" i="1"/>
  <c r="A198" i="1"/>
  <c r="M197" i="1"/>
  <c r="E197" i="1"/>
  <c r="C197" i="1"/>
  <c r="D197" i="1"/>
  <c r="L197" i="1"/>
  <c r="F197" i="1"/>
  <c r="A197" i="1"/>
  <c r="M196" i="1"/>
  <c r="E196" i="1"/>
  <c r="C196" i="1"/>
  <c r="D196" i="1"/>
  <c r="L196" i="1"/>
  <c r="F196" i="1"/>
  <c r="A196" i="1"/>
  <c r="M195" i="1"/>
  <c r="E195" i="1"/>
  <c r="L195" i="1"/>
  <c r="F195" i="1"/>
  <c r="A195" i="1"/>
  <c r="M194" i="1"/>
  <c r="E194" i="1"/>
  <c r="L194" i="1"/>
  <c r="F194" i="1"/>
  <c r="A194" i="1"/>
  <c r="M193" i="1"/>
  <c r="E193" i="1"/>
  <c r="L193" i="1"/>
  <c r="F193" i="1"/>
  <c r="A193" i="1"/>
  <c r="M192" i="1"/>
  <c r="E192" i="1"/>
  <c r="L192" i="1"/>
  <c r="F192" i="1"/>
  <c r="A192" i="1"/>
  <c r="M191" i="1"/>
  <c r="E191" i="1"/>
  <c r="C191" i="1"/>
  <c r="D191" i="1"/>
  <c r="L191" i="1"/>
  <c r="F191" i="1"/>
  <c r="A191" i="1"/>
  <c r="M190" i="1"/>
  <c r="E190" i="1"/>
  <c r="C190" i="1"/>
  <c r="D190" i="1"/>
  <c r="L190" i="1"/>
  <c r="F190" i="1"/>
  <c r="A190" i="1"/>
  <c r="M189" i="1"/>
  <c r="E189" i="1"/>
  <c r="L189" i="1"/>
  <c r="F189" i="1"/>
  <c r="A189" i="1"/>
  <c r="M188" i="1"/>
  <c r="E188" i="1"/>
  <c r="C188" i="1"/>
  <c r="D188" i="1"/>
  <c r="L188" i="1"/>
  <c r="F188" i="1"/>
  <c r="A188" i="1"/>
  <c r="M187" i="1"/>
  <c r="E187" i="1"/>
  <c r="C187" i="1"/>
  <c r="L187" i="1"/>
  <c r="F187" i="1"/>
  <c r="A187" i="1"/>
  <c r="M186" i="1"/>
  <c r="E186" i="1"/>
  <c r="L186" i="1"/>
  <c r="F186" i="1"/>
  <c r="A186" i="1"/>
  <c r="M185" i="1"/>
  <c r="E185" i="1"/>
  <c r="C185" i="1"/>
  <c r="D185" i="1"/>
  <c r="L185" i="1"/>
  <c r="F185" i="1"/>
  <c r="A185" i="1"/>
  <c r="M184" i="1"/>
  <c r="E184" i="1"/>
  <c r="L184" i="1"/>
  <c r="F184" i="1"/>
  <c r="A184" i="1"/>
  <c r="M183" i="1"/>
  <c r="E183" i="1"/>
  <c r="L183" i="1"/>
  <c r="F183" i="1"/>
  <c r="A183" i="1"/>
  <c r="M182" i="1"/>
  <c r="E182" i="1"/>
  <c r="C182" i="1"/>
  <c r="D182" i="1"/>
  <c r="L182" i="1"/>
  <c r="F182" i="1"/>
  <c r="A182" i="1"/>
  <c r="M181" i="1"/>
  <c r="E181" i="1"/>
  <c r="C181" i="1"/>
  <c r="D181" i="1"/>
  <c r="L181" i="1"/>
  <c r="F181" i="1"/>
  <c r="A181" i="1"/>
  <c r="M180" i="1"/>
  <c r="E180" i="1"/>
  <c r="L180" i="1"/>
  <c r="F180" i="1"/>
  <c r="A180" i="1"/>
  <c r="M179" i="1"/>
  <c r="E179" i="1"/>
  <c r="L179" i="1"/>
  <c r="F179" i="1"/>
  <c r="A179" i="1"/>
  <c r="M178" i="1"/>
  <c r="E178" i="1"/>
  <c r="L178" i="1"/>
  <c r="F178" i="1"/>
  <c r="A178" i="1"/>
  <c r="M177" i="1"/>
  <c r="E177" i="1"/>
  <c r="L177" i="1"/>
  <c r="F177" i="1"/>
  <c r="A177" i="1"/>
  <c r="M176" i="1"/>
  <c r="E176" i="1"/>
  <c r="C176" i="1"/>
  <c r="L176" i="1"/>
  <c r="F176" i="1"/>
  <c r="A176" i="1"/>
  <c r="M175" i="1"/>
  <c r="E175" i="1"/>
  <c r="L175" i="1"/>
  <c r="F175" i="1"/>
  <c r="A175" i="1"/>
  <c r="M174" i="1"/>
  <c r="E174" i="1"/>
  <c r="C174" i="1"/>
  <c r="D174" i="1"/>
  <c r="L174" i="1"/>
  <c r="F174" i="1"/>
  <c r="A174" i="1"/>
  <c r="M173" i="1"/>
  <c r="E173" i="1"/>
  <c r="L173" i="1"/>
  <c r="F173" i="1"/>
  <c r="A173" i="1"/>
  <c r="M172" i="1"/>
  <c r="E172" i="1"/>
  <c r="C172" i="1"/>
  <c r="L172" i="1"/>
  <c r="F172" i="1"/>
  <c r="A172" i="1"/>
  <c r="M171" i="1"/>
  <c r="E171" i="1"/>
  <c r="L171" i="1"/>
  <c r="F171" i="1"/>
  <c r="A171" i="1"/>
  <c r="M170" i="1"/>
  <c r="E170" i="1"/>
  <c r="C170" i="1"/>
  <c r="D170" i="1"/>
  <c r="L170" i="1"/>
  <c r="F170" i="1"/>
  <c r="A170" i="1"/>
  <c r="M169" i="1"/>
  <c r="E169" i="1"/>
  <c r="C169" i="1"/>
  <c r="D169" i="1"/>
  <c r="L169" i="1"/>
  <c r="F169" i="1"/>
  <c r="A169" i="1"/>
  <c r="M168" i="1"/>
  <c r="E168" i="1"/>
  <c r="L168" i="1"/>
  <c r="F168" i="1"/>
  <c r="A168" i="1"/>
  <c r="M167" i="1"/>
  <c r="E167" i="1"/>
  <c r="L167" i="1"/>
  <c r="F167" i="1"/>
  <c r="A167" i="1"/>
  <c r="M166" i="1"/>
  <c r="E166" i="1"/>
  <c r="C166" i="1"/>
  <c r="L166" i="1"/>
  <c r="F166" i="1"/>
  <c r="A166" i="1"/>
  <c r="M165" i="1"/>
  <c r="E165" i="1"/>
  <c r="L165" i="1"/>
  <c r="F165" i="1"/>
  <c r="A165" i="1"/>
  <c r="M164" i="1"/>
  <c r="E164" i="1"/>
  <c r="C164" i="1"/>
  <c r="D164" i="1"/>
  <c r="L164" i="1"/>
  <c r="F164" i="1"/>
  <c r="A164" i="1"/>
  <c r="M163" i="1"/>
  <c r="E163" i="1"/>
  <c r="L163" i="1"/>
  <c r="F163" i="1"/>
  <c r="A163" i="1"/>
  <c r="M162" i="1"/>
  <c r="E162" i="1"/>
  <c r="L162" i="1"/>
  <c r="F162" i="1"/>
  <c r="A162" i="1"/>
  <c r="M161" i="1"/>
  <c r="E161" i="1"/>
  <c r="C161" i="1"/>
  <c r="L161" i="1"/>
  <c r="F161" i="1"/>
  <c r="A161" i="1"/>
  <c r="M160" i="1"/>
  <c r="E160" i="1"/>
  <c r="L160" i="1"/>
  <c r="F160" i="1"/>
  <c r="A160" i="1"/>
  <c r="M159" i="1"/>
  <c r="E159" i="1"/>
  <c r="C159" i="1"/>
  <c r="L159" i="1"/>
  <c r="F159" i="1"/>
  <c r="A159" i="1"/>
  <c r="M157" i="1"/>
  <c r="E157" i="1"/>
  <c r="L157" i="1"/>
  <c r="F157" i="1"/>
  <c r="A157" i="1"/>
  <c r="M156" i="1"/>
  <c r="E156" i="1"/>
  <c r="L156" i="1"/>
  <c r="F156" i="1"/>
  <c r="A156" i="1"/>
  <c r="M155" i="1"/>
  <c r="E155" i="1"/>
  <c r="L155" i="1"/>
  <c r="F155" i="1"/>
  <c r="A155" i="1"/>
  <c r="M154" i="1"/>
  <c r="E154" i="1"/>
  <c r="C154" i="1"/>
  <c r="D154" i="1"/>
  <c r="L154" i="1"/>
  <c r="F154" i="1"/>
  <c r="A154" i="1"/>
  <c r="M153" i="1"/>
  <c r="E153" i="1"/>
  <c r="L153" i="1"/>
  <c r="F153" i="1"/>
  <c r="A153" i="1"/>
  <c r="M152" i="1"/>
  <c r="E152" i="1"/>
  <c r="C152" i="1"/>
  <c r="D152" i="1"/>
  <c r="L152" i="1"/>
  <c r="F152" i="1"/>
  <c r="A152" i="1"/>
  <c r="M151" i="1"/>
  <c r="E151" i="1"/>
  <c r="L151" i="1"/>
  <c r="F151" i="1"/>
  <c r="A151" i="1"/>
  <c r="M150" i="1"/>
  <c r="E150" i="1"/>
  <c r="C150" i="1"/>
  <c r="L150" i="1"/>
  <c r="F150" i="1"/>
  <c r="A150" i="1"/>
  <c r="M149" i="1"/>
  <c r="E149" i="1"/>
  <c r="L149" i="1"/>
  <c r="F149" i="1"/>
  <c r="A149" i="1"/>
  <c r="M148" i="1"/>
  <c r="E148" i="1"/>
  <c r="C148" i="1"/>
  <c r="D148" i="1"/>
  <c r="L148" i="1"/>
  <c r="F148" i="1"/>
  <c r="A148" i="1"/>
  <c r="M147" i="1"/>
  <c r="E147" i="1"/>
  <c r="C147" i="1"/>
  <c r="D147" i="1"/>
  <c r="L147" i="1"/>
  <c r="F147" i="1"/>
  <c r="A147" i="1"/>
  <c r="M146" i="1"/>
  <c r="E146" i="1"/>
  <c r="C146" i="1"/>
  <c r="D146" i="1"/>
  <c r="L146" i="1"/>
  <c r="F146" i="1"/>
  <c r="A146" i="1"/>
  <c r="M145" i="1"/>
  <c r="E145" i="1"/>
  <c r="C145" i="1"/>
  <c r="D145" i="1"/>
  <c r="L145" i="1"/>
  <c r="F145" i="1"/>
  <c r="A145" i="1"/>
  <c r="M144" i="1"/>
  <c r="E144" i="1"/>
  <c r="L144" i="1"/>
  <c r="F144" i="1"/>
  <c r="A144" i="1"/>
  <c r="M143" i="1"/>
  <c r="E143" i="1"/>
  <c r="C143" i="1"/>
  <c r="L143" i="1"/>
  <c r="F143" i="1"/>
  <c r="A143" i="1"/>
  <c r="M142" i="1"/>
  <c r="E142" i="1"/>
  <c r="L142" i="1"/>
  <c r="F142" i="1"/>
  <c r="A142" i="1"/>
  <c r="M141" i="1"/>
  <c r="E141" i="1"/>
  <c r="C141" i="1"/>
  <c r="L141" i="1"/>
  <c r="F141" i="1"/>
  <c r="A141" i="1"/>
  <c r="M140" i="1"/>
  <c r="E140" i="1"/>
  <c r="L140" i="1"/>
  <c r="F140" i="1"/>
  <c r="A140" i="1"/>
  <c r="M139" i="1"/>
  <c r="E139" i="1"/>
  <c r="L139" i="1"/>
  <c r="F139" i="1"/>
  <c r="A139" i="1"/>
  <c r="M138" i="1"/>
  <c r="E138" i="1"/>
  <c r="C138" i="1"/>
  <c r="L138" i="1"/>
  <c r="F138" i="1"/>
  <c r="A138" i="1"/>
  <c r="M137" i="1"/>
  <c r="E137" i="1"/>
  <c r="L137" i="1"/>
  <c r="F137" i="1"/>
  <c r="A137" i="1"/>
  <c r="M136" i="1"/>
  <c r="E136" i="1"/>
  <c r="C136" i="1"/>
  <c r="D136" i="1"/>
  <c r="L136" i="1"/>
  <c r="F136" i="1"/>
  <c r="A136" i="1"/>
  <c r="M135" i="1"/>
  <c r="E135" i="1"/>
  <c r="L135" i="1"/>
  <c r="F135" i="1"/>
  <c r="A135" i="1"/>
  <c r="M134" i="1"/>
  <c r="E134" i="1"/>
  <c r="L134" i="1"/>
  <c r="F134" i="1"/>
  <c r="A134" i="1"/>
  <c r="M133" i="1"/>
  <c r="E133" i="1"/>
  <c r="L133" i="1"/>
  <c r="F133" i="1"/>
  <c r="A133" i="1"/>
  <c r="M132" i="1"/>
  <c r="E132" i="1"/>
  <c r="L132" i="1"/>
  <c r="F132" i="1"/>
  <c r="A132" i="1"/>
  <c r="M131" i="1"/>
  <c r="E131" i="1"/>
  <c r="C131" i="1"/>
  <c r="D131" i="1"/>
  <c r="L131" i="1"/>
  <c r="F131" i="1"/>
  <c r="A131" i="1"/>
  <c r="M130" i="1"/>
  <c r="E130" i="1"/>
  <c r="C130" i="1"/>
  <c r="D130" i="1"/>
  <c r="L130" i="1"/>
  <c r="F130" i="1"/>
  <c r="A130" i="1"/>
  <c r="M129" i="1"/>
  <c r="E129" i="1"/>
  <c r="C129" i="1"/>
  <c r="D129" i="1"/>
  <c r="L129" i="1"/>
  <c r="F129" i="1"/>
  <c r="A129" i="1"/>
  <c r="M128" i="1"/>
  <c r="E128" i="1"/>
  <c r="L128" i="1"/>
  <c r="F128" i="1"/>
  <c r="A128" i="1"/>
  <c r="M127" i="1"/>
  <c r="E127" i="1"/>
  <c r="C127" i="1"/>
  <c r="D127" i="1"/>
  <c r="L127" i="1"/>
  <c r="F127" i="1"/>
  <c r="A127" i="1"/>
  <c r="M126" i="1"/>
  <c r="E126" i="1"/>
  <c r="C126" i="1"/>
  <c r="D126" i="1"/>
  <c r="L126" i="1"/>
  <c r="F126" i="1"/>
  <c r="A126" i="1"/>
  <c r="M125" i="1"/>
  <c r="E125" i="1"/>
  <c r="L125" i="1"/>
  <c r="F125" i="1"/>
  <c r="A125" i="1"/>
  <c r="M124" i="1"/>
  <c r="E124" i="1"/>
  <c r="C124" i="1"/>
  <c r="L124" i="1"/>
  <c r="F124" i="1"/>
  <c r="A124" i="1"/>
  <c r="M123" i="1"/>
  <c r="E123" i="1"/>
  <c r="L123" i="1"/>
  <c r="F123" i="1"/>
  <c r="A123" i="1"/>
  <c r="M122" i="1"/>
  <c r="E122" i="1"/>
  <c r="L122" i="1"/>
  <c r="F122" i="1"/>
  <c r="A122" i="1"/>
  <c r="M121" i="1"/>
  <c r="E121" i="1"/>
  <c r="C121" i="1"/>
  <c r="D121" i="1"/>
  <c r="L121" i="1"/>
  <c r="F121" i="1"/>
  <c r="A121" i="1"/>
  <c r="M120" i="1"/>
  <c r="E120" i="1"/>
  <c r="L120" i="1"/>
  <c r="F120" i="1"/>
  <c r="A120" i="1"/>
  <c r="M119" i="1"/>
  <c r="E119" i="1"/>
  <c r="L119" i="1"/>
  <c r="F119" i="1"/>
  <c r="A119" i="1"/>
  <c r="M118" i="1"/>
  <c r="E118" i="1"/>
  <c r="L118" i="1"/>
  <c r="F118" i="1"/>
  <c r="A118" i="1"/>
  <c r="M117" i="1"/>
  <c r="E117" i="1"/>
  <c r="L117" i="1"/>
  <c r="F117" i="1"/>
  <c r="A117" i="1"/>
  <c r="M116" i="1"/>
  <c r="E116" i="1"/>
  <c r="L116" i="1"/>
  <c r="F116" i="1"/>
  <c r="A116" i="1"/>
  <c r="M115" i="1"/>
  <c r="E115" i="1"/>
  <c r="C115" i="1"/>
  <c r="D115" i="1"/>
  <c r="L115" i="1"/>
  <c r="F115" i="1"/>
  <c r="A115" i="1"/>
  <c r="M114" i="1"/>
  <c r="E114" i="1"/>
  <c r="C114" i="1"/>
  <c r="D114" i="1"/>
  <c r="L114" i="1"/>
  <c r="F114" i="1"/>
  <c r="A114" i="1"/>
  <c r="M113" i="1"/>
  <c r="E113" i="1"/>
  <c r="L113" i="1"/>
  <c r="F113" i="1"/>
  <c r="A113" i="1"/>
  <c r="M112" i="1"/>
  <c r="E112" i="1"/>
  <c r="C112" i="1"/>
  <c r="D112" i="1"/>
  <c r="L112" i="1"/>
  <c r="F112" i="1"/>
  <c r="A112" i="1"/>
  <c r="M111" i="1"/>
  <c r="E111" i="1"/>
  <c r="L111" i="1"/>
  <c r="F111" i="1"/>
  <c r="A111" i="1"/>
  <c r="M110" i="1"/>
  <c r="E110" i="1"/>
  <c r="L110" i="1"/>
  <c r="F110" i="1"/>
  <c r="A110" i="1"/>
  <c r="M109" i="1"/>
  <c r="E109" i="1"/>
  <c r="C109" i="1"/>
  <c r="D109" i="1"/>
  <c r="L109" i="1"/>
  <c r="F109" i="1"/>
  <c r="A109" i="1"/>
  <c r="M108" i="1"/>
  <c r="E108" i="1"/>
  <c r="C108" i="1"/>
  <c r="D108" i="1"/>
  <c r="L108" i="1"/>
  <c r="F108" i="1"/>
  <c r="A108" i="1"/>
  <c r="M107" i="1"/>
  <c r="E107" i="1"/>
  <c r="L107" i="1"/>
  <c r="F107" i="1"/>
  <c r="A107" i="1"/>
  <c r="M106" i="1"/>
  <c r="E106" i="1"/>
  <c r="L106" i="1"/>
  <c r="F106" i="1"/>
  <c r="A106" i="1"/>
  <c r="M105" i="1"/>
  <c r="E105" i="1"/>
  <c r="L105" i="1"/>
  <c r="F105" i="1"/>
  <c r="A105" i="1"/>
  <c r="M104" i="1"/>
  <c r="E104" i="1"/>
  <c r="C104" i="1"/>
  <c r="D104" i="1"/>
  <c r="L104" i="1"/>
  <c r="F104" i="1"/>
  <c r="A104" i="1"/>
  <c r="M103" i="1"/>
  <c r="E103" i="1"/>
  <c r="C103" i="1"/>
  <c r="D103" i="1"/>
  <c r="L103" i="1"/>
  <c r="F103" i="1"/>
  <c r="A103" i="1"/>
  <c r="M102" i="1"/>
  <c r="E102" i="1"/>
  <c r="L102" i="1"/>
  <c r="F102" i="1"/>
  <c r="A102" i="1"/>
  <c r="M101" i="1"/>
  <c r="E101" i="1"/>
  <c r="L101" i="1"/>
  <c r="F101" i="1"/>
  <c r="A101" i="1"/>
  <c r="M100" i="1"/>
  <c r="E100" i="1"/>
  <c r="C100" i="1"/>
  <c r="D100" i="1"/>
  <c r="L100" i="1"/>
  <c r="F100" i="1"/>
  <c r="A100" i="1"/>
  <c r="M99" i="1"/>
  <c r="E99" i="1"/>
  <c r="L99" i="1"/>
  <c r="F99" i="1"/>
  <c r="A99" i="1"/>
  <c r="M98" i="1"/>
  <c r="E98" i="1"/>
  <c r="L98" i="1"/>
  <c r="F98" i="1"/>
  <c r="A98" i="1"/>
  <c r="M97" i="1"/>
  <c r="E97" i="1"/>
  <c r="C97" i="1"/>
  <c r="L97" i="1"/>
  <c r="F97" i="1"/>
  <c r="A97" i="1"/>
  <c r="M96" i="1"/>
  <c r="E96" i="1"/>
  <c r="L96" i="1"/>
  <c r="F96" i="1"/>
  <c r="A96" i="1"/>
  <c r="M95" i="1"/>
  <c r="E95" i="1"/>
  <c r="C95" i="1"/>
  <c r="D95" i="1"/>
  <c r="L95" i="1"/>
  <c r="F95" i="1"/>
  <c r="A95" i="1"/>
  <c r="M94" i="1"/>
  <c r="E94" i="1"/>
  <c r="C94" i="1"/>
  <c r="D94" i="1"/>
  <c r="L94" i="1"/>
  <c r="F94" i="1"/>
  <c r="A94" i="1"/>
  <c r="M93" i="1"/>
  <c r="E93" i="1"/>
  <c r="L93" i="1"/>
  <c r="F93" i="1"/>
  <c r="A93" i="1"/>
  <c r="M92" i="1"/>
  <c r="E92" i="1"/>
  <c r="C92" i="1"/>
  <c r="D92" i="1"/>
  <c r="L92" i="1"/>
  <c r="F92" i="1"/>
  <c r="A92" i="1"/>
  <c r="M91" i="1"/>
  <c r="E91" i="1"/>
  <c r="C91" i="1"/>
  <c r="D91" i="1"/>
  <c r="L91" i="1"/>
  <c r="F91" i="1"/>
  <c r="A91" i="1"/>
  <c r="M90" i="1"/>
  <c r="E90" i="1"/>
  <c r="L90" i="1"/>
  <c r="F90" i="1"/>
  <c r="A90" i="1"/>
  <c r="M89" i="1"/>
  <c r="E89" i="1"/>
  <c r="L89" i="1"/>
  <c r="F89" i="1"/>
  <c r="A89" i="1"/>
  <c r="M88" i="1"/>
  <c r="E88" i="1"/>
  <c r="C88" i="1"/>
  <c r="D88" i="1"/>
  <c r="L88" i="1"/>
  <c r="F88" i="1"/>
  <c r="A88" i="1"/>
  <c r="M87" i="1"/>
  <c r="E87" i="1"/>
  <c r="C87" i="1"/>
  <c r="D87" i="1"/>
  <c r="L87" i="1"/>
  <c r="F87" i="1"/>
  <c r="A87" i="1"/>
  <c r="M86" i="1"/>
  <c r="E86" i="1"/>
  <c r="L86" i="1"/>
  <c r="F86" i="1"/>
  <c r="A86" i="1"/>
  <c r="M85" i="1"/>
  <c r="E85" i="1"/>
  <c r="L85" i="1"/>
  <c r="F85" i="1"/>
  <c r="A85" i="1"/>
  <c r="M84" i="1"/>
  <c r="E84" i="1"/>
  <c r="L84" i="1"/>
  <c r="F84" i="1"/>
  <c r="A84" i="1"/>
  <c r="M83" i="1"/>
  <c r="E83" i="1"/>
  <c r="L83" i="1"/>
  <c r="F83" i="1"/>
  <c r="A83" i="1"/>
  <c r="M82" i="1"/>
  <c r="E82" i="1"/>
  <c r="L82" i="1"/>
  <c r="F82" i="1"/>
  <c r="A82" i="1"/>
  <c r="M81" i="1"/>
  <c r="E81" i="1"/>
  <c r="C81" i="1"/>
  <c r="D81" i="1"/>
  <c r="L81" i="1"/>
  <c r="F81" i="1"/>
  <c r="A81" i="1"/>
  <c r="M80" i="1"/>
  <c r="E80" i="1"/>
  <c r="C80" i="1"/>
  <c r="D80" i="1"/>
  <c r="L80" i="1"/>
  <c r="F80" i="1"/>
  <c r="A80" i="1"/>
  <c r="M79" i="1"/>
  <c r="E79" i="1"/>
  <c r="C79" i="1"/>
  <c r="D79" i="1"/>
  <c r="L79" i="1"/>
  <c r="F79" i="1"/>
  <c r="A79" i="1"/>
  <c r="M78" i="1"/>
  <c r="E78" i="1"/>
  <c r="L78" i="1"/>
  <c r="F78" i="1"/>
  <c r="A78" i="1"/>
  <c r="M77" i="1"/>
  <c r="E77" i="1"/>
  <c r="L77" i="1"/>
  <c r="F77" i="1"/>
  <c r="A77" i="1"/>
  <c r="M76" i="1"/>
  <c r="E76" i="1"/>
  <c r="C76" i="1"/>
  <c r="D76" i="1"/>
  <c r="L76" i="1"/>
  <c r="F76" i="1"/>
  <c r="A76" i="1"/>
  <c r="M75" i="1"/>
  <c r="E75" i="1"/>
  <c r="C75" i="1"/>
  <c r="D75" i="1"/>
  <c r="L75" i="1"/>
  <c r="F75" i="1"/>
  <c r="A75" i="1"/>
  <c r="M74" i="1"/>
  <c r="E74" i="1"/>
  <c r="L74" i="1"/>
  <c r="F74" i="1"/>
  <c r="A74" i="1"/>
  <c r="M73" i="1"/>
  <c r="E73" i="1"/>
  <c r="L73" i="1"/>
  <c r="F73" i="1"/>
  <c r="A73" i="1"/>
  <c r="M72" i="1"/>
  <c r="E72" i="1"/>
  <c r="C72" i="1"/>
  <c r="D72" i="1"/>
  <c r="L72" i="1"/>
  <c r="F72" i="1"/>
  <c r="A72" i="1"/>
  <c r="M71" i="1"/>
  <c r="E71" i="1"/>
  <c r="L71" i="1"/>
  <c r="F71" i="1"/>
  <c r="A71" i="1"/>
  <c r="M70" i="1"/>
  <c r="E70" i="1"/>
  <c r="L70" i="1"/>
  <c r="F70" i="1"/>
  <c r="A70" i="1"/>
  <c r="M69" i="1"/>
  <c r="E69" i="1"/>
  <c r="L69" i="1"/>
  <c r="F69" i="1"/>
  <c r="A69" i="1"/>
  <c r="M68" i="1"/>
  <c r="E68" i="1"/>
  <c r="L68" i="1"/>
  <c r="F68" i="1"/>
  <c r="A68" i="1"/>
  <c r="M67" i="1"/>
  <c r="E67" i="1"/>
  <c r="L67" i="1"/>
  <c r="F67" i="1"/>
  <c r="A67" i="1"/>
  <c r="M66" i="1"/>
  <c r="E66" i="1"/>
  <c r="C66" i="1"/>
  <c r="D66" i="1"/>
  <c r="L66" i="1"/>
  <c r="F66" i="1"/>
  <c r="A66" i="1"/>
  <c r="M65" i="1"/>
  <c r="E65" i="1"/>
  <c r="L65" i="1"/>
  <c r="F65" i="1"/>
  <c r="A65" i="1"/>
  <c r="M64" i="1"/>
  <c r="E64" i="1"/>
  <c r="L64" i="1"/>
  <c r="F64" i="1"/>
  <c r="A64" i="1"/>
  <c r="M63" i="1"/>
  <c r="E63" i="1"/>
  <c r="C63" i="1"/>
  <c r="D63" i="1"/>
  <c r="L63" i="1"/>
  <c r="F63" i="1"/>
  <c r="A63" i="1"/>
  <c r="M62" i="1"/>
  <c r="E62" i="1"/>
  <c r="C62" i="1"/>
  <c r="D62" i="1"/>
  <c r="L62" i="1"/>
  <c r="F62" i="1"/>
  <c r="A62" i="1"/>
  <c r="M61" i="1"/>
  <c r="E61" i="1"/>
  <c r="L61" i="1"/>
  <c r="F61" i="1"/>
  <c r="A61" i="1"/>
  <c r="M60" i="1"/>
  <c r="E60" i="1"/>
  <c r="C60" i="1"/>
  <c r="L60" i="1"/>
  <c r="F60" i="1"/>
  <c r="A60" i="1"/>
  <c r="M59" i="1"/>
  <c r="E59" i="1"/>
  <c r="L59" i="1"/>
  <c r="F59" i="1"/>
  <c r="A59" i="1"/>
  <c r="M58" i="1"/>
  <c r="E58" i="1"/>
  <c r="C58" i="1"/>
  <c r="D58" i="1"/>
  <c r="L58" i="1"/>
  <c r="F58" i="1"/>
  <c r="A58" i="1"/>
  <c r="M57" i="1"/>
  <c r="E57" i="1"/>
  <c r="C57" i="1"/>
  <c r="D57" i="1"/>
  <c r="L57" i="1"/>
  <c r="F57" i="1"/>
  <c r="A57" i="1"/>
  <c r="M56" i="1"/>
  <c r="E56" i="1"/>
  <c r="L56" i="1"/>
  <c r="F56" i="1"/>
  <c r="A56" i="1"/>
  <c r="M55" i="1"/>
  <c r="E55" i="1"/>
  <c r="C55" i="1"/>
  <c r="D55" i="1"/>
  <c r="L55" i="1"/>
  <c r="F55" i="1"/>
  <c r="A55" i="1"/>
  <c r="M54" i="1"/>
  <c r="E54" i="1"/>
  <c r="L54" i="1"/>
  <c r="F54" i="1"/>
  <c r="A54" i="1"/>
  <c r="M53" i="1"/>
  <c r="E53" i="1"/>
  <c r="C53" i="1"/>
  <c r="L53" i="1"/>
  <c r="F53" i="1"/>
  <c r="A53" i="1"/>
  <c r="M52" i="1"/>
  <c r="E52" i="1"/>
  <c r="L52" i="1"/>
  <c r="F52" i="1"/>
  <c r="A52" i="1"/>
  <c r="M51" i="1"/>
  <c r="E51" i="1"/>
  <c r="L51" i="1"/>
  <c r="F51" i="1"/>
  <c r="A51" i="1"/>
  <c r="M50" i="1"/>
  <c r="E50" i="1"/>
  <c r="C50" i="1"/>
  <c r="D50" i="1"/>
  <c r="L50" i="1"/>
  <c r="F50" i="1"/>
  <c r="A50" i="1"/>
  <c r="M49" i="1"/>
  <c r="E49" i="1"/>
  <c r="C49" i="1"/>
  <c r="D49" i="1"/>
  <c r="L49" i="1"/>
  <c r="F49" i="1"/>
  <c r="A49" i="1"/>
  <c r="M48" i="1"/>
  <c r="E48" i="1"/>
  <c r="C48" i="1"/>
  <c r="D48" i="1"/>
  <c r="L48" i="1"/>
  <c r="F48" i="1"/>
  <c r="A48" i="1"/>
  <c r="M47" i="1"/>
  <c r="E47" i="1"/>
  <c r="L47" i="1"/>
  <c r="F47" i="1"/>
  <c r="A47" i="1"/>
  <c r="M46" i="1"/>
  <c r="E46" i="1"/>
  <c r="L46" i="1"/>
  <c r="F46" i="1"/>
  <c r="A46" i="1"/>
  <c r="M45" i="1"/>
  <c r="E45" i="1"/>
  <c r="L45" i="1"/>
  <c r="F45" i="1"/>
  <c r="A45" i="1"/>
  <c r="M44" i="1"/>
  <c r="E44" i="1"/>
  <c r="L44" i="1"/>
  <c r="F44" i="1"/>
  <c r="A44" i="1"/>
  <c r="M43" i="1"/>
  <c r="E43" i="1"/>
  <c r="L43" i="1"/>
  <c r="F43" i="1"/>
  <c r="A43" i="1"/>
  <c r="M42" i="1"/>
  <c r="E42" i="1"/>
  <c r="C42" i="1"/>
  <c r="D42" i="1"/>
  <c r="L42" i="1"/>
  <c r="F42" i="1"/>
  <c r="A42" i="1"/>
  <c r="M41" i="1"/>
  <c r="E41" i="1"/>
  <c r="C41" i="1"/>
  <c r="L41" i="1"/>
  <c r="F41" i="1"/>
  <c r="A41" i="1"/>
  <c r="M40" i="1"/>
  <c r="E40" i="1"/>
  <c r="L40" i="1"/>
  <c r="F40" i="1"/>
  <c r="A40" i="1"/>
  <c r="M39" i="1"/>
  <c r="E39" i="1"/>
  <c r="C39" i="1"/>
  <c r="D39" i="1"/>
  <c r="L39" i="1"/>
  <c r="F39" i="1"/>
  <c r="A39" i="1"/>
  <c r="M38" i="1"/>
  <c r="E38" i="1"/>
  <c r="C38" i="1"/>
  <c r="D38" i="1"/>
  <c r="L38" i="1"/>
  <c r="F38" i="1"/>
  <c r="A38" i="1"/>
  <c r="M37" i="1"/>
  <c r="E37" i="1"/>
  <c r="C37" i="1"/>
  <c r="D37" i="1"/>
  <c r="L37" i="1"/>
  <c r="F37" i="1"/>
  <c r="A37" i="1"/>
  <c r="M36" i="1"/>
  <c r="E36" i="1"/>
  <c r="L36" i="1"/>
  <c r="F36" i="1"/>
  <c r="A36" i="1"/>
  <c r="M35" i="1"/>
  <c r="E35" i="1"/>
  <c r="L35" i="1"/>
  <c r="F35" i="1"/>
  <c r="A35" i="1"/>
  <c r="M34" i="1"/>
  <c r="E34" i="1"/>
  <c r="C34" i="1"/>
  <c r="D34" i="1"/>
  <c r="L34" i="1"/>
  <c r="F34" i="1"/>
  <c r="A34" i="1"/>
  <c r="M33" i="1"/>
  <c r="E33" i="1"/>
  <c r="C33" i="1"/>
  <c r="D33" i="1"/>
  <c r="L33" i="1"/>
  <c r="F33" i="1"/>
  <c r="A33" i="1"/>
  <c r="M32" i="1"/>
  <c r="E32" i="1"/>
  <c r="C32" i="1"/>
  <c r="D32" i="1"/>
  <c r="L32" i="1"/>
  <c r="F32" i="1"/>
  <c r="A32" i="1"/>
  <c r="M31" i="1"/>
  <c r="E31" i="1"/>
  <c r="L31" i="1"/>
  <c r="F31" i="1"/>
  <c r="A31" i="1"/>
  <c r="M30" i="1"/>
  <c r="E30" i="1"/>
  <c r="L30" i="1"/>
  <c r="F30" i="1"/>
  <c r="A30" i="1"/>
  <c r="M29" i="1"/>
  <c r="E29" i="1"/>
  <c r="L29" i="1"/>
  <c r="F29" i="1"/>
  <c r="A29" i="1"/>
  <c r="M28" i="1"/>
  <c r="E28" i="1"/>
  <c r="L28" i="1"/>
  <c r="F28" i="1"/>
  <c r="A28" i="1"/>
  <c r="M27" i="1"/>
  <c r="E27" i="1"/>
  <c r="C27" i="1"/>
  <c r="D27" i="1"/>
  <c r="L27" i="1"/>
  <c r="F27" i="1"/>
  <c r="A27" i="1"/>
  <c r="M26" i="1"/>
  <c r="E26" i="1"/>
  <c r="C26" i="1"/>
  <c r="D26" i="1"/>
  <c r="L26" i="1"/>
  <c r="F26" i="1"/>
  <c r="A26" i="1"/>
  <c r="M25" i="1"/>
  <c r="E25" i="1"/>
  <c r="C25" i="1"/>
  <c r="D25" i="1"/>
  <c r="L25" i="1"/>
  <c r="F25" i="1"/>
  <c r="A25" i="1"/>
  <c r="M24" i="1"/>
  <c r="E24" i="1"/>
  <c r="C24" i="1"/>
  <c r="D24" i="1"/>
  <c r="L24" i="1"/>
  <c r="F24" i="1"/>
  <c r="A24" i="1"/>
  <c r="M23" i="1"/>
  <c r="E23" i="1"/>
  <c r="L23" i="1"/>
  <c r="F23" i="1"/>
  <c r="A23" i="1"/>
  <c r="M22" i="1"/>
  <c r="E22" i="1"/>
  <c r="L22" i="1"/>
  <c r="F22" i="1"/>
  <c r="A22" i="1"/>
  <c r="M21" i="1"/>
  <c r="E21" i="1"/>
  <c r="L21" i="1"/>
  <c r="F21" i="1"/>
  <c r="A21" i="1"/>
  <c r="M20" i="1"/>
  <c r="E20" i="1"/>
  <c r="C20" i="1"/>
  <c r="D20" i="1"/>
  <c r="L20" i="1"/>
  <c r="F20" i="1"/>
  <c r="A20" i="1"/>
  <c r="M19" i="1"/>
  <c r="E19" i="1"/>
  <c r="C19" i="1"/>
  <c r="D19" i="1"/>
  <c r="L19" i="1"/>
  <c r="F19" i="1"/>
  <c r="A19" i="1"/>
  <c r="M18" i="1"/>
  <c r="E18" i="1"/>
  <c r="C18" i="1"/>
  <c r="D18" i="1"/>
  <c r="L18" i="1"/>
  <c r="F18" i="1"/>
  <c r="A18" i="1"/>
  <c r="M17" i="1"/>
  <c r="E17" i="1"/>
  <c r="C17" i="1"/>
  <c r="L17" i="1"/>
  <c r="F17" i="1"/>
  <c r="A17" i="1"/>
  <c r="M16" i="1"/>
  <c r="E16" i="1"/>
  <c r="L16" i="1"/>
  <c r="F16" i="1"/>
  <c r="A16" i="1"/>
  <c r="M15" i="1"/>
  <c r="E15" i="1"/>
  <c r="L15" i="1"/>
  <c r="F15" i="1"/>
  <c r="A15" i="1"/>
  <c r="M14" i="1"/>
  <c r="E14" i="1"/>
  <c r="C14" i="1"/>
  <c r="L14" i="1"/>
  <c r="F14" i="1"/>
  <c r="A14" i="1"/>
  <c r="M13" i="1"/>
  <c r="E13" i="1"/>
  <c r="L13" i="1"/>
  <c r="F13" i="1"/>
  <c r="A13" i="1"/>
  <c r="M12" i="1"/>
  <c r="E12" i="1"/>
  <c r="C12" i="1"/>
  <c r="D12" i="1"/>
  <c r="L12" i="1"/>
  <c r="F12" i="1"/>
  <c r="A12" i="1"/>
  <c r="M11" i="1"/>
  <c r="E11" i="1"/>
  <c r="C11" i="1"/>
  <c r="D11" i="1"/>
  <c r="L11" i="1"/>
  <c r="F11" i="1"/>
  <c r="A11" i="1"/>
  <c r="M10" i="1"/>
  <c r="E10" i="1"/>
  <c r="C10" i="1"/>
  <c r="D10" i="1"/>
  <c r="L10" i="1"/>
  <c r="F10" i="1"/>
  <c r="A10" i="1"/>
  <c r="M9" i="1"/>
  <c r="E9" i="1"/>
  <c r="L9" i="1"/>
  <c r="F9" i="1"/>
  <c r="A9" i="1"/>
  <c r="M8" i="1"/>
  <c r="E8" i="1"/>
  <c r="L8" i="1"/>
  <c r="F8" i="1"/>
  <c r="A8" i="1"/>
  <c r="M7" i="1"/>
  <c r="E7" i="1"/>
  <c r="C7" i="1"/>
  <c r="D7" i="1"/>
  <c r="L7" i="1"/>
  <c r="F7" i="1"/>
  <c r="A7" i="1"/>
  <c r="M6" i="1"/>
  <c r="E6" i="1"/>
  <c r="L6" i="1"/>
  <c r="F6" i="1"/>
  <c r="A6" i="1"/>
  <c r="M5" i="1"/>
  <c r="E5" i="1"/>
  <c r="C5" i="1"/>
  <c r="D5" i="1"/>
  <c r="L5" i="1"/>
  <c r="F5" i="1"/>
  <c r="A5" i="1"/>
  <c r="M4" i="1"/>
  <c r="E4" i="1"/>
  <c r="C4" i="1"/>
  <c r="D4" i="1"/>
  <c r="L4" i="1"/>
  <c r="F4" i="1"/>
  <c r="A4" i="1"/>
  <c r="M3" i="1"/>
  <c r="E3" i="1"/>
  <c r="L3" i="1"/>
  <c r="F3" i="1"/>
  <c r="A3" i="1"/>
  <c r="M2" i="1"/>
  <c r="E2" i="1"/>
  <c r="L2" i="1"/>
  <c r="F2" i="1"/>
  <c r="A2" i="1"/>
</calcChain>
</file>

<file path=xl/sharedStrings.xml><?xml version="1.0" encoding="utf-8"?>
<sst xmlns="http://schemas.openxmlformats.org/spreadsheetml/2006/main" count="1685" uniqueCount="77">
  <si>
    <t>A280737240</t>
  </si>
  <si>
    <t>50ETF</t>
  </si>
  <si>
    <t xml:space="preserve"> </t>
  </si>
  <si>
    <t>300ETF</t>
  </si>
  <si>
    <r>
      <rPr>
        <sz val="10"/>
        <color theme="1"/>
        <rFont val="等线"/>
        <family val="2"/>
      </rPr>
      <t>卖出</t>
    </r>
  </si>
  <si>
    <r>
      <rPr>
        <sz val="10"/>
        <color theme="1"/>
        <rFont val="等线"/>
        <family val="2"/>
      </rPr>
      <t>股息入帐</t>
    </r>
  </si>
  <si>
    <r>
      <rPr>
        <sz val="10"/>
        <color theme="1"/>
        <rFont val="等线"/>
        <family val="2"/>
      </rPr>
      <t>股息入账</t>
    </r>
    <r>
      <rPr>
        <sz val="10"/>
        <color theme="1"/>
        <rFont val="Arial"/>
        <family val="2"/>
      </rPr>
      <t xml:space="preserve">:50ETF510050; </t>
    </r>
    <r>
      <rPr>
        <sz val="10"/>
        <color theme="1"/>
        <rFont val="等线"/>
        <family val="2"/>
      </rPr>
      <t>权益股数</t>
    </r>
    <r>
      <rPr>
        <sz val="10"/>
        <color theme="1"/>
        <rFont val="Arial"/>
        <family val="2"/>
      </rPr>
      <t>:2700;</t>
    </r>
    <r>
      <rPr>
        <sz val="10"/>
        <color theme="1"/>
        <rFont val="等线"/>
        <family val="2"/>
      </rPr>
      <t>股东账号：</t>
    </r>
    <r>
      <rPr>
        <sz val="10"/>
        <color theme="1"/>
        <rFont val="Arial"/>
        <family val="2"/>
      </rPr>
      <t>A280737240;</t>
    </r>
  </si>
  <si>
    <r>
      <rPr>
        <sz val="10"/>
        <color theme="1"/>
        <rFont val="等线"/>
        <family val="2"/>
      </rPr>
      <t>基金资金拨出</t>
    </r>
  </si>
  <si>
    <r>
      <t>122</t>
    </r>
    <r>
      <rPr>
        <sz val="10"/>
        <color theme="1"/>
        <rFont val="等线"/>
        <family val="2"/>
      </rPr>
      <t>扣除金额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>基金代码：</t>
    </r>
    <r>
      <rPr>
        <sz val="10"/>
        <color theme="1"/>
        <rFont val="Arial"/>
        <family val="2"/>
      </rPr>
      <t>940018,</t>
    </r>
    <r>
      <rPr>
        <sz val="10"/>
        <color theme="1"/>
        <rFont val="等线"/>
        <family val="2"/>
      </rPr>
      <t>发生份额：</t>
    </r>
    <r>
      <rPr>
        <sz val="10"/>
        <color theme="1"/>
        <rFont val="Arial"/>
        <family val="2"/>
      </rPr>
      <t>132.3</t>
    </r>
  </si>
  <si>
    <r>
      <rPr>
        <sz val="10"/>
        <color theme="1"/>
        <rFont val="等线"/>
        <family val="2"/>
      </rPr>
      <t>股息入账</t>
    </r>
    <r>
      <rPr>
        <sz val="10"/>
        <color theme="1"/>
        <rFont val="Arial"/>
        <family val="2"/>
      </rPr>
      <t xml:space="preserve">:300ETF510300; </t>
    </r>
    <r>
      <rPr>
        <sz val="10"/>
        <color theme="1"/>
        <rFont val="等线"/>
        <family val="2"/>
      </rPr>
      <t>权益股数</t>
    </r>
    <r>
      <rPr>
        <sz val="10"/>
        <color theme="1"/>
        <rFont val="Arial"/>
        <family val="2"/>
      </rPr>
      <t>:7400;</t>
    </r>
    <r>
      <rPr>
        <sz val="10"/>
        <color theme="1"/>
        <rFont val="等线"/>
        <family val="2"/>
      </rPr>
      <t>股东账号：</t>
    </r>
    <r>
      <rPr>
        <sz val="10"/>
        <color theme="1"/>
        <rFont val="Arial"/>
        <family val="2"/>
      </rPr>
      <t>A280737240;</t>
    </r>
  </si>
  <si>
    <r>
      <t>122</t>
    </r>
    <r>
      <rPr>
        <sz val="10"/>
        <color theme="1"/>
        <rFont val="等线"/>
        <family val="2"/>
      </rPr>
      <t>扣除金额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>基金代码：</t>
    </r>
    <r>
      <rPr>
        <sz val="10"/>
        <color theme="1"/>
        <rFont val="Arial"/>
        <family val="2"/>
      </rPr>
      <t>940018,</t>
    </r>
    <r>
      <rPr>
        <sz val="10"/>
        <color theme="1"/>
        <rFont val="等线"/>
        <family val="2"/>
      </rPr>
      <t>发生份额：</t>
    </r>
    <r>
      <rPr>
        <sz val="10"/>
        <color theme="1"/>
        <rFont val="Arial"/>
        <family val="2"/>
      </rPr>
      <t>436.6</t>
    </r>
  </si>
  <si>
    <r>
      <rPr>
        <sz val="10"/>
        <color theme="1"/>
        <rFont val="等线"/>
        <family val="2"/>
      </rPr>
      <t>银行转存</t>
    </r>
  </si>
  <si>
    <r>
      <rPr>
        <sz val="10"/>
        <color theme="1"/>
        <rFont val="等线"/>
        <family val="2"/>
      </rPr>
      <t>银行返回码</t>
    </r>
    <r>
      <rPr>
        <sz val="10"/>
        <color theme="1"/>
        <rFont val="Arial"/>
        <family val="2"/>
      </rPr>
      <t>[ ]</t>
    </r>
    <r>
      <rPr>
        <sz val="10"/>
        <color theme="1"/>
        <rFont val="等线"/>
        <family val="2"/>
      </rPr>
      <t>返回信息</t>
    </r>
    <r>
      <rPr>
        <sz val="10"/>
        <color theme="1"/>
        <rFont val="Arial"/>
        <family val="2"/>
      </rPr>
      <t xml:space="preserve">[0000 </t>
    </r>
    <r>
      <rPr>
        <sz val="10"/>
        <color theme="1"/>
        <rFont val="等线"/>
        <family val="2"/>
      </rPr>
      <t>交易成功</t>
    </r>
    <r>
      <rPr>
        <sz val="10"/>
        <color theme="1"/>
        <rFont val="Arial"/>
        <family val="2"/>
      </rPr>
      <t>]|</t>
    </r>
    <r>
      <rPr>
        <sz val="10"/>
        <color theme="1"/>
        <rFont val="等线"/>
        <family val="2"/>
      </rPr>
      <t>转账成功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>转账账号</t>
    </r>
    <r>
      <rPr>
        <sz val="10"/>
        <color theme="1"/>
        <rFont val="Arial"/>
        <family val="2"/>
      </rPr>
      <t>:6225881012906292 correct_balance=0</t>
    </r>
  </si>
  <si>
    <r>
      <rPr>
        <sz val="10"/>
        <color theme="1"/>
        <rFont val="等线"/>
        <family val="2"/>
      </rPr>
      <t>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>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>板</t>
    </r>
  </si>
  <si>
    <r>
      <rPr>
        <sz val="10"/>
        <color theme="1"/>
        <rFont val="等线"/>
        <family val="2"/>
      </rPr>
      <t>买入</t>
    </r>
  </si>
  <si>
    <r>
      <rPr>
        <sz val="10"/>
        <color theme="1"/>
        <rFont val="等线"/>
        <family val="2"/>
      </rPr>
      <t>证券买入</t>
    </r>
  </si>
  <si>
    <r>
      <t>122</t>
    </r>
    <r>
      <rPr>
        <sz val="10"/>
        <color theme="1"/>
        <rFont val="等线"/>
        <family val="2"/>
      </rPr>
      <t>扣除金额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>基金代码：</t>
    </r>
    <r>
      <rPr>
        <sz val="10"/>
        <color theme="1"/>
        <rFont val="Arial"/>
        <family val="2"/>
      </rPr>
      <t>940018,</t>
    </r>
    <r>
      <rPr>
        <sz val="10"/>
        <color theme="1"/>
        <rFont val="等线"/>
        <family val="2"/>
      </rPr>
      <t>发生份额：</t>
    </r>
    <r>
      <rPr>
        <sz val="10"/>
        <color theme="1"/>
        <rFont val="Arial"/>
        <family val="2"/>
      </rPr>
      <t>63.67</t>
    </r>
  </si>
  <si>
    <r>
      <rPr>
        <sz val="10"/>
        <color theme="1"/>
        <rFont val="等线"/>
        <family val="2"/>
      </rPr>
      <t>基金资金拨入</t>
    </r>
  </si>
  <si>
    <r>
      <t>124</t>
    </r>
    <r>
      <rPr>
        <sz val="10"/>
        <color theme="1"/>
        <rFont val="等线"/>
        <family val="2"/>
      </rPr>
      <t>增加金额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>基金代码：</t>
    </r>
    <r>
      <rPr>
        <sz val="10"/>
        <color theme="1"/>
        <rFont val="Arial"/>
        <family val="2"/>
      </rPr>
      <t>940018,</t>
    </r>
    <r>
      <rPr>
        <sz val="10"/>
        <color theme="1"/>
        <rFont val="等线"/>
        <family val="2"/>
      </rPr>
      <t>发生份额：</t>
    </r>
    <r>
      <rPr>
        <sz val="10"/>
        <color theme="1"/>
        <rFont val="Arial"/>
        <family val="2"/>
      </rPr>
      <t>104.18</t>
    </r>
  </si>
  <si>
    <r>
      <t>122</t>
    </r>
    <r>
      <rPr>
        <sz val="10"/>
        <color theme="1"/>
        <rFont val="等线"/>
        <family val="2"/>
      </rPr>
      <t>扣除金额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>基金代码：</t>
    </r>
    <r>
      <rPr>
        <sz val="10"/>
        <color theme="1"/>
        <rFont val="Arial"/>
        <family val="2"/>
      </rPr>
      <t>940018,</t>
    </r>
    <r>
      <rPr>
        <sz val="10"/>
        <color theme="1"/>
        <rFont val="等线"/>
        <family val="2"/>
      </rPr>
      <t>发生份额：</t>
    </r>
    <r>
      <rPr>
        <sz val="10"/>
        <color theme="1"/>
        <rFont val="Arial"/>
        <family val="2"/>
      </rPr>
      <t>1</t>
    </r>
  </si>
  <si>
    <r>
      <rPr>
        <b/>
        <sz val="10"/>
        <color theme="1"/>
        <rFont val="等线"/>
        <family val="2"/>
      </rPr>
      <t>流水号</t>
    </r>
  </si>
  <si>
    <r>
      <rPr>
        <b/>
        <sz val="10"/>
        <color theme="1"/>
        <rFont val="等线"/>
        <family val="2"/>
      </rPr>
      <t>发生日期</t>
    </r>
  </si>
  <si>
    <r>
      <rPr>
        <b/>
        <sz val="10"/>
        <color theme="1"/>
        <rFont val="等线"/>
        <family val="2"/>
      </rPr>
      <t>证券名称</t>
    </r>
  </si>
  <si>
    <r>
      <rPr>
        <b/>
        <sz val="10"/>
        <color theme="1"/>
        <rFont val="等线"/>
        <family val="2"/>
      </rPr>
      <t>证券代码</t>
    </r>
  </si>
  <si>
    <r>
      <rPr>
        <b/>
        <sz val="10"/>
        <color theme="1"/>
        <rFont val="等线"/>
        <family val="2"/>
      </rPr>
      <t>买卖标志</t>
    </r>
  </si>
  <si>
    <r>
      <rPr>
        <b/>
        <sz val="10"/>
        <color theme="1"/>
        <rFont val="等线"/>
        <family val="2"/>
      </rPr>
      <t>业务名称</t>
    </r>
  </si>
  <si>
    <r>
      <rPr>
        <b/>
        <sz val="10"/>
        <color theme="1"/>
        <rFont val="等线"/>
        <family val="2"/>
      </rPr>
      <t>成交价格</t>
    </r>
  </si>
  <si>
    <r>
      <rPr>
        <b/>
        <sz val="10"/>
        <color theme="1"/>
        <rFont val="等线"/>
        <family val="2"/>
      </rPr>
      <t>成交数量</t>
    </r>
  </si>
  <si>
    <r>
      <rPr>
        <b/>
        <sz val="10"/>
        <color theme="1"/>
        <rFont val="等线"/>
        <family val="2"/>
      </rPr>
      <t>发生金额</t>
    </r>
  </si>
  <si>
    <r>
      <rPr>
        <b/>
        <sz val="10"/>
        <color theme="1"/>
        <rFont val="等线"/>
        <family val="2"/>
      </rPr>
      <t>剩余金额</t>
    </r>
  </si>
  <si>
    <r>
      <rPr>
        <b/>
        <sz val="10"/>
        <color theme="1"/>
        <rFont val="等线"/>
        <family val="2"/>
      </rPr>
      <t>佣金</t>
    </r>
  </si>
  <si>
    <r>
      <rPr>
        <b/>
        <sz val="10"/>
        <color theme="1"/>
        <rFont val="等线"/>
        <family val="2"/>
      </rPr>
      <t>股东代码</t>
    </r>
  </si>
  <si>
    <r>
      <rPr>
        <b/>
        <sz val="10"/>
        <color theme="1"/>
        <rFont val="等线"/>
        <family val="2"/>
      </rPr>
      <t>备注</t>
    </r>
  </si>
  <si>
    <t>003474</t>
    <phoneticPr fontId="1" type="noConversion"/>
  </si>
  <si>
    <r>
      <rPr>
        <sz val="10"/>
        <color theme="1"/>
        <rFont val="宋体"/>
        <family val="2"/>
        <charset val="134"/>
      </rPr>
      <t>天天发</t>
    </r>
    <r>
      <rPr>
        <sz val="10"/>
        <color theme="1"/>
        <rFont val="Arial"/>
        <family val="2"/>
      </rPr>
      <t>1</t>
    </r>
    <phoneticPr fontId="1" type="noConversion"/>
  </si>
  <si>
    <r>
      <rPr>
        <sz val="10"/>
        <color theme="1"/>
        <rFont val="宋体"/>
        <family val="2"/>
      </rPr>
      <t>黄金</t>
    </r>
    <r>
      <rPr>
        <sz val="10"/>
        <color theme="1"/>
        <rFont val="Arial"/>
        <family val="2"/>
      </rPr>
      <t>ETF</t>
    </r>
  </si>
  <si>
    <t>518880</t>
  </si>
  <si>
    <r>
      <rPr>
        <sz val="10"/>
        <color theme="1"/>
        <rFont val="宋体"/>
        <family val="2"/>
      </rPr>
      <t>买入</t>
    </r>
  </si>
  <si>
    <t>500ETF</t>
  </si>
  <si>
    <t>510500</t>
  </si>
  <si>
    <r>
      <rPr>
        <sz val="10"/>
        <color theme="1"/>
        <rFont val="宋体"/>
        <family val="2"/>
      </rPr>
      <t>卖出</t>
    </r>
  </si>
  <si>
    <r>
      <rPr>
        <sz val="10"/>
        <color theme="1"/>
        <rFont val="宋体"/>
        <family val="2"/>
      </rPr>
      <t>鑫茂科技</t>
    </r>
  </si>
  <si>
    <t>000836</t>
  </si>
  <si>
    <r>
      <rPr>
        <sz val="10"/>
        <color theme="1"/>
        <rFont val="宋体"/>
        <family val="2"/>
      </rPr>
      <t>航天电子</t>
    </r>
  </si>
  <si>
    <t>600879</t>
  </si>
  <si>
    <r>
      <rPr>
        <sz val="10"/>
        <color theme="1"/>
        <rFont val="宋体"/>
        <family val="2"/>
      </rPr>
      <t>深中华</t>
    </r>
    <r>
      <rPr>
        <sz val="10"/>
        <color theme="1"/>
        <rFont val="Arial"/>
        <family val="2"/>
      </rPr>
      <t>A</t>
    </r>
  </si>
  <si>
    <t>000017</t>
  </si>
  <si>
    <r>
      <rPr>
        <sz val="10"/>
        <color theme="1"/>
        <rFont val="宋体"/>
        <family val="2"/>
      </rPr>
      <t>宁波中百</t>
    </r>
  </si>
  <si>
    <t>600857</t>
  </si>
  <si>
    <r>
      <rPr>
        <sz val="10"/>
        <color theme="1"/>
        <rFont val="宋体"/>
        <family val="2"/>
      </rPr>
      <t>北京城乡</t>
    </r>
  </si>
  <si>
    <t>600861</t>
  </si>
  <si>
    <r>
      <rPr>
        <sz val="10"/>
        <color theme="1"/>
        <rFont val="宋体"/>
        <family val="2"/>
      </rPr>
      <t>华天酒店</t>
    </r>
  </si>
  <si>
    <t>000428</t>
  </si>
  <si>
    <r>
      <rPr>
        <sz val="10"/>
        <color theme="1"/>
        <rFont val="宋体"/>
        <family val="2"/>
      </rPr>
      <t>银华日利</t>
    </r>
  </si>
  <si>
    <t>511880</t>
  </si>
  <si>
    <t>510050</t>
  </si>
  <si>
    <r>
      <rPr>
        <sz val="10"/>
        <color theme="1"/>
        <rFont val="宋体"/>
        <family val="2"/>
      </rPr>
      <t>恒生</t>
    </r>
    <r>
      <rPr>
        <sz val="10"/>
        <color theme="1"/>
        <rFont val="Arial"/>
        <family val="2"/>
      </rPr>
      <t>ETF</t>
    </r>
  </si>
  <si>
    <t>159920</t>
  </si>
  <si>
    <r>
      <rPr>
        <sz val="10"/>
        <color theme="1"/>
        <rFont val="宋体"/>
        <family val="2"/>
      </rPr>
      <t>华宝油气</t>
    </r>
  </si>
  <si>
    <t>162411</t>
  </si>
  <si>
    <t>510300</t>
  </si>
  <si>
    <r>
      <t>H</t>
    </r>
    <r>
      <rPr>
        <sz val="10"/>
        <color theme="1"/>
        <rFont val="宋体"/>
        <family val="2"/>
      </rPr>
      <t>股</t>
    </r>
    <r>
      <rPr>
        <sz val="10"/>
        <color theme="1"/>
        <rFont val="Arial"/>
        <family val="2"/>
      </rPr>
      <t>ETF</t>
    </r>
  </si>
  <si>
    <t>510900</t>
  </si>
  <si>
    <r>
      <rPr>
        <sz val="10"/>
        <color theme="1"/>
        <rFont val="宋体"/>
        <family val="2"/>
      </rPr>
      <t>建设银行</t>
    </r>
  </si>
  <si>
    <r>
      <rPr>
        <sz val="10"/>
        <color theme="1"/>
        <rFont val="宋体"/>
        <family val="2"/>
      </rPr>
      <t>国债</t>
    </r>
    <r>
      <rPr>
        <sz val="10"/>
        <color theme="1"/>
        <rFont val="Arial"/>
        <family val="2"/>
      </rPr>
      <t>ETF</t>
    </r>
  </si>
  <si>
    <r>
      <rPr>
        <sz val="10"/>
        <color theme="1"/>
        <rFont val="宋体"/>
        <family val="2"/>
      </rPr>
      <t>南方原油</t>
    </r>
  </si>
  <si>
    <r>
      <rPr>
        <sz val="10"/>
        <color theme="1"/>
        <rFont val="宋体"/>
        <family val="2"/>
      </rPr>
      <t>紫金货币</t>
    </r>
  </si>
  <si>
    <r>
      <rPr>
        <sz val="10"/>
        <color theme="1"/>
        <rFont val="宋体"/>
        <family val="2"/>
      </rPr>
      <t>其他</t>
    </r>
  </si>
  <si>
    <r>
      <rPr>
        <sz val="10"/>
        <color theme="1"/>
        <rFont val="宋体"/>
        <family val="2"/>
      </rPr>
      <t>天天发１</t>
    </r>
  </si>
  <si>
    <t>GC007</t>
  </si>
  <si>
    <t>股息入帐</t>
  </si>
  <si>
    <t>卖出</t>
  </si>
  <si>
    <t>股息入账:50ETF510050; 权益股数:2700;股东账号：A280737240;</t>
  </si>
  <si>
    <t>基金资金拨出</t>
  </si>
  <si>
    <t>122扣除金额 基金代码：940018,发生份额：126.9</t>
  </si>
  <si>
    <t>股息入账:300ETF510300; 权益股数:9100;股东账号：A280737240;</t>
  </si>
  <si>
    <t>122扣除金额 基金代码：940018,发生份额：564.2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</si>
</sst>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yyyy/mm/dd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等线"/>
      <family val="2"/>
    </font>
    <font>
      <b/>
      <sz val="10"/>
      <color theme="1"/>
      <name val="Arial"/>
      <family val="2"/>
    </font>
    <font>
      <b/>
      <sz val="10"/>
      <color theme="1"/>
      <name val="等线"/>
      <family val="2"/>
    </font>
    <font>
      <sz val="10"/>
      <color theme="1"/>
      <name val="宋体"/>
      <family val="2"/>
      <charset val="134"/>
    </font>
    <font>
      <sz val="10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177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177" fontId="2" fillId="0" borderId="0" xfId="0" applyNumberFormat="1" applyFont="1"/>
    <xf numFmtId="2" fontId="2" fillId="0" borderId="0" xfId="0" applyNumberFormat="1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176" fontId="2" fillId="0" borderId="0" xfId="0" applyNumberFormat="1" applyFont="1" applyAlignment="1">
      <alignment vertical="center"/>
    </xf>
    <xf numFmtId="176" fontId="2" fillId="0" borderId="0" xfId="0" applyNumberFormat="1" applyFont="1"/>
    <xf numFmtId="1" fontId="2" fillId="0" borderId="0" xfId="0" applyNumberFormat="1" applyFont="1"/>
    <xf numFmtId="0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34BB-6A29-488E-8FBB-70E9049AFD44}">
  <dimension ref="A1:M144"/>
  <sheetViews>
    <sheetView workbookViewId="0"/>
  </sheetViews>
  <sheetFormatPr defaultRowHeight="14.25" x14ac:dyDescent="0.2"/>
  <sheetData>
    <row r="1" spans="1:13" x14ac:dyDescent="0.2">
      <c r="A1" s="9" t="s">
        <v>20</v>
      </c>
      <c r="B1" s="9" t="s">
        <v>21</v>
      </c>
      <c r="C1" s="9" t="s">
        <v>22</v>
      </c>
      <c r="D1" s="10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x14ac:dyDescent="0.2">
      <c r="A2" s="2">
        <v>-1</v>
      </c>
      <c r="B2" s="7">
        <v>42240</v>
      </c>
      <c r="C2" s="2" t="s">
        <v>35</v>
      </c>
      <c r="D2" s="2" t="s">
        <v>36</v>
      </c>
      <c r="E2" s="2" t="s">
        <v>37</v>
      </c>
      <c r="F2" s="2" t="s">
        <v>37</v>
      </c>
      <c r="G2" s="14">
        <v>2.411</v>
      </c>
      <c r="H2" s="15">
        <v>4000</v>
      </c>
      <c r="I2" s="8">
        <v>-9644</v>
      </c>
      <c r="J2" s="8">
        <v>0</v>
      </c>
      <c r="K2" s="8">
        <v>2.0299999999999998</v>
      </c>
    </row>
    <row r="3" spans="1:13" x14ac:dyDescent="0.2">
      <c r="A3" s="2">
        <v>-1</v>
      </c>
      <c r="B3" s="7">
        <v>42247</v>
      </c>
      <c r="C3" s="2" t="s">
        <v>38</v>
      </c>
      <c r="D3" s="2" t="s">
        <v>39</v>
      </c>
      <c r="E3" s="2" t="s">
        <v>37</v>
      </c>
      <c r="F3" s="2" t="s">
        <v>37</v>
      </c>
      <c r="G3" s="14">
        <v>6.8250000000000002</v>
      </c>
      <c r="H3" s="15">
        <v>2000</v>
      </c>
      <c r="I3" s="8">
        <v>-13650</v>
      </c>
      <c r="J3" s="8">
        <v>0</v>
      </c>
      <c r="K3" s="8">
        <v>2.87</v>
      </c>
    </row>
    <row r="4" spans="1:13" x14ac:dyDescent="0.2">
      <c r="A4" s="2">
        <v>-1</v>
      </c>
      <c r="B4" s="7">
        <v>42248</v>
      </c>
      <c r="C4" s="2" t="s">
        <v>38</v>
      </c>
      <c r="D4" s="2" t="s">
        <v>39</v>
      </c>
      <c r="E4" s="2" t="s">
        <v>40</v>
      </c>
      <c r="F4" s="2" t="s">
        <v>40</v>
      </c>
      <c r="G4" s="14">
        <v>6.3949999999999996</v>
      </c>
      <c r="H4" s="15">
        <v>-2000</v>
      </c>
      <c r="I4" s="8">
        <v>12790</v>
      </c>
      <c r="J4" s="8">
        <v>0</v>
      </c>
      <c r="K4" s="8">
        <v>2.87</v>
      </c>
    </row>
    <row r="5" spans="1:13" x14ac:dyDescent="0.2">
      <c r="A5" s="2">
        <v>-1</v>
      </c>
      <c r="B5" s="7">
        <v>42255</v>
      </c>
      <c r="C5" s="2" t="s">
        <v>35</v>
      </c>
      <c r="D5" s="2" t="s">
        <v>36</v>
      </c>
      <c r="E5" s="2" t="s">
        <v>40</v>
      </c>
      <c r="F5" s="2" t="s">
        <v>40</v>
      </c>
      <c r="G5" s="14">
        <v>2.3090000000000002</v>
      </c>
      <c r="H5" s="15">
        <v>-4000</v>
      </c>
      <c r="I5" s="8">
        <v>9236</v>
      </c>
      <c r="J5" s="8">
        <v>0</v>
      </c>
      <c r="K5" s="8">
        <v>2.02</v>
      </c>
    </row>
    <row r="6" spans="1:13" x14ac:dyDescent="0.2">
      <c r="A6" s="2">
        <v>-1</v>
      </c>
      <c r="B6" s="7">
        <v>42270</v>
      </c>
      <c r="C6" s="2" t="s">
        <v>41</v>
      </c>
      <c r="D6" s="2" t="s">
        <v>42</v>
      </c>
      <c r="E6" s="2" t="s">
        <v>37</v>
      </c>
      <c r="F6" s="2" t="s">
        <v>37</v>
      </c>
      <c r="G6" s="14">
        <v>16.57</v>
      </c>
      <c r="H6" s="15">
        <v>1200</v>
      </c>
      <c r="I6" s="8">
        <v>-19884</v>
      </c>
      <c r="J6" s="8">
        <v>0</v>
      </c>
      <c r="K6" s="8">
        <v>5</v>
      </c>
    </row>
    <row r="7" spans="1:13" x14ac:dyDescent="0.2">
      <c r="A7" s="2">
        <v>-1</v>
      </c>
      <c r="B7" s="7">
        <v>42271</v>
      </c>
      <c r="C7" s="2" t="s">
        <v>41</v>
      </c>
      <c r="D7" s="2" t="s">
        <v>42</v>
      </c>
      <c r="E7" s="2" t="s">
        <v>40</v>
      </c>
      <c r="F7" s="2" t="s">
        <v>40</v>
      </c>
      <c r="G7" s="14">
        <v>18.059999999999999</v>
      </c>
      <c r="H7" s="15">
        <v>-1200</v>
      </c>
      <c r="I7" s="8">
        <v>21672</v>
      </c>
      <c r="J7" s="8">
        <v>0</v>
      </c>
      <c r="K7" s="8">
        <v>31.02</v>
      </c>
    </row>
    <row r="8" spans="1:13" x14ac:dyDescent="0.2">
      <c r="A8" s="2">
        <v>-1</v>
      </c>
      <c r="B8" s="7">
        <v>42285</v>
      </c>
      <c r="C8" s="2" t="s">
        <v>38</v>
      </c>
      <c r="D8" s="2" t="s">
        <v>39</v>
      </c>
      <c r="E8" s="2" t="s">
        <v>37</v>
      </c>
      <c r="F8" s="2" t="s">
        <v>37</v>
      </c>
      <c r="G8" s="14">
        <v>6.49</v>
      </c>
      <c r="H8" s="15">
        <v>6000</v>
      </c>
      <c r="I8" s="8">
        <v>-38940</v>
      </c>
      <c r="J8" s="8">
        <v>0</v>
      </c>
      <c r="K8" s="8">
        <v>8.18</v>
      </c>
    </row>
    <row r="9" spans="1:13" x14ac:dyDescent="0.2">
      <c r="A9" s="2">
        <v>-1</v>
      </c>
      <c r="B9" s="7">
        <v>42296</v>
      </c>
      <c r="C9" s="2" t="s">
        <v>38</v>
      </c>
      <c r="D9" s="2" t="s">
        <v>39</v>
      </c>
      <c r="E9" s="2" t="s">
        <v>37</v>
      </c>
      <c r="F9" s="2" t="s">
        <v>37</v>
      </c>
      <c r="G9" s="14">
        <v>7.1710000000000003</v>
      </c>
      <c r="H9" s="15">
        <v>3200</v>
      </c>
      <c r="I9" s="8">
        <v>-22947.200000000001</v>
      </c>
      <c r="J9" s="8">
        <v>0</v>
      </c>
      <c r="K9" s="8">
        <v>4.82</v>
      </c>
    </row>
    <row r="10" spans="1:13" x14ac:dyDescent="0.2">
      <c r="A10" s="2">
        <v>-1</v>
      </c>
      <c r="B10" s="7">
        <v>42298</v>
      </c>
      <c r="C10" s="2" t="s">
        <v>43</v>
      </c>
      <c r="D10" s="2" t="s">
        <v>44</v>
      </c>
      <c r="E10" s="2" t="s">
        <v>37</v>
      </c>
      <c r="F10" s="2" t="s">
        <v>37</v>
      </c>
      <c r="G10" s="14">
        <v>18.05</v>
      </c>
      <c r="H10" s="15">
        <v>300</v>
      </c>
      <c r="I10" s="8">
        <v>-5415</v>
      </c>
      <c r="J10" s="8">
        <v>0</v>
      </c>
      <c r="K10" s="8">
        <v>5.1100000000000003</v>
      </c>
    </row>
    <row r="11" spans="1:13" x14ac:dyDescent="0.2">
      <c r="A11" s="2">
        <v>-1</v>
      </c>
      <c r="B11" s="7">
        <v>42298</v>
      </c>
      <c r="C11" s="2" t="s">
        <v>38</v>
      </c>
      <c r="D11" s="2" t="s">
        <v>39</v>
      </c>
      <c r="E11" s="2" t="s">
        <v>37</v>
      </c>
      <c r="F11" s="2" t="s">
        <v>37</v>
      </c>
      <c r="G11" s="14">
        <v>7</v>
      </c>
      <c r="H11" s="15">
        <v>700</v>
      </c>
      <c r="I11" s="8">
        <v>-4900</v>
      </c>
      <c r="J11" s="8">
        <v>0</v>
      </c>
      <c r="K11" s="8">
        <v>1.03</v>
      </c>
    </row>
    <row r="12" spans="1:13" x14ac:dyDescent="0.2">
      <c r="A12" s="2">
        <v>-1</v>
      </c>
      <c r="B12" s="7">
        <v>42299</v>
      </c>
      <c r="C12" s="2" t="s">
        <v>38</v>
      </c>
      <c r="D12" s="2" t="s">
        <v>39</v>
      </c>
      <c r="E12" s="2" t="s">
        <v>40</v>
      </c>
      <c r="F12" s="2" t="s">
        <v>40</v>
      </c>
      <c r="G12" s="14">
        <v>7.12</v>
      </c>
      <c r="H12" s="15">
        <v>-5000</v>
      </c>
      <c r="I12" s="8">
        <v>35600</v>
      </c>
      <c r="J12" s="8">
        <v>0</v>
      </c>
      <c r="K12" s="8">
        <v>7.47</v>
      </c>
    </row>
    <row r="13" spans="1:13" x14ac:dyDescent="0.2">
      <c r="A13" s="2">
        <v>-1</v>
      </c>
      <c r="B13" s="7">
        <v>42304</v>
      </c>
      <c r="C13" s="2" t="s">
        <v>43</v>
      </c>
      <c r="D13" s="2" t="s">
        <v>44</v>
      </c>
      <c r="E13" s="2" t="s">
        <v>40</v>
      </c>
      <c r="F13" s="2" t="s">
        <v>40</v>
      </c>
      <c r="G13" s="14">
        <v>19.600000000000001</v>
      </c>
      <c r="H13" s="15">
        <v>-300</v>
      </c>
      <c r="I13" s="8">
        <v>5880</v>
      </c>
      <c r="J13" s="8">
        <v>0</v>
      </c>
      <c r="K13" s="8">
        <v>11</v>
      </c>
    </row>
    <row r="14" spans="1:13" x14ac:dyDescent="0.2">
      <c r="A14" s="2">
        <v>-1</v>
      </c>
      <c r="B14" s="7">
        <v>42305</v>
      </c>
      <c r="C14" s="2" t="s">
        <v>38</v>
      </c>
      <c r="D14" s="2" t="s">
        <v>39</v>
      </c>
      <c r="E14" s="2" t="s">
        <v>37</v>
      </c>
      <c r="F14" s="2" t="s">
        <v>37</v>
      </c>
      <c r="G14" s="14">
        <v>7.18</v>
      </c>
      <c r="H14" s="15">
        <v>4100</v>
      </c>
      <c r="I14" s="8">
        <v>-29438</v>
      </c>
      <c r="J14" s="8">
        <v>0</v>
      </c>
      <c r="K14" s="8">
        <v>4.92</v>
      </c>
    </row>
    <row r="15" spans="1:13" x14ac:dyDescent="0.2">
      <c r="A15" s="2">
        <v>-1</v>
      </c>
      <c r="B15" s="7">
        <v>42306</v>
      </c>
      <c r="C15" s="2" t="s">
        <v>38</v>
      </c>
      <c r="D15" s="2" t="s">
        <v>39</v>
      </c>
      <c r="E15" s="2" t="s">
        <v>40</v>
      </c>
      <c r="F15" s="2" t="s">
        <v>40</v>
      </c>
      <c r="G15" s="14">
        <v>7.2990000000000004</v>
      </c>
      <c r="H15" s="15">
        <v>-9000</v>
      </c>
      <c r="I15" s="8">
        <v>65691</v>
      </c>
      <c r="J15" s="8">
        <v>0</v>
      </c>
      <c r="K15" s="8">
        <v>13.8</v>
      </c>
    </row>
    <row r="16" spans="1:13" x14ac:dyDescent="0.2">
      <c r="A16" s="2">
        <v>-1</v>
      </c>
      <c r="B16" s="7">
        <v>42313</v>
      </c>
      <c r="C16" s="2" t="s">
        <v>45</v>
      </c>
      <c r="D16" s="2" t="s">
        <v>46</v>
      </c>
      <c r="E16" s="2" t="s">
        <v>37</v>
      </c>
      <c r="F16" s="2" t="s">
        <v>37</v>
      </c>
      <c r="G16" s="14">
        <v>11.5</v>
      </c>
      <c r="H16" s="15">
        <v>800</v>
      </c>
      <c r="I16" s="8">
        <v>-9200</v>
      </c>
      <c r="J16" s="8">
        <v>0</v>
      </c>
      <c r="K16" s="8">
        <v>5</v>
      </c>
    </row>
    <row r="17" spans="1:11" x14ac:dyDescent="0.2">
      <c r="A17" s="2">
        <v>-1</v>
      </c>
      <c r="B17" s="7">
        <v>42317</v>
      </c>
      <c r="C17" s="2" t="s">
        <v>45</v>
      </c>
      <c r="D17" s="2" t="s">
        <v>46</v>
      </c>
      <c r="E17" s="2" t="s">
        <v>40</v>
      </c>
      <c r="F17" s="2" t="s">
        <v>40</v>
      </c>
      <c r="G17" s="14">
        <v>11.91</v>
      </c>
      <c r="H17" s="15">
        <v>-800</v>
      </c>
      <c r="I17" s="8">
        <v>9528</v>
      </c>
      <c r="J17" s="8">
        <v>0</v>
      </c>
      <c r="K17" s="8">
        <v>14.53</v>
      </c>
    </row>
    <row r="18" spans="1:11" x14ac:dyDescent="0.2">
      <c r="A18" s="2">
        <v>-1</v>
      </c>
      <c r="B18" s="7">
        <v>42318</v>
      </c>
      <c r="C18" s="2" t="s">
        <v>38</v>
      </c>
      <c r="D18" s="2" t="s">
        <v>39</v>
      </c>
      <c r="E18" s="2" t="s">
        <v>37</v>
      </c>
      <c r="F18" s="2" t="s">
        <v>37</v>
      </c>
      <c r="G18" s="14">
        <v>7.819</v>
      </c>
      <c r="H18" s="15">
        <v>1300</v>
      </c>
      <c r="I18" s="8">
        <v>-10164.700000000001</v>
      </c>
      <c r="J18" s="8">
        <v>0</v>
      </c>
      <c r="K18" s="8">
        <v>2.13</v>
      </c>
    </row>
    <row r="19" spans="1:11" x14ac:dyDescent="0.2">
      <c r="A19" s="2">
        <v>-1</v>
      </c>
      <c r="B19" s="7">
        <v>42318</v>
      </c>
      <c r="C19" s="2" t="s">
        <v>41</v>
      </c>
      <c r="D19" s="2" t="s">
        <v>42</v>
      </c>
      <c r="E19" s="2" t="s">
        <v>37</v>
      </c>
      <c r="F19" s="2" t="s">
        <v>37</v>
      </c>
      <c r="G19" s="14">
        <v>19.54</v>
      </c>
      <c r="H19" s="15">
        <v>7600</v>
      </c>
      <c r="I19" s="8">
        <v>-148504</v>
      </c>
      <c r="J19" s="8">
        <v>0</v>
      </c>
      <c r="K19" s="8">
        <v>31.2</v>
      </c>
    </row>
    <row r="20" spans="1:11" x14ac:dyDescent="0.2">
      <c r="A20" s="2">
        <v>-1</v>
      </c>
      <c r="B20" s="7">
        <v>42319</v>
      </c>
      <c r="C20" s="2" t="s">
        <v>41</v>
      </c>
      <c r="D20" s="2" t="s">
        <v>42</v>
      </c>
      <c r="E20" s="2" t="s">
        <v>40</v>
      </c>
      <c r="F20" s="2" t="s">
        <v>40</v>
      </c>
      <c r="G20" s="14">
        <v>20.329999999999998</v>
      </c>
      <c r="H20" s="15">
        <v>-7600</v>
      </c>
      <c r="I20" s="8">
        <v>154508</v>
      </c>
      <c r="J20" s="8">
        <v>0</v>
      </c>
      <c r="K20" s="8">
        <v>186.96</v>
      </c>
    </row>
    <row r="21" spans="1:11" x14ac:dyDescent="0.2">
      <c r="A21" s="2">
        <v>-1</v>
      </c>
      <c r="B21" s="7">
        <v>42319</v>
      </c>
      <c r="C21" s="2" t="s">
        <v>38</v>
      </c>
      <c r="D21" s="2" t="s">
        <v>39</v>
      </c>
      <c r="E21" s="2" t="s">
        <v>40</v>
      </c>
      <c r="F21" s="2" t="s">
        <v>40</v>
      </c>
      <c r="G21" s="14">
        <v>7.7619999999999996</v>
      </c>
      <c r="H21" s="15">
        <v>-1300</v>
      </c>
      <c r="I21" s="8">
        <v>10090.599999999999</v>
      </c>
      <c r="J21" s="8">
        <v>0</v>
      </c>
      <c r="K21" s="8">
        <v>2.12</v>
      </c>
    </row>
    <row r="22" spans="1:11" x14ac:dyDescent="0.2">
      <c r="A22" s="2">
        <v>-1</v>
      </c>
      <c r="B22" s="7">
        <v>42319</v>
      </c>
      <c r="C22" s="2" t="s">
        <v>47</v>
      </c>
      <c r="D22" s="2" t="s">
        <v>48</v>
      </c>
      <c r="E22" s="2" t="s">
        <v>37</v>
      </c>
      <c r="F22" s="2" t="s">
        <v>37</v>
      </c>
      <c r="G22" s="14">
        <v>18.100000000000001</v>
      </c>
      <c r="H22" s="15">
        <v>2200</v>
      </c>
      <c r="I22" s="8">
        <v>-39820</v>
      </c>
      <c r="J22" s="8">
        <v>0</v>
      </c>
      <c r="K22" s="8">
        <v>9.16</v>
      </c>
    </row>
    <row r="23" spans="1:11" x14ac:dyDescent="0.2">
      <c r="A23" s="2">
        <v>-1</v>
      </c>
      <c r="B23" s="7">
        <v>42319</v>
      </c>
      <c r="C23" s="2" t="s">
        <v>47</v>
      </c>
      <c r="D23" s="2" t="s">
        <v>48</v>
      </c>
      <c r="E23" s="2" t="s">
        <v>37</v>
      </c>
      <c r="F23" s="2" t="s">
        <v>37</v>
      </c>
      <c r="G23" s="14">
        <v>18.399999999999999</v>
      </c>
      <c r="H23" s="15">
        <v>9000</v>
      </c>
      <c r="I23" s="8">
        <v>-165600</v>
      </c>
      <c r="J23" s="8">
        <v>0</v>
      </c>
      <c r="K23" s="8">
        <v>38.090000000000003</v>
      </c>
    </row>
    <row r="24" spans="1:11" x14ac:dyDescent="0.2">
      <c r="A24" s="2">
        <v>-1</v>
      </c>
      <c r="B24" s="7">
        <v>42324</v>
      </c>
      <c r="C24" s="2" t="s">
        <v>47</v>
      </c>
      <c r="D24" s="2" t="s">
        <v>48</v>
      </c>
      <c r="E24" s="2" t="s">
        <v>37</v>
      </c>
      <c r="F24" s="2" t="s">
        <v>37</v>
      </c>
      <c r="G24" s="14">
        <v>17.5</v>
      </c>
      <c r="H24" s="15">
        <v>600</v>
      </c>
      <c r="I24" s="8">
        <v>-10500</v>
      </c>
      <c r="J24" s="8">
        <v>0</v>
      </c>
      <c r="K24" s="8">
        <v>5.21</v>
      </c>
    </row>
    <row r="25" spans="1:11" x14ac:dyDescent="0.2">
      <c r="A25" s="2">
        <v>-1</v>
      </c>
      <c r="B25" s="7">
        <v>42335</v>
      </c>
      <c r="C25" s="2" t="s">
        <v>38</v>
      </c>
      <c r="D25" s="2" t="s">
        <v>39</v>
      </c>
      <c r="E25" s="2" t="s">
        <v>37</v>
      </c>
      <c r="F25" s="2" t="s">
        <v>37</v>
      </c>
      <c r="G25" s="14">
        <v>7.8860000000000001</v>
      </c>
      <c r="H25" s="15">
        <v>1200</v>
      </c>
      <c r="I25" s="8">
        <v>-9463.2000000000007</v>
      </c>
      <c r="J25" s="8">
        <v>0</v>
      </c>
      <c r="K25" s="8">
        <v>1.99</v>
      </c>
    </row>
    <row r="26" spans="1:11" x14ac:dyDescent="0.2">
      <c r="A26" s="2">
        <v>-1</v>
      </c>
      <c r="B26" s="7">
        <v>42363</v>
      </c>
      <c r="C26" s="2" t="s">
        <v>49</v>
      </c>
      <c r="D26" s="2" t="s">
        <v>50</v>
      </c>
      <c r="E26" s="2" t="s">
        <v>37</v>
      </c>
      <c r="F26" s="2" t="s">
        <v>37</v>
      </c>
      <c r="G26" s="14">
        <v>19.22</v>
      </c>
      <c r="H26" s="15">
        <v>300</v>
      </c>
      <c r="I26" s="8">
        <v>-5766</v>
      </c>
      <c r="J26" s="8">
        <v>0</v>
      </c>
      <c r="K26" s="8">
        <v>5.12</v>
      </c>
    </row>
    <row r="27" spans="1:11" x14ac:dyDescent="0.2">
      <c r="A27" s="2">
        <v>-1</v>
      </c>
      <c r="B27" s="7">
        <v>42363</v>
      </c>
      <c r="C27" s="2" t="s">
        <v>51</v>
      </c>
      <c r="D27" s="2" t="s">
        <v>52</v>
      </c>
      <c r="E27" s="2" t="s">
        <v>37</v>
      </c>
      <c r="F27" s="2" t="s">
        <v>37</v>
      </c>
      <c r="G27" s="14">
        <v>10.25</v>
      </c>
      <c r="H27" s="15">
        <v>800</v>
      </c>
      <c r="I27" s="8">
        <v>-8200</v>
      </c>
      <c r="J27" s="8">
        <v>0</v>
      </c>
      <c r="K27" s="8">
        <v>5</v>
      </c>
    </row>
    <row r="28" spans="1:11" x14ac:dyDescent="0.2">
      <c r="A28" s="2">
        <v>-1</v>
      </c>
      <c r="B28" s="7">
        <v>42375</v>
      </c>
      <c r="C28" s="2" t="s">
        <v>38</v>
      </c>
      <c r="D28" s="2" t="s">
        <v>39</v>
      </c>
      <c r="E28" s="2" t="s">
        <v>37</v>
      </c>
      <c r="F28" s="2" t="s">
        <v>37</v>
      </c>
      <c r="G28" s="14">
        <v>7.117</v>
      </c>
      <c r="H28" s="15">
        <v>1200</v>
      </c>
      <c r="I28" s="8">
        <v>-8540.4</v>
      </c>
      <c r="J28" s="8">
        <v>0</v>
      </c>
      <c r="K28" s="8">
        <v>1.79</v>
      </c>
    </row>
    <row r="29" spans="1:11" x14ac:dyDescent="0.2">
      <c r="A29" s="2">
        <v>-1</v>
      </c>
      <c r="B29" s="7">
        <v>42376</v>
      </c>
      <c r="C29" s="2" t="s">
        <v>47</v>
      </c>
      <c r="D29" s="2" t="s">
        <v>48</v>
      </c>
      <c r="E29" s="2" t="s">
        <v>37</v>
      </c>
      <c r="F29" s="2" t="s">
        <v>37</v>
      </c>
      <c r="G29" s="14">
        <v>17.43</v>
      </c>
      <c r="H29" s="15">
        <v>1200</v>
      </c>
      <c r="I29" s="8">
        <v>-20916</v>
      </c>
      <c r="J29" s="8">
        <v>0</v>
      </c>
      <c r="K29" s="8">
        <v>5.42</v>
      </c>
    </row>
    <row r="30" spans="1:11" x14ac:dyDescent="0.2">
      <c r="A30" s="2">
        <v>-1</v>
      </c>
      <c r="B30" s="7">
        <v>42377</v>
      </c>
      <c r="C30" s="2" t="s">
        <v>51</v>
      </c>
      <c r="D30" s="2" t="s">
        <v>52</v>
      </c>
      <c r="E30" s="2" t="s">
        <v>40</v>
      </c>
      <c r="F30" s="2" t="s">
        <v>40</v>
      </c>
      <c r="G30" s="14">
        <v>8.4700000000000006</v>
      </c>
      <c r="H30" s="15">
        <v>-800</v>
      </c>
      <c r="I30" s="8">
        <v>6776.0000000000009</v>
      </c>
      <c r="J30" s="8">
        <v>0</v>
      </c>
      <c r="K30" s="8">
        <v>11.78</v>
      </c>
    </row>
    <row r="31" spans="1:11" x14ac:dyDescent="0.2">
      <c r="A31" s="2">
        <v>-1</v>
      </c>
      <c r="B31" s="7">
        <v>42377</v>
      </c>
      <c r="C31" s="2" t="s">
        <v>49</v>
      </c>
      <c r="D31" s="2" t="s">
        <v>50</v>
      </c>
      <c r="E31" s="2" t="s">
        <v>40</v>
      </c>
      <c r="F31" s="2" t="s">
        <v>40</v>
      </c>
      <c r="G31" s="14">
        <v>14.85</v>
      </c>
      <c r="H31" s="15">
        <v>-300</v>
      </c>
      <c r="I31" s="8">
        <v>4455</v>
      </c>
      <c r="J31" s="8">
        <v>0</v>
      </c>
      <c r="K31" s="8">
        <v>9.5500000000000007</v>
      </c>
    </row>
    <row r="32" spans="1:11" x14ac:dyDescent="0.2">
      <c r="A32" s="2">
        <v>-1</v>
      </c>
      <c r="B32" s="7">
        <v>42377</v>
      </c>
      <c r="C32" s="2" t="s">
        <v>47</v>
      </c>
      <c r="D32" s="2" t="s">
        <v>48</v>
      </c>
      <c r="E32" s="2" t="s">
        <v>40</v>
      </c>
      <c r="F32" s="2" t="s">
        <v>40</v>
      </c>
      <c r="G32" s="14">
        <v>17.32</v>
      </c>
      <c r="H32" s="15">
        <v>-3000</v>
      </c>
      <c r="I32" s="8">
        <v>51960</v>
      </c>
      <c r="J32" s="8">
        <v>0</v>
      </c>
      <c r="K32" s="8">
        <v>63.91</v>
      </c>
    </row>
    <row r="33" spans="1:11" x14ac:dyDescent="0.2">
      <c r="A33" s="2">
        <v>-1</v>
      </c>
      <c r="B33" s="7">
        <v>42377</v>
      </c>
      <c r="C33" s="2" t="s">
        <v>47</v>
      </c>
      <c r="D33" s="2" t="s">
        <v>48</v>
      </c>
      <c r="E33" s="2" t="s">
        <v>40</v>
      </c>
      <c r="F33" s="2" t="s">
        <v>40</v>
      </c>
      <c r="G33" s="14">
        <v>17.45</v>
      </c>
      <c r="H33" s="15">
        <v>-10000</v>
      </c>
      <c r="I33" s="8">
        <v>174500</v>
      </c>
      <c r="J33" s="8">
        <v>0</v>
      </c>
      <c r="K33" s="8">
        <v>214.65</v>
      </c>
    </row>
    <row r="34" spans="1:11" x14ac:dyDescent="0.2">
      <c r="A34" s="2">
        <v>-1</v>
      </c>
      <c r="B34" s="7">
        <v>42377</v>
      </c>
      <c r="C34" s="2" t="s">
        <v>38</v>
      </c>
      <c r="D34" s="2" t="s">
        <v>39</v>
      </c>
      <c r="E34" s="2" t="s">
        <v>40</v>
      </c>
      <c r="F34" s="2" t="s">
        <v>40</v>
      </c>
      <c r="G34" s="14">
        <v>6.5830000000000002</v>
      </c>
      <c r="H34" s="15">
        <v>-2400</v>
      </c>
      <c r="I34" s="8">
        <v>15799.2</v>
      </c>
      <c r="J34" s="8">
        <v>0</v>
      </c>
      <c r="K34" s="8">
        <v>3.32</v>
      </c>
    </row>
    <row r="35" spans="1:11" x14ac:dyDescent="0.2">
      <c r="A35" s="2">
        <v>-1</v>
      </c>
      <c r="B35" s="7">
        <v>42384</v>
      </c>
      <c r="C35" s="2" t="s">
        <v>53</v>
      </c>
      <c r="D35" s="2" t="s">
        <v>54</v>
      </c>
      <c r="E35" s="2" t="s">
        <v>37</v>
      </c>
      <c r="F35" s="2" t="s">
        <v>37</v>
      </c>
      <c r="G35" s="14">
        <v>100.229</v>
      </c>
      <c r="H35" s="15">
        <v>3500</v>
      </c>
      <c r="I35" s="8">
        <v>-350801.5</v>
      </c>
      <c r="J35" s="8">
        <v>0</v>
      </c>
      <c r="K35" s="8">
        <v>0</v>
      </c>
    </row>
    <row r="36" spans="1:11" x14ac:dyDescent="0.2">
      <c r="A36" s="2">
        <v>-1</v>
      </c>
      <c r="B36" s="7">
        <v>42404</v>
      </c>
      <c r="C36" s="2" t="s">
        <v>53</v>
      </c>
      <c r="D36" s="2" t="s">
        <v>54</v>
      </c>
      <c r="E36" s="2" t="s">
        <v>37</v>
      </c>
      <c r="F36" s="2" t="s">
        <v>37</v>
      </c>
      <c r="G36" s="14">
        <v>100.36799999999999</v>
      </c>
      <c r="H36" s="15">
        <v>500</v>
      </c>
      <c r="I36" s="8">
        <v>-50184</v>
      </c>
      <c r="J36" s="8">
        <v>0</v>
      </c>
      <c r="K36" s="8">
        <v>0</v>
      </c>
    </row>
    <row r="37" spans="1:11" x14ac:dyDescent="0.2">
      <c r="A37" s="2">
        <v>-1</v>
      </c>
      <c r="B37" s="7">
        <v>42436</v>
      </c>
      <c r="C37" s="2" t="s">
        <v>53</v>
      </c>
      <c r="D37" s="2" t="s">
        <v>54</v>
      </c>
      <c r="E37" s="2" t="s">
        <v>40</v>
      </c>
      <c r="F37" s="2" t="s">
        <v>40</v>
      </c>
      <c r="G37" s="14">
        <v>100.59399999999999</v>
      </c>
      <c r="H37" s="15">
        <v>-2000</v>
      </c>
      <c r="I37" s="8">
        <v>201188</v>
      </c>
      <c r="J37" s="8">
        <v>0</v>
      </c>
      <c r="K37" s="8">
        <v>0</v>
      </c>
    </row>
    <row r="38" spans="1:11" x14ac:dyDescent="0.2">
      <c r="A38" s="2">
        <v>-1</v>
      </c>
      <c r="B38" s="7">
        <v>42437</v>
      </c>
      <c r="C38" s="2" t="s">
        <v>35</v>
      </c>
      <c r="D38" s="2" t="s">
        <v>36</v>
      </c>
      <c r="E38" s="2" t="s">
        <v>37</v>
      </c>
      <c r="F38" s="2" t="s">
        <v>37</v>
      </c>
      <c r="G38" s="14">
        <v>2.665</v>
      </c>
      <c r="H38" s="15">
        <v>1000</v>
      </c>
      <c r="I38" s="8">
        <v>-2665</v>
      </c>
      <c r="J38" s="8">
        <v>0</v>
      </c>
      <c r="K38" s="8">
        <v>0.56000000000000005</v>
      </c>
    </row>
    <row r="39" spans="1:11" x14ac:dyDescent="0.2">
      <c r="A39" s="2">
        <v>-1</v>
      </c>
      <c r="B39" s="7">
        <v>42468</v>
      </c>
      <c r="C39" s="2" t="s">
        <v>38</v>
      </c>
      <c r="D39" s="2" t="s">
        <v>39</v>
      </c>
      <c r="E39" s="2" t="s">
        <v>37</v>
      </c>
      <c r="F39" s="2" t="s">
        <v>37</v>
      </c>
      <c r="G39" s="14">
        <v>6.3840000000000003</v>
      </c>
      <c r="H39" s="15">
        <v>100</v>
      </c>
      <c r="I39" s="8">
        <v>-638.40000000000009</v>
      </c>
      <c r="J39" s="8">
        <v>0</v>
      </c>
      <c r="K39" s="8">
        <v>0.13</v>
      </c>
    </row>
    <row r="40" spans="1:11" x14ac:dyDescent="0.2">
      <c r="A40" s="2">
        <v>-1</v>
      </c>
      <c r="B40" s="7">
        <v>42471</v>
      </c>
      <c r="C40" s="2" t="s">
        <v>1</v>
      </c>
      <c r="D40" s="2" t="s">
        <v>55</v>
      </c>
      <c r="E40" s="2" t="s">
        <v>37</v>
      </c>
      <c r="F40" s="2" t="s">
        <v>37</v>
      </c>
      <c r="G40" s="14">
        <v>2.149</v>
      </c>
      <c r="H40" s="15">
        <v>600</v>
      </c>
      <c r="I40" s="8">
        <v>-1289.4000000000001</v>
      </c>
      <c r="J40" s="8">
        <v>0</v>
      </c>
      <c r="K40" s="8">
        <v>0.27</v>
      </c>
    </row>
    <row r="41" spans="1:11" x14ac:dyDescent="0.2">
      <c r="A41" s="2">
        <v>-1</v>
      </c>
      <c r="B41" s="7">
        <v>42471</v>
      </c>
      <c r="C41" s="2" t="s">
        <v>53</v>
      </c>
      <c r="D41" s="2" t="s">
        <v>54</v>
      </c>
      <c r="E41" s="2" t="s">
        <v>37</v>
      </c>
      <c r="F41" s="2" t="s">
        <v>37</v>
      </c>
      <c r="G41" s="14">
        <v>100.83</v>
      </c>
      <c r="H41" s="15">
        <v>1100</v>
      </c>
      <c r="I41" s="8">
        <v>-110913</v>
      </c>
      <c r="J41" s="8">
        <v>0</v>
      </c>
      <c r="K41" s="8">
        <v>0</v>
      </c>
    </row>
    <row r="42" spans="1:11" x14ac:dyDescent="0.2">
      <c r="A42" s="2">
        <v>-1</v>
      </c>
      <c r="B42" s="7">
        <v>42473</v>
      </c>
      <c r="C42" s="2" t="s">
        <v>38</v>
      </c>
      <c r="D42" s="2" t="s">
        <v>39</v>
      </c>
      <c r="E42" s="2" t="s">
        <v>40</v>
      </c>
      <c r="F42" s="2" t="s">
        <v>40</v>
      </c>
      <c r="G42" s="14">
        <v>6.66</v>
      </c>
      <c r="H42" s="15">
        <v>-100</v>
      </c>
      <c r="I42" s="8">
        <v>666</v>
      </c>
      <c r="J42" s="8">
        <v>0</v>
      </c>
      <c r="K42" s="8">
        <v>0.14000000000000001</v>
      </c>
    </row>
    <row r="43" spans="1:11" x14ac:dyDescent="0.2">
      <c r="A43" s="2">
        <v>-1</v>
      </c>
      <c r="B43" s="7">
        <v>42473</v>
      </c>
      <c r="C43" s="2" t="s">
        <v>1</v>
      </c>
      <c r="D43" s="2" t="s">
        <v>55</v>
      </c>
      <c r="E43" s="2" t="s">
        <v>40</v>
      </c>
      <c r="F43" s="2" t="s">
        <v>40</v>
      </c>
      <c r="G43" s="14">
        <v>2.1920000000000002</v>
      </c>
      <c r="H43" s="15">
        <v>-600</v>
      </c>
      <c r="I43" s="8">
        <v>1315.2</v>
      </c>
      <c r="J43" s="8">
        <v>0</v>
      </c>
      <c r="K43" s="8">
        <v>0.28000000000000003</v>
      </c>
    </row>
    <row r="44" spans="1:11" x14ac:dyDescent="0.2">
      <c r="A44" s="2">
        <v>-1</v>
      </c>
      <c r="B44" s="7">
        <v>42473</v>
      </c>
      <c r="C44" s="2" t="s">
        <v>56</v>
      </c>
      <c r="D44" s="2" t="s">
        <v>57</v>
      </c>
      <c r="E44" s="2" t="s">
        <v>37</v>
      </c>
      <c r="F44" s="2" t="s">
        <v>37</v>
      </c>
      <c r="G44" s="14">
        <v>1.04</v>
      </c>
      <c r="H44" s="15">
        <v>600</v>
      </c>
      <c r="I44" s="8">
        <v>-624</v>
      </c>
      <c r="J44" s="8">
        <v>0</v>
      </c>
      <c r="K44" s="8">
        <v>0.13</v>
      </c>
    </row>
    <row r="45" spans="1:11" x14ac:dyDescent="0.2">
      <c r="A45" s="2">
        <v>-1</v>
      </c>
      <c r="B45" s="7">
        <v>42478</v>
      </c>
      <c r="C45" s="2" t="s">
        <v>38</v>
      </c>
      <c r="D45" s="2" t="s">
        <v>39</v>
      </c>
      <c r="E45" s="2" t="s">
        <v>37</v>
      </c>
      <c r="F45" s="2" t="s">
        <v>37</v>
      </c>
      <c r="G45" s="14">
        <v>6.5140000000000002</v>
      </c>
      <c r="H45" s="15">
        <v>100</v>
      </c>
      <c r="I45" s="8">
        <v>-651.4</v>
      </c>
      <c r="J45" s="8">
        <v>0</v>
      </c>
      <c r="K45" s="8">
        <v>0.14000000000000001</v>
      </c>
    </row>
    <row r="46" spans="1:11" x14ac:dyDescent="0.2">
      <c r="A46" s="2">
        <v>-1</v>
      </c>
      <c r="B46" s="7">
        <v>42478</v>
      </c>
      <c r="C46" s="2" t="s">
        <v>58</v>
      </c>
      <c r="D46" s="2" t="s">
        <v>59</v>
      </c>
      <c r="E46" s="2" t="s">
        <v>37</v>
      </c>
      <c r="F46" s="2" t="s">
        <v>37</v>
      </c>
      <c r="G46" s="14">
        <v>0.51400000000000001</v>
      </c>
      <c r="H46" s="15">
        <v>1200</v>
      </c>
      <c r="I46" s="8">
        <v>-616.80000000000007</v>
      </c>
      <c r="J46" s="8">
        <v>0</v>
      </c>
      <c r="K46" s="8">
        <v>0.13</v>
      </c>
    </row>
    <row r="47" spans="1:11" x14ac:dyDescent="0.2">
      <c r="A47" s="2">
        <v>-1</v>
      </c>
      <c r="B47" s="7">
        <v>42479</v>
      </c>
      <c r="C47" s="2" t="s">
        <v>38</v>
      </c>
      <c r="D47" s="2" t="s">
        <v>39</v>
      </c>
      <c r="E47" s="2" t="s">
        <v>40</v>
      </c>
      <c r="F47" s="2" t="s">
        <v>40</v>
      </c>
      <c r="G47" s="14">
        <v>6.5229999999999997</v>
      </c>
      <c r="H47" s="15">
        <v>-100</v>
      </c>
      <c r="I47" s="8">
        <v>652.29999999999995</v>
      </c>
      <c r="J47" s="8">
        <v>0</v>
      </c>
      <c r="K47" s="8">
        <v>0.14000000000000001</v>
      </c>
    </row>
    <row r="48" spans="1:11" x14ac:dyDescent="0.2">
      <c r="A48" s="2">
        <v>-1</v>
      </c>
      <c r="B48" s="7">
        <v>42479</v>
      </c>
      <c r="C48" s="2" t="s">
        <v>58</v>
      </c>
      <c r="D48" s="2" t="s">
        <v>59</v>
      </c>
      <c r="E48" s="2" t="s">
        <v>40</v>
      </c>
      <c r="F48" s="2" t="s">
        <v>40</v>
      </c>
      <c r="G48" s="14">
        <v>0.53700000000000003</v>
      </c>
      <c r="H48" s="15">
        <v>-1200</v>
      </c>
      <c r="I48" s="8">
        <v>644.40000000000009</v>
      </c>
      <c r="J48" s="8">
        <v>0</v>
      </c>
      <c r="K48" s="8">
        <v>0.14000000000000001</v>
      </c>
    </row>
    <row r="49" spans="1:11" x14ac:dyDescent="0.2">
      <c r="A49" s="2">
        <v>-1</v>
      </c>
      <c r="B49" s="7">
        <v>42479</v>
      </c>
      <c r="C49" s="2" t="s">
        <v>56</v>
      </c>
      <c r="D49" s="2" t="s">
        <v>57</v>
      </c>
      <c r="E49" s="2" t="s">
        <v>40</v>
      </c>
      <c r="F49" s="2" t="s">
        <v>40</v>
      </c>
      <c r="G49" s="14">
        <v>1.0760000000000001</v>
      </c>
      <c r="H49" s="15">
        <v>-600</v>
      </c>
      <c r="I49" s="8">
        <v>645.6</v>
      </c>
      <c r="J49" s="8">
        <v>0</v>
      </c>
      <c r="K49" s="8">
        <v>0.14000000000000001</v>
      </c>
    </row>
    <row r="50" spans="1:11" x14ac:dyDescent="0.2">
      <c r="A50" s="2">
        <v>-1</v>
      </c>
      <c r="B50" s="7">
        <v>42480</v>
      </c>
      <c r="C50" s="2" t="s">
        <v>38</v>
      </c>
      <c r="D50" s="2" t="s">
        <v>39</v>
      </c>
      <c r="E50" s="2" t="s">
        <v>37</v>
      </c>
      <c r="F50" s="2" t="s">
        <v>37</v>
      </c>
      <c r="G50" s="14">
        <v>6.2009999999999996</v>
      </c>
      <c r="H50" s="15">
        <v>500</v>
      </c>
      <c r="I50" s="8">
        <v>-3100.5</v>
      </c>
      <c r="J50" s="8">
        <v>0</v>
      </c>
      <c r="K50" s="8">
        <v>0.65</v>
      </c>
    </row>
    <row r="51" spans="1:11" x14ac:dyDescent="0.2">
      <c r="A51" s="2">
        <v>-1</v>
      </c>
      <c r="B51" s="7">
        <v>42482</v>
      </c>
      <c r="C51" s="2" t="s">
        <v>58</v>
      </c>
      <c r="D51" s="2" t="s">
        <v>59</v>
      </c>
      <c r="E51" s="2" t="s">
        <v>37</v>
      </c>
      <c r="F51" s="2" t="s">
        <v>37</v>
      </c>
      <c r="G51" s="14">
        <v>0.55400000000000005</v>
      </c>
      <c r="H51" s="15">
        <v>2700</v>
      </c>
      <c r="I51" s="8">
        <v>-1495.8000000000002</v>
      </c>
      <c r="J51" s="8">
        <v>0</v>
      </c>
      <c r="K51" s="8">
        <v>0.31</v>
      </c>
    </row>
    <row r="52" spans="1:11" x14ac:dyDescent="0.2">
      <c r="A52" s="2">
        <v>-1</v>
      </c>
      <c r="B52" s="7">
        <v>42482</v>
      </c>
      <c r="C52" s="2" t="s">
        <v>53</v>
      </c>
      <c r="D52" s="2" t="s">
        <v>54</v>
      </c>
      <c r="E52" s="2" t="s">
        <v>37</v>
      </c>
      <c r="F52" s="2" t="s">
        <v>37</v>
      </c>
      <c r="G52" s="14">
        <v>100.92</v>
      </c>
      <c r="H52" s="15">
        <v>100</v>
      </c>
      <c r="I52" s="8">
        <v>-10092</v>
      </c>
      <c r="J52" s="8">
        <v>0</v>
      </c>
      <c r="K52" s="8">
        <v>0</v>
      </c>
    </row>
    <row r="53" spans="1:11" x14ac:dyDescent="0.2">
      <c r="A53" s="2">
        <v>-1</v>
      </c>
      <c r="B53" s="7">
        <v>42487</v>
      </c>
      <c r="C53" s="2" t="s">
        <v>3</v>
      </c>
      <c r="D53" s="2" t="s">
        <v>60</v>
      </c>
      <c r="E53" s="2" t="s">
        <v>37</v>
      </c>
      <c r="F53" s="2" t="s">
        <v>37</v>
      </c>
      <c r="G53" s="14">
        <v>3.173</v>
      </c>
      <c r="H53" s="15">
        <v>500</v>
      </c>
      <c r="I53" s="8">
        <v>-1586.5</v>
      </c>
      <c r="J53" s="8">
        <v>0</v>
      </c>
      <c r="K53" s="8">
        <v>0.32</v>
      </c>
    </row>
    <row r="54" spans="1:11" x14ac:dyDescent="0.2">
      <c r="A54" s="2">
        <v>-1</v>
      </c>
      <c r="B54" s="7">
        <v>42487</v>
      </c>
      <c r="C54" s="2" t="s">
        <v>1</v>
      </c>
      <c r="D54" s="2" t="s">
        <v>55</v>
      </c>
      <c r="E54" s="2" t="s">
        <v>37</v>
      </c>
      <c r="F54" s="2" t="s">
        <v>37</v>
      </c>
      <c r="G54" s="14">
        <v>2.153</v>
      </c>
      <c r="H54" s="15">
        <v>700</v>
      </c>
      <c r="I54" s="8">
        <v>-1507.1</v>
      </c>
      <c r="J54" s="8">
        <v>0</v>
      </c>
      <c r="K54" s="8">
        <v>0.32</v>
      </c>
    </row>
    <row r="55" spans="1:11" x14ac:dyDescent="0.2">
      <c r="A55" s="2">
        <v>-1</v>
      </c>
      <c r="B55" s="7">
        <v>42487</v>
      </c>
      <c r="C55" s="2" t="s">
        <v>58</v>
      </c>
      <c r="D55" s="2" t="s">
        <v>59</v>
      </c>
      <c r="E55" s="2" t="s">
        <v>37</v>
      </c>
      <c r="F55" s="2" t="s">
        <v>37</v>
      </c>
      <c r="G55" s="14">
        <v>0.58099999999999996</v>
      </c>
      <c r="H55" s="15">
        <v>2600</v>
      </c>
      <c r="I55" s="8">
        <v>-1510.6</v>
      </c>
      <c r="J55" s="8">
        <v>0</v>
      </c>
      <c r="K55" s="8">
        <v>0.32</v>
      </c>
    </row>
    <row r="56" spans="1:11" x14ac:dyDescent="0.2">
      <c r="A56" s="2">
        <v>-1</v>
      </c>
      <c r="B56" s="7">
        <v>42488</v>
      </c>
      <c r="C56" s="2" t="s">
        <v>53</v>
      </c>
      <c r="D56" s="2" t="s">
        <v>54</v>
      </c>
      <c r="E56" s="2" t="s">
        <v>40</v>
      </c>
      <c r="F56" s="2" t="s">
        <v>40</v>
      </c>
      <c r="G56" s="14">
        <v>100.962</v>
      </c>
      <c r="H56" s="15">
        <v>-100</v>
      </c>
      <c r="I56" s="8">
        <v>10096.200000000001</v>
      </c>
      <c r="J56" s="8">
        <v>0</v>
      </c>
      <c r="K56" s="8">
        <v>0</v>
      </c>
    </row>
    <row r="57" spans="1:11" x14ac:dyDescent="0.2">
      <c r="A57" s="2">
        <v>-1</v>
      </c>
      <c r="B57" s="7">
        <v>42489</v>
      </c>
      <c r="C57" s="2" t="s">
        <v>1</v>
      </c>
      <c r="D57" s="2" t="s">
        <v>55</v>
      </c>
      <c r="E57" s="2" t="s">
        <v>37</v>
      </c>
      <c r="F57" s="2" t="s">
        <v>37</v>
      </c>
      <c r="G57" s="14">
        <v>2.133</v>
      </c>
      <c r="H57" s="15">
        <v>700</v>
      </c>
      <c r="I57" s="8">
        <v>-1493.1</v>
      </c>
      <c r="J57" s="8">
        <v>0</v>
      </c>
      <c r="K57" s="8">
        <v>7.36</v>
      </c>
    </row>
    <row r="58" spans="1:11" x14ac:dyDescent="0.2">
      <c r="A58" s="2">
        <v>-1</v>
      </c>
      <c r="B58" s="7">
        <v>42493</v>
      </c>
      <c r="C58" s="2" t="s">
        <v>35</v>
      </c>
      <c r="D58" s="2" t="s">
        <v>36</v>
      </c>
      <c r="E58" s="2" t="s">
        <v>40</v>
      </c>
      <c r="F58" s="2" t="s">
        <v>40</v>
      </c>
      <c r="G58" s="14">
        <v>2.7040000000000002</v>
      </c>
      <c r="H58" s="15">
        <v>-1000</v>
      </c>
      <c r="I58" s="8">
        <v>2704</v>
      </c>
      <c r="J58" s="8">
        <v>0</v>
      </c>
      <c r="K58" s="8">
        <v>0.67</v>
      </c>
    </row>
    <row r="59" spans="1:11" x14ac:dyDescent="0.2">
      <c r="A59" s="2">
        <v>-1</v>
      </c>
      <c r="B59" s="7">
        <v>42493</v>
      </c>
      <c r="C59" s="2" t="s">
        <v>58</v>
      </c>
      <c r="D59" s="2" t="s">
        <v>59</v>
      </c>
      <c r="E59" s="2" t="s">
        <v>37</v>
      </c>
      <c r="F59" s="2" t="s">
        <v>37</v>
      </c>
      <c r="G59" s="14">
        <v>0.58399999999999996</v>
      </c>
      <c r="H59" s="15">
        <v>60000</v>
      </c>
      <c r="I59" s="8">
        <v>-35040</v>
      </c>
      <c r="J59" s="8">
        <v>0</v>
      </c>
      <c r="K59" s="8">
        <v>7.36</v>
      </c>
    </row>
    <row r="60" spans="1:11" x14ac:dyDescent="0.2">
      <c r="A60" s="2">
        <v>-1</v>
      </c>
      <c r="B60" s="7">
        <v>42493</v>
      </c>
      <c r="C60" s="2" t="s">
        <v>38</v>
      </c>
      <c r="D60" s="2" t="s">
        <v>39</v>
      </c>
      <c r="E60" s="2" t="s">
        <v>40</v>
      </c>
      <c r="F60" s="2" t="s">
        <v>40</v>
      </c>
      <c r="G60" s="14">
        <v>6.3869999999999996</v>
      </c>
      <c r="H60" s="15">
        <v>-500</v>
      </c>
      <c r="I60" s="8">
        <v>3193.5</v>
      </c>
      <c r="J60" s="8">
        <v>0</v>
      </c>
      <c r="K60" s="8">
        <v>0.34</v>
      </c>
    </row>
    <row r="61" spans="1:11" x14ac:dyDescent="0.2">
      <c r="A61" s="2">
        <v>-1</v>
      </c>
      <c r="B61" s="7">
        <v>42493</v>
      </c>
      <c r="C61" s="2" t="s">
        <v>1</v>
      </c>
      <c r="D61" s="2" t="s">
        <v>55</v>
      </c>
      <c r="E61" s="2" t="s">
        <v>40</v>
      </c>
      <c r="F61" s="2" t="s">
        <v>40</v>
      </c>
      <c r="G61" s="14">
        <v>2.161</v>
      </c>
      <c r="H61" s="15">
        <v>-1400</v>
      </c>
      <c r="I61" s="8">
        <v>3025.4</v>
      </c>
      <c r="J61" s="8">
        <v>0</v>
      </c>
      <c r="K61" s="8">
        <v>0.72</v>
      </c>
    </row>
    <row r="62" spans="1:11" x14ac:dyDescent="0.2">
      <c r="A62" s="2">
        <v>-1</v>
      </c>
      <c r="B62" s="7">
        <v>42493</v>
      </c>
      <c r="C62" s="2" t="s">
        <v>3</v>
      </c>
      <c r="D62" s="2" t="s">
        <v>60</v>
      </c>
      <c r="E62" s="2" t="s">
        <v>40</v>
      </c>
      <c r="F62" s="2" t="s">
        <v>40</v>
      </c>
      <c r="G62" s="14">
        <v>3.206</v>
      </c>
      <c r="H62" s="15">
        <v>-500</v>
      </c>
      <c r="I62" s="8">
        <v>1603</v>
      </c>
      <c r="J62" s="8">
        <v>0</v>
      </c>
      <c r="K62" s="8">
        <v>0.75</v>
      </c>
    </row>
    <row r="63" spans="1:11" x14ac:dyDescent="0.2">
      <c r="A63" s="2">
        <v>-1</v>
      </c>
      <c r="B63" s="7">
        <v>42493</v>
      </c>
      <c r="C63" s="2" t="s">
        <v>53</v>
      </c>
      <c r="D63" s="2" t="s">
        <v>54</v>
      </c>
      <c r="E63" s="2" t="s">
        <v>40</v>
      </c>
      <c r="F63" s="2" t="s">
        <v>40</v>
      </c>
      <c r="G63" s="14">
        <v>101.99</v>
      </c>
      <c r="H63" s="15">
        <v>-400</v>
      </c>
      <c r="I63" s="8">
        <v>40796</v>
      </c>
      <c r="J63" s="8">
        <v>0</v>
      </c>
      <c r="K63" s="8">
        <v>0</v>
      </c>
    </row>
    <row r="64" spans="1:11" x14ac:dyDescent="0.2">
      <c r="A64" s="2">
        <v>-1</v>
      </c>
      <c r="B64" s="7">
        <v>42494</v>
      </c>
      <c r="C64" s="2" t="s">
        <v>56</v>
      </c>
      <c r="D64" s="2" t="s">
        <v>57</v>
      </c>
      <c r="E64" s="2" t="s">
        <v>37</v>
      </c>
      <c r="F64" s="2" t="s">
        <v>37</v>
      </c>
      <c r="G64" s="14">
        <v>1.0389999999999999</v>
      </c>
      <c r="H64" s="15">
        <v>3300</v>
      </c>
      <c r="I64" s="8">
        <v>-3428.7</v>
      </c>
      <c r="J64" s="8">
        <v>0</v>
      </c>
      <c r="K64" s="8">
        <v>0.72</v>
      </c>
    </row>
    <row r="65" spans="1:11" x14ac:dyDescent="0.2">
      <c r="A65" s="2">
        <v>-1</v>
      </c>
      <c r="B65" s="7">
        <v>42499</v>
      </c>
      <c r="C65" s="2" t="s">
        <v>38</v>
      </c>
      <c r="D65" s="2" t="s">
        <v>39</v>
      </c>
      <c r="E65" s="2" t="s">
        <v>37</v>
      </c>
      <c r="F65" s="2" t="s">
        <v>37</v>
      </c>
      <c r="G65" s="14">
        <v>5.9669999999999996</v>
      </c>
      <c r="H65" s="15">
        <v>600</v>
      </c>
      <c r="I65" s="8">
        <v>-3580.2</v>
      </c>
      <c r="J65" s="8">
        <v>0</v>
      </c>
      <c r="K65" s="8">
        <v>2.2000000000000002</v>
      </c>
    </row>
    <row r="66" spans="1:11" x14ac:dyDescent="0.2">
      <c r="A66" s="2">
        <v>-1</v>
      </c>
      <c r="B66" s="7">
        <v>42513</v>
      </c>
      <c r="C66" s="2" t="s">
        <v>61</v>
      </c>
      <c r="D66" s="2" t="s">
        <v>62</v>
      </c>
      <c r="E66" s="2" t="s">
        <v>37</v>
      </c>
      <c r="F66" s="2" t="s">
        <v>37</v>
      </c>
      <c r="G66" s="14">
        <v>0.85699999999999998</v>
      </c>
      <c r="H66" s="15">
        <v>12000</v>
      </c>
      <c r="I66" s="8">
        <v>-10284</v>
      </c>
      <c r="J66" s="8">
        <v>0</v>
      </c>
      <c r="K66" s="8">
        <v>0.77</v>
      </c>
    </row>
    <row r="67" spans="1:11" x14ac:dyDescent="0.2">
      <c r="A67" s="2">
        <v>-1</v>
      </c>
      <c r="B67" s="7">
        <v>42513</v>
      </c>
      <c r="C67" s="2" t="s">
        <v>56</v>
      </c>
      <c r="D67" s="2" t="s">
        <v>57</v>
      </c>
      <c r="E67" s="2" t="s">
        <v>37</v>
      </c>
      <c r="F67" s="2" t="s">
        <v>37</v>
      </c>
      <c r="G67" s="14">
        <v>1.018</v>
      </c>
      <c r="H67" s="15">
        <v>10300</v>
      </c>
      <c r="I67" s="8">
        <v>-10485.4</v>
      </c>
      <c r="J67" s="8">
        <v>0</v>
      </c>
      <c r="K67" s="8">
        <v>2.2000000000000002</v>
      </c>
    </row>
    <row r="68" spans="1:11" x14ac:dyDescent="0.2">
      <c r="A68" s="2">
        <v>-1</v>
      </c>
      <c r="B68" s="7">
        <v>42521</v>
      </c>
      <c r="C68" s="2" t="s">
        <v>38</v>
      </c>
      <c r="D68" s="2" t="s">
        <v>39</v>
      </c>
      <c r="E68" s="2" t="s">
        <v>40</v>
      </c>
      <c r="F68" s="2" t="s">
        <v>40</v>
      </c>
      <c r="G68" s="14">
        <v>6.1020000000000003</v>
      </c>
      <c r="H68" s="15">
        <v>-600</v>
      </c>
      <c r="I68" s="8">
        <v>3661.2000000000003</v>
      </c>
      <c r="J68" s="8">
        <v>0</v>
      </c>
      <c r="K68" s="8">
        <v>2.11</v>
      </c>
    </row>
    <row r="69" spans="1:11" x14ac:dyDescent="0.2">
      <c r="A69" s="2">
        <v>-1</v>
      </c>
      <c r="B69" s="7">
        <v>42523</v>
      </c>
      <c r="C69" s="2" t="s">
        <v>58</v>
      </c>
      <c r="D69" s="2" t="s">
        <v>59</v>
      </c>
      <c r="E69" s="2" t="s">
        <v>40</v>
      </c>
      <c r="F69" s="2" t="s">
        <v>40</v>
      </c>
      <c r="G69" s="14">
        <v>0.58399999999999996</v>
      </c>
      <c r="H69" s="15">
        <v>-65300</v>
      </c>
      <c r="I69" s="8">
        <v>38135.199999999997</v>
      </c>
      <c r="J69" s="8">
        <v>0</v>
      </c>
      <c r="K69" s="8">
        <v>8.01</v>
      </c>
    </row>
    <row r="70" spans="1:11" x14ac:dyDescent="0.2">
      <c r="A70" s="2">
        <v>-1</v>
      </c>
      <c r="B70" s="7">
        <v>42524</v>
      </c>
      <c r="C70" s="2" t="s">
        <v>53</v>
      </c>
      <c r="D70" s="2" t="s">
        <v>54</v>
      </c>
      <c r="E70" s="2" t="s">
        <v>37</v>
      </c>
      <c r="F70" s="2" t="s">
        <v>37</v>
      </c>
      <c r="G70" s="14">
        <v>101.17700000000001</v>
      </c>
      <c r="H70" s="15">
        <v>500</v>
      </c>
      <c r="I70" s="8">
        <v>-50588.5</v>
      </c>
      <c r="J70" s="8">
        <v>0</v>
      </c>
      <c r="K70" s="8">
        <v>0</v>
      </c>
    </row>
    <row r="71" spans="1:11" x14ac:dyDescent="0.2">
      <c r="A71" s="2">
        <v>-1</v>
      </c>
      <c r="B71" s="7">
        <v>42524</v>
      </c>
      <c r="C71" s="2" t="s">
        <v>61</v>
      </c>
      <c r="D71" s="2" t="s">
        <v>62</v>
      </c>
      <c r="E71" s="2" t="s">
        <v>37</v>
      </c>
      <c r="F71" s="2" t="s">
        <v>37</v>
      </c>
      <c r="G71" s="14">
        <v>0.90500000000000003</v>
      </c>
      <c r="H71" s="15">
        <v>11100</v>
      </c>
      <c r="I71" s="8">
        <v>-10045.5</v>
      </c>
      <c r="J71" s="8">
        <v>0</v>
      </c>
      <c r="K71" s="8">
        <v>4.22</v>
      </c>
    </row>
    <row r="72" spans="1:11" x14ac:dyDescent="0.2">
      <c r="A72" s="2">
        <v>-1</v>
      </c>
      <c r="B72" s="7">
        <v>42527</v>
      </c>
      <c r="C72" s="2" t="s">
        <v>61</v>
      </c>
      <c r="D72" s="2" t="s">
        <v>62</v>
      </c>
      <c r="E72" s="2" t="s">
        <v>37</v>
      </c>
      <c r="F72" s="2" t="s">
        <v>37</v>
      </c>
      <c r="G72" s="14">
        <v>0.90400000000000003</v>
      </c>
      <c r="H72" s="15">
        <v>11100</v>
      </c>
      <c r="I72" s="8">
        <v>-10034.4</v>
      </c>
      <c r="J72" s="8">
        <v>0</v>
      </c>
      <c r="K72" s="8">
        <v>2.12</v>
      </c>
    </row>
    <row r="73" spans="1:11" x14ac:dyDescent="0.2">
      <c r="A73" s="2">
        <v>-1</v>
      </c>
      <c r="B73" s="7">
        <v>42527</v>
      </c>
      <c r="C73" s="2" t="s">
        <v>53</v>
      </c>
      <c r="D73" s="2" t="s">
        <v>54</v>
      </c>
      <c r="E73" s="2" t="s">
        <v>40</v>
      </c>
      <c r="F73" s="2" t="s">
        <v>40</v>
      </c>
      <c r="G73" s="14">
        <v>101.181</v>
      </c>
      <c r="H73" s="15">
        <v>-400</v>
      </c>
      <c r="I73" s="8">
        <v>40472.400000000001</v>
      </c>
      <c r="J73" s="8">
        <v>0</v>
      </c>
      <c r="K73" s="8">
        <v>0</v>
      </c>
    </row>
    <row r="74" spans="1:11" x14ac:dyDescent="0.2">
      <c r="A74" s="2">
        <v>-1</v>
      </c>
      <c r="B74" s="7">
        <v>42534</v>
      </c>
      <c r="C74" s="2" t="s">
        <v>61</v>
      </c>
      <c r="D74" s="2" t="s">
        <v>62</v>
      </c>
      <c r="E74" s="2" t="s">
        <v>37</v>
      </c>
      <c r="F74" s="2" t="s">
        <v>37</v>
      </c>
      <c r="G74" s="14">
        <v>0.89700000000000002</v>
      </c>
      <c r="H74" s="15">
        <v>22400</v>
      </c>
      <c r="I74" s="8">
        <v>-20092.8</v>
      </c>
      <c r="J74" s="8">
        <v>0</v>
      </c>
      <c r="K74" s="8">
        <v>2.13</v>
      </c>
    </row>
    <row r="75" spans="1:11" x14ac:dyDescent="0.2">
      <c r="A75" s="2">
        <v>-1</v>
      </c>
      <c r="B75" s="7">
        <v>42534</v>
      </c>
      <c r="C75" s="2" t="s">
        <v>53</v>
      </c>
      <c r="D75" s="2" t="s">
        <v>54</v>
      </c>
      <c r="E75" s="2" t="s">
        <v>40</v>
      </c>
      <c r="F75" s="2" t="s">
        <v>40</v>
      </c>
      <c r="G75" s="14">
        <v>101.253</v>
      </c>
      <c r="H75" s="15">
        <v>-200</v>
      </c>
      <c r="I75" s="8">
        <v>20250.599999999999</v>
      </c>
      <c r="J75" s="8">
        <v>0</v>
      </c>
      <c r="K75" s="8">
        <v>0</v>
      </c>
    </row>
    <row r="76" spans="1:11" x14ac:dyDescent="0.2">
      <c r="A76" s="2">
        <v>-1</v>
      </c>
      <c r="B76" s="7">
        <v>42534</v>
      </c>
      <c r="C76" s="2" t="s">
        <v>61</v>
      </c>
      <c r="D76" s="2" t="s">
        <v>62</v>
      </c>
      <c r="E76" s="2" t="s">
        <v>37</v>
      </c>
      <c r="F76" s="2" t="s">
        <v>37</v>
      </c>
      <c r="G76" s="14">
        <v>0.89200000000000002</v>
      </c>
      <c r="H76" s="15">
        <v>11300</v>
      </c>
      <c r="I76" s="8">
        <v>-10079.6</v>
      </c>
      <c r="J76" s="8">
        <v>0</v>
      </c>
      <c r="K76" s="8">
        <v>4.3499999999999996</v>
      </c>
    </row>
    <row r="77" spans="1:11" x14ac:dyDescent="0.2">
      <c r="A77" s="2">
        <v>-1</v>
      </c>
      <c r="B77" s="7">
        <v>42537</v>
      </c>
      <c r="C77" s="2" t="s">
        <v>61</v>
      </c>
      <c r="D77" s="2" t="s">
        <v>62</v>
      </c>
      <c r="E77" s="2" t="s">
        <v>37</v>
      </c>
      <c r="F77" s="2" t="s">
        <v>37</v>
      </c>
      <c r="G77" s="14">
        <v>0.88400000000000001</v>
      </c>
      <c r="H77" s="15">
        <v>11500</v>
      </c>
      <c r="I77" s="8">
        <v>-10166</v>
      </c>
      <c r="J77" s="8">
        <v>0</v>
      </c>
      <c r="K77" s="8">
        <v>4.2699999999999996</v>
      </c>
    </row>
    <row r="78" spans="1:11" x14ac:dyDescent="0.2">
      <c r="A78" s="2">
        <v>-1</v>
      </c>
      <c r="B78" s="7">
        <v>42537</v>
      </c>
      <c r="C78" s="2" t="s">
        <v>53</v>
      </c>
      <c r="D78" s="2" t="s">
        <v>54</v>
      </c>
      <c r="E78" s="2" t="s">
        <v>40</v>
      </c>
      <c r="F78" s="2" t="s">
        <v>40</v>
      </c>
      <c r="G78" s="14">
        <v>101.259</v>
      </c>
      <c r="H78" s="15">
        <v>-100</v>
      </c>
      <c r="I78" s="8">
        <v>10125.9</v>
      </c>
      <c r="J78" s="8">
        <v>0</v>
      </c>
      <c r="K78" s="8">
        <v>0</v>
      </c>
    </row>
    <row r="79" spans="1:11" x14ac:dyDescent="0.2">
      <c r="A79" s="2">
        <v>-1</v>
      </c>
      <c r="B79" s="7">
        <v>42541</v>
      </c>
      <c r="C79" s="2" t="s">
        <v>61</v>
      </c>
      <c r="D79" s="2" t="s">
        <v>62</v>
      </c>
      <c r="E79" s="2" t="s">
        <v>40</v>
      </c>
      <c r="F79" s="2" t="s">
        <v>40</v>
      </c>
      <c r="G79" s="14">
        <v>0.9</v>
      </c>
      <c r="H79" s="15">
        <v>-23000</v>
      </c>
      <c r="I79" s="8">
        <v>20700</v>
      </c>
      <c r="J79" s="8">
        <v>0</v>
      </c>
      <c r="K79" s="8">
        <v>4.21</v>
      </c>
    </row>
    <row r="80" spans="1:11" x14ac:dyDescent="0.2">
      <c r="A80" s="2">
        <v>-1</v>
      </c>
      <c r="B80" s="7">
        <v>42543</v>
      </c>
      <c r="C80" s="2" t="s">
        <v>61</v>
      </c>
      <c r="D80" s="2" t="s">
        <v>62</v>
      </c>
      <c r="E80" s="2" t="s">
        <v>40</v>
      </c>
      <c r="F80" s="2" t="s">
        <v>40</v>
      </c>
      <c r="G80" s="14">
        <v>0.91500000000000004</v>
      </c>
      <c r="H80" s="15">
        <v>-22200</v>
      </c>
      <c r="I80" s="8">
        <v>20313</v>
      </c>
      <c r="J80" s="8">
        <v>0</v>
      </c>
      <c r="K80" s="8">
        <v>5.7</v>
      </c>
    </row>
    <row r="81" spans="1:11" x14ac:dyDescent="0.2">
      <c r="A81" s="2">
        <v>-1</v>
      </c>
      <c r="B81" s="7">
        <v>42543</v>
      </c>
      <c r="C81" s="2" t="s">
        <v>53</v>
      </c>
      <c r="D81" s="2" t="s">
        <v>54</v>
      </c>
      <c r="E81" s="2" t="s">
        <v>37</v>
      </c>
      <c r="F81" s="2" t="s">
        <v>37</v>
      </c>
      <c r="G81" s="14">
        <v>101.301</v>
      </c>
      <c r="H81" s="15">
        <v>1000</v>
      </c>
      <c r="I81" s="8">
        <v>-101301</v>
      </c>
      <c r="J81" s="8">
        <v>0</v>
      </c>
      <c r="K81" s="8">
        <v>0</v>
      </c>
    </row>
    <row r="82" spans="1:11" x14ac:dyDescent="0.2">
      <c r="A82" s="2">
        <v>-1</v>
      </c>
      <c r="B82" s="7">
        <v>42543</v>
      </c>
      <c r="C82" s="2" t="s">
        <v>53</v>
      </c>
      <c r="D82" s="2" t="s">
        <v>54</v>
      </c>
      <c r="E82" s="2" t="s">
        <v>37</v>
      </c>
      <c r="F82" s="2" t="s">
        <v>37</v>
      </c>
      <c r="G82" s="14">
        <v>101.29900000000001</v>
      </c>
      <c r="H82" s="15">
        <v>200</v>
      </c>
      <c r="I82" s="8">
        <v>-20259.800000000003</v>
      </c>
      <c r="J82" s="8">
        <v>0</v>
      </c>
      <c r="K82" s="8">
        <v>0</v>
      </c>
    </row>
    <row r="83" spans="1:11" x14ac:dyDescent="0.2">
      <c r="A83" s="2">
        <v>-1</v>
      </c>
      <c r="B83" s="7">
        <v>42545</v>
      </c>
      <c r="C83" s="2" t="s">
        <v>61</v>
      </c>
      <c r="D83" s="2" t="s">
        <v>62</v>
      </c>
      <c r="E83" s="2" t="s">
        <v>37</v>
      </c>
      <c r="F83" s="2" t="s">
        <v>37</v>
      </c>
      <c r="G83" s="14">
        <v>0.88</v>
      </c>
      <c r="H83" s="15">
        <v>22800</v>
      </c>
      <c r="I83" s="8">
        <v>-20064</v>
      </c>
      <c r="J83" s="8">
        <v>0</v>
      </c>
      <c r="K83" s="8">
        <v>4.22</v>
      </c>
    </row>
    <row r="84" spans="1:11" x14ac:dyDescent="0.2">
      <c r="A84" s="2">
        <v>-1</v>
      </c>
      <c r="B84" s="7">
        <v>42545</v>
      </c>
      <c r="C84" s="2" t="s">
        <v>53</v>
      </c>
      <c r="D84" s="2" t="s">
        <v>54</v>
      </c>
      <c r="E84" s="2" t="s">
        <v>40</v>
      </c>
      <c r="F84" s="2" t="s">
        <v>40</v>
      </c>
      <c r="G84" s="14">
        <v>101.315</v>
      </c>
      <c r="H84" s="15">
        <v>-400</v>
      </c>
      <c r="I84" s="8">
        <v>40526</v>
      </c>
      <c r="J84" s="8">
        <v>0</v>
      </c>
      <c r="K84" s="8">
        <v>0</v>
      </c>
    </row>
    <row r="85" spans="1:11" x14ac:dyDescent="0.2">
      <c r="A85" s="2">
        <v>-1</v>
      </c>
      <c r="B85" s="7">
        <v>42548</v>
      </c>
      <c r="C85" s="2" t="s">
        <v>63</v>
      </c>
      <c r="D85" s="2">
        <v>601939</v>
      </c>
      <c r="E85" s="2" t="s">
        <v>37</v>
      </c>
      <c r="F85" s="2" t="s">
        <v>37</v>
      </c>
      <c r="G85" s="14">
        <v>4.95</v>
      </c>
      <c r="H85" s="15">
        <v>5000</v>
      </c>
      <c r="I85" s="8">
        <v>-24750</v>
      </c>
      <c r="J85" s="8">
        <v>0</v>
      </c>
      <c r="K85" s="8">
        <v>5.7</v>
      </c>
    </row>
    <row r="86" spans="1:11" x14ac:dyDescent="0.2">
      <c r="A86" s="2">
        <v>-1</v>
      </c>
      <c r="B86" s="7">
        <v>42549</v>
      </c>
      <c r="C86" s="2" t="s">
        <v>58</v>
      </c>
      <c r="D86" s="2" t="s">
        <v>59</v>
      </c>
      <c r="E86" s="2" t="s">
        <v>37</v>
      </c>
      <c r="F86" s="2" t="s">
        <v>37</v>
      </c>
      <c r="G86" s="14">
        <v>0.55800000000000005</v>
      </c>
      <c r="H86" s="15">
        <v>36000</v>
      </c>
      <c r="I86" s="8">
        <v>-20088.000000000004</v>
      </c>
      <c r="J86" s="8">
        <v>0</v>
      </c>
      <c r="K86" s="8">
        <v>4.22</v>
      </c>
    </row>
    <row r="87" spans="1:11" x14ac:dyDescent="0.2">
      <c r="A87" s="2">
        <v>-1</v>
      </c>
      <c r="B87" s="7">
        <v>42549</v>
      </c>
      <c r="C87" s="2" t="s">
        <v>53</v>
      </c>
      <c r="D87" s="2" t="s">
        <v>54</v>
      </c>
      <c r="E87" s="2" t="s">
        <v>40</v>
      </c>
      <c r="F87" s="2" t="s">
        <v>40</v>
      </c>
      <c r="G87" s="14">
        <v>101.31</v>
      </c>
      <c r="H87" s="15">
        <v>-400</v>
      </c>
      <c r="I87" s="8">
        <v>40524</v>
      </c>
      <c r="J87" s="8">
        <v>0</v>
      </c>
      <c r="K87" s="8">
        <v>0</v>
      </c>
    </row>
    <row r="88" spans="1:11" x14ac:dyDescent="0.2">
      <c r="A88" s="2">
        <v>-1</v>
      </c>
      <c r="B88" s="7">
        <v>42550</v>
      </c>
      <c r="C88" s="2" t="s">
        <v>53</v>
      </c>
      <c r="D88" s="2" t="s">
        <v>54</v>
      </c>
      <c r="E88" s="2" t="s">
        <v>37</v>
      </c>
      <c r="F88" s="2" t="s">
        <v>37</v>
      </c>
      <c r="G88" s="14">
        <v>101.319</v>
      </c>
      <c r="H88" s="15">
        <v>400</v>
      </c>
      <c r="I88" s="8">
        <v>-40527.599999999999</v>
      </c>
      <c r="J88" s="8">
        <v>0</v>
      </c>
      <c r="K88" s="8">
        <v>0</v>
      </c>
    </row>
    <row r="89" spans="1:11" x14ac:dyDescent="0.2">
      <c r="A89" s="2">
        <v>-1</v>
      </c>
      <c r="B89" s="7">
        <v>42551</v>
      </c>
      <c r="C89" s="2" t="s">
        <v>61</v>
      </c>
      <c r="D89" s="2" t="s">
        <v>62</v>
      </c>
      <c r="E89" s="2" t="s">
        <v>40</v>
      </c>
      <c r="F89" s="2" t="s">
        <v>40</v>
      </c>
      <c r="G89" s="14">
        <v>0.92900000000000005</v>
      </c>
      <c r="H89" s="15">
        <v>-23000</v>
      </c>
      <c r="I89" s="8">
        <v>21367</v>
      </c>
      <c r="J89" s="8">
        <v>0</v>
      </c>
      <c r="K89" s="8">
        <v>3.1</v>
      </c>
    </row>
    <row r="90" spans="1:11" x14ac:dyDescent="0.2">
      <c r="A90" s="2">
        <v>-1</v>
      </c>
      <c r="B90" s="7">
        <v>42551</v>
      </c>
      <c r="C90" s="2" t="s">
        <v>63</v>
      </c>
      <c r="D90" s="2">
        <v>601939</v>
      </c>
      <c r="E90" s="2" t="s">
        <v>37</v>
      </c>
      <c r="F90" s="2" t="s">
        <v>37</v>
      </c>
      <c r="G90" s="14">
        <v>4.7300000000000004</v>
      </c>
      <c r="H90" s="15">
        <v>16000</v>
      </c>
      <c r="I90" s="8">
        <v>-75680</v>
      </c>
      <c r="J90" s="8">
        <v>0</v>
      </c>
      <c r="K90" s="8">
        <v>17.400000000000002</v>
      </c>
    </row>
    <row r="91" spans="1:11" x14ac:dyDescent="0.2">
      <c r="A91" s="2">
        <v>-1</v>
      </c>
      <c r="B91" s="7">
        <v>42551</v>
      </c>
      <c r="C91" s="2" t="s">
        <v>56</v>
      </c>
      <c r="D91" s="2" t="s">
        <v>57</v>
      </c>
      <c r="E91" s="2" t="s">
        <v>40</v>
      </c>
      <c r="F91" s="2" t="s">
        <v>40</v>
      </c>
      <c r="G91" s="14">
        <v>1.085</v>
      </c>
      <c r="H91" s="15">
        <v>-13600</v>
      </c>
      <c r="I91" s="8">
        <v>14756</v>
      </c>
      <c r="J91" s="8">
        <v>0</v>
      </c>
      <c r="K91" s="8">
        <v>3.1</v>
      </c>
    </row>
    <row r="92" spans="1:11" x14ac:dyDescent="0.2">
      <c r="A92" s="2">
        <v>-1</v>
      </c>
      <c r="B92" s="7">
        <v>42551</v>
      </c>
      <c r="C92" s="2" t="s">
        <v>53</v>
      </c>
      <c r="D92" s="2" t="s">
        <v>54</v>
      </c>
      <c r="E92" s="2" t="s">
        <v>40</v>
      </c>
      <c r="F92" s="2" t="s">
        <v>40</v>
      </c>
      <c r="G92" s="14">
        <v>101.322</v>
      </c>
      <c r="H92" s="15">
        <v>-300</v>
      </c>
      <c r="I92" s="8">
        <v>30396.600000000002</v>
      </c>
      <c r="J92" s="8">
        <v>0</v>
      </c>
      <c r="K92" s="8">
        <v>0</v>
      </c>
    </row>
    <row r="93" spans="1:11" x14ac:dyDescent="0.2">
      <c r="A93" s="2">
        <v>-1</v>
      </c>
      <c r="B93" s="7">
        <v>42552</v>
      </c>
      <c r="C93" s="2" t="s">
        <v>53</v>
      </c>
      <c r="D93" s="2" t="s">
        <v>54</v>
      </c>
      <c r="E93" s="2" t="s">
        <v>40</v>
      </c>
      <c r="F93" s="2" t="s">
        <v>40</v>
      </c>
      <c r="G93" s="14">
        <v>101.386</v>
      </c>
      <c r="H93" s="15">
        <v>-300</v>
      </c>
      <c r="I93" s="8">
        <v>30415.8</v>
      </c>
      <c r="J93" s="8">
        <v>0</v>
      </c>
      <c r="K93" s="8">
        <v>0</v>
      </c>
    </row>
    <row r="94" spans="1:11" x14ac:dyDescent="0.2">
      <c r="A94" s="2">
        <v>-1</v>
      </c>
      <c r="B94" s="7">
        <v>42562</v>
      </c>
      <c r="C94" s="2" t="s">
        <v>53</v>
      </c>
      <c r="D94" s="2" t="s">
        <v>54</v>
      </c>
      <c r="E94" s="2" t="s">
        <v>37</v>
      </c>
      <c r="F94" s="2" t="s">
        <v>37</v>
      </c>
      <c r="G94" s="14">
        <v>101.44499999999999</v>
      </c>
      <c r="H94" s="15">
        <v>1200</v>
      </c>
      <c r="I94" s="8">
        <v>-121733.99999999999</v>
      </c>
      <c r="J94" s="8">
        <v>0</v>
      </c>
      <c r="K94" s="8">
        <v>0</v>
      </c>
    </row>
    <row r="95" spans="1:11" x14ac:dyDescent="0.2">
      <c r="A95" s="2">
        <v>-1</v>
      </c>
      <c r="B95" s="7">
        <v>42562</v>
      </c>
      <c r="C95" s="2" t="s">
        <v>63</v>
      </c>
      <c r="D95" s="2">
        <v>601939</v>
      </c>
      <c r="E95" s="2" t="s">
        <v>40</v>
      </c>
      <c r="F95" s="2" t="s">
        <v>40</v>
      </c>
      <c r="G95" s="14">
        <v>4.76</v>
      </c>
      <c r="H95" s="15">
        <v>-21000</v>
      </c>
      <c r="I95" s="8">
        <v>99960</v>
      </c>
      <c r="J95" s="8">
        <v>0</v>
      </c>
      <c r="K95" s="8">
        <v>122.96</v>
      </c>
    </row>
    <row r="96" spans="1:11" x14ac:dyDescent="0.2">
      <c r="A96" s="2">
        <v>-1</v>
      </c>
      <c r="B96" s="7">
        <v>42563</v>
      </c>
      <c r="C96" s="2" t="s">
        <v>63</v>
      </c>
      <c r="D96" s="2">
        <v>601939</v>
      </c>
      <c r="E96" s="2" t="s">
        <v>37</v>
      </c>
      <c r="F96" s="2" t="s">
        <v>37</v>
      </c>
      <c r="G96" s="14">
        <v>0</v>
      </c>
      <c r="H96" s="15">
        <v>0</v>
      </c>
      <c r="I96" s="8">
        <v>0</v>
      </c>
      <c r="J96" s="8">
        <v>0</v>
      </c>
      <c r="K96" s="8">
        <v>274</v>
      </c>
    </row>
    <row r="97" spans="1:11" x14ac:dyDescent="0.2">
      <c r="A97" s="2">
        <v>-1</v>
      </c>
      <c r="B97" s="7">
        <v>42572</v>
      </c>
      <c r="C97" s="2" t="s">
        <v>53</v>
      </c>
      <c r="D97" s="2" t="s">
        <v>54</v>
      </c>
      <c r="E97" s="2" t="s">
        <v>37</v>
      </c>
      <c r="F97" s="2" t="s">
        <v>37</v>
      </c>
      <c r="G97" s="14">
        <v>101.524</v>
      </c>
      <c r="H97" s="15">
        <v>200</v>
      </c>
      <c r="I97" s="8">
        <v>-20304.8</v>
      </c>
      <c r="J97" s="8">
        <v>0</v>
      </c>
      <c r="K97" s="8">
        <v>0</v>
      </c>
    </row>
    <row r="98" spans="1:11" x14ac:dyDescent="0.2">
      <c r="A98" s="2">
        <v>-1</v>
      </c>
      <c r="B98" s="7">
        <v>42578</v>
      </c>
      <c r="C98" s="2" t="s">
        <v>53</v>
      </c>
      <c r="D98" s="2" t="s">
        <v>54</v>
      </c>
      <c r="E98" s="2" t="s">
        <v>40</v>
      </c>
      <c r="F98" s="2" t="s">
        <v>40</v>
      </c>
      <c r="G98" s="14">
        <v>101.55800000000001</v>
      </c>
      <c r="H98" s="15">
        <v>-300</v>
      </c>
      <c r="I98" s="8">
        <v>30467.4</v>
      </c>
      <c r="J98" s="8">
        <v>0</v>
      </c>
      <c r="K98" s="8">
        <v>0</v>
      </c>
    </row>
    <row r="99" spans="1:11" x14ac:dyDescent="0.2">
      <c r="A99" s="2">
        <v>-1</v>
      </c>
      <c r="B99" s="7">
        <v>42580</v>
      </c>
      <c r="C99" s="2" t="s">
        <v>53</v>
      </c>
      <c r="D99" s="2" t="s">
        <v>54</v>
      </c>
      <c r="E99" s="2" t="s">
        <v>37</v>
      </c>
      <c r="F99" s="2" t="s">
        <v>37</v>
      </c>
      <c r="G99" s="14">
        <v>101.596</v>
      </c>
      <c r="H99" s="15">
        <v>300</v>
      </c>
      <c r="I99" s="8">
        <v>-30478.800000000003</v>
      </c>
      <c r="J99" s="8">
        <v>0</v>
      </c>
      <c r="K99" s="8">
        <v>0</v>
      </c>
    </row>
    <row r="100" spans="1:11" x14ac:dyDescent="0.2">
      <c r="A100" s="2">
        <v>-1</v>
      </c>
      <c r="B100" s="7">
        <v>42580</v>
      </c>
      <c r="C100" s="2" t="s">
        <v>58</v>
      </c>
      <c r="D100" s="2" t="s">
        <v>59</v>
      </c>
      <c r="E100" s="2" t="s">
        <v>37</v>
      </c>
      <c r="F100" s="2" t="s">
        <v>37</v>
      </c>
      <c r="G100" s="14">
        <v>0.55700000000000005</v>
      </c>
      <c r="H100" s="15">
        <v>36000</v>
      </c>
      <c r="I100" s="8">
        <v>-20052.000000000004</v>
      </c>
      <c r="J100" s="8">
        <v>0</v>
      </c>
      <c r="K100" s="8">
        <v>4.21</v>
      </c>
    </row>
    <row r="101" spans="1:11" x14ac:dyDescent="0.2">
      <c r="A101" s="2">
        <v>-1</v>
      </c>
      <c r="B101" s="7">
        <v>42584</v>
      </c>
      <c r="C101" s="2" t="s">
        <v>53</v>
      </c>
      <c r="D101" s="2">
        <v>511880</v>
      </c>
      <c r="E101" s="2" t="s">
        <v>40</v>
      </c>
      <c r="F101" s="2" t="s">
        <v>40</v>
      </c>
      <c r="G101" s="14">
        <v>101.61199999999999</v>
      </c>
      <c r="H101" s="15">
        <v>-1000</v>
      </c>
      <c r="I101" s="8">
        <v>101612</v>
      </c>
      <c r="J101" s="8">
        <v>0</v>
      </c>
      <c r="K101" s="8">
        <v>0</v>
      </c>
    </row>
    <row r="102" spans="1:11" x14ac:dyDescent="0.2">
      <c r="A102" s="2">
        <v>-1</v>
      </c>
      <c r="B102" s="7">
        <v>42584</v>
      </c>
      <c r="C102" s="2" t="s">
        <v>64</v>
      </c>
      <c r="D102" s="2">
        <v>511010</v>
      </c>
      <c r="E102" s="2" t="s">
        <v>37</v>
      </c>
      <c r="F102" s="2" t="s">
        <v>37</v>
      </c>
      <c r="G102" s="14">
        <v>112.709</v>
      </c>
      <c r="H102" s="15">
        <v>900</v>
      </c>
      <c r="I102" s="8">
        <v>-101438.1</v>
      </c>
      <c r="J102" s="8">
        <v>0</v>
      </c>
      <c r="K102" s="8">
        <v>0</v>
      </c>
    </row>
    <row r="103" spans="1:11" x14ac:dyDescent="0.2">
      <c r="A103" s="2">
        <v>-1</v>
      </c>
      <c r="B103" s="7">
        <v>42584</v>
      </c>
      <c r="C103" s="2" t="s">
        <v>53</v>
      </c>
      <c r="D103" s="2">
        <v>511880</v>
      </c>
      <c r="E103" s="2" t="s">
        <v>40</v>
      </c>
      <c r="F103" s="2" t="s">
        <v>40</v>
      </c>
      <c r="G103" s="14">
        <v>101.61499999999999</v>
      </c>
      <c r="H103" s="15">
        <v>-1000</v>
      </c>
      <c r="I103" s="8">
        <v>101615</v>
      </c>
      <c r="J103" s="8">
        <v>0</v>
      </c>
      <c r="K103" s="8">
        <v>0</v>
      </c>
    </row>
    <row r="104" spans="1:11" x14ac:dyDescent="0.2">
      <c r="A104" s="2">
        <v>-1</v>
      </c>
      <c r="B104" s="7">
        <v>42584</v>
      </c>
      <c r="C104" s="2" t="s">
        <v>64</v>
      </c>
      <c r="D104" s="2">
        <v>511010</v>
      </c>
      <c r="E104" s="2" t="s">
        <v>37</v>
      </c>
      <c r="F104" s="2" t="s">
        <v>37</v>
      </c>
      <c r="G104" s="14">
        <v>112.64100000000001</v>
      </c>
      <c r="H104" s="15">
        <v>900</v>
      </c>
      <c r="I104" s="8">
        <v>-101376.9</v>
      </c>
      <c r="J104" s="8">
        <v>0</v>
      </c>
      <c r="K104" s="8">
        <v>0</v>
      </c>
    </row>
    <row r="105" spans="1:11" x14ac:dyDescent="0.2">
      <c r="A105" s="2">
        <v>-1</v>
      </c>
      <c r="B105" s="7">
        <v>42584</v>
      </c>
      <c r="C105" s="2" t="s">
        <v>53</v>
      </c>
      <c r="D105" s="2">
        <v>511880</v>
      </c>
      <c r="E105" s="2" t="s">
        <v>40</v>
      </c>
      <c r="F105" s="2" t="s">
        <v>40</v>
      </c>
      <c r="G105" s="14">
        <v>101.616</v>
      </c>
      <c r="H105" s="15">
        <v>-100</v>
      </c>
      <c r="I105" s="8">
        <v>10161.6</v>
      </c>
      <c r="J105" s="8">
        <v>0</v>
      </c>
      <c r="K105" s="8">
        <v>0</v>
      </c>
    </row>
    <row r="106" spans="1:11" x14ac:dyDescent="0.2">
      <c r="A106" s="2">
        <v>-1</v>
      </c>
      <c r="B106" s="7">
        <v>42584</v>
      </c>
      <c r="C106" s="2" t="s">
        <v>65</v>
      </c>
      <c r="D106" s="2">
        <v>501018</v>
      </c>
      <c r="E106" s="2" t="s">
        <v>37</v>
      </c>
      <c r="F106" s="2" t="s">
        <v>37</v>
      </c>
      <c r="G106" s="14">
        <v>0.9</v>
      </c>
      <c r="H106" s="15">
        <v>3700</v>
      </c>
      <c r="I106" s="8">
        <v>-3330.7</v>
      </c>
      <c r="J106" s="8">
        <v>0</v>
      </c>
      <c r="K106" s="8">
        <v>0.7</v>
      </c>
    </row>
    <row r="107" spans="1:11" x14ac:dyDescent="0.2">
      <c r="A107" s="2">
        <v>-1</v>
      </c>
      <c r="B107" s="7">
        <v>42587</v>
      </c>
      <c r="C107" s="2" t="s">
        <v>65</v>
      </c>
      <c r="D107" s="2">
        <v>501018</v>
      </c>
      <c r="E107" s="2" t="s">
        <v>37</v>
      </c>
      <c r="F107" s="2" t="s">
        <v>37</v>
      </c>
      <c r="G107" s="14">
        <v>0.88300000000000001</v>
      </c>
      <c r="H107" s="15">
        <v>2000</v>
      </c>
      <c r="I107" s="8">
        <v>-1766.37</v>
      </c>
      <c r="J107" s="8">
        <v>0</v>
      </c>
      <c r="K107" s="8">
        <v>0.37</v>
      </c>
    </row>
    <row r="108" spans="1:11" x14ac:dyDescent="0.2">
      <c r="A108" s="2">
        <v>-1</v>
      </c>
      <c r="B108" s="7">
        <v>42592</v>
      </c>
      <c r="C108" s="2" t="s">
        <v>53</v>
      </c>
      <c r="D108" s="2">
        <v>511880</v>
      </c>
      <c r="E108" s="2" t="s">
        <v>40</v>
      </c>
      <c r="F108" s="2" t="s">
        <v>40</v>
      </c>
      <c r="G108" s="14">
        <v>101.667</v>
      </c>
      <c r="H108" s="15">
        <v>-1000</v>
      </c>
      <c r="I108" s="8">
        <v>101667</v>
      </c>
      <c r="J108" s="8">
        <v>0</v>
      </c>
      <c r="K108" s="8">
        <v>0</v>
      </c>
    </row>
    <row r="109" spans="1:11" x14ac:dyDescent="0.2">
      <c r="A109" s="2">
        <v>-1</v>
      </c>
      <c r="B109" s="7">
        <v>42593</v>
      </c>
      <c r="C109" s="2" t="s">
        <v>64</v>
      </c>
      <c r="D109" s="2">
        <v>511010</v>
      </c>
      <c r="E109" s="2" t="s">
        <v>37</v>
      </c>
      <c r="F109" s="2" t="s">
        <v>37</v>
      </c>
      <c r="G109" s="14">
        <v>113.163</v>
      </c>
      <c r="H109" s="15">
        <v>900</v>
      </c>
      <c r="I109" s="8">
        <v>-101846.7</v>
      </c>
      <c r="J109" s="8">
        <v>0</v>
      </c>
      <c r="K109" s="8">
        <v>0</v>
      </c>
    </row>
    <row r="110" spans="1:11" x14ac:dyDescent="0.2">
      <c r="A110" s="2">
        <v>-1</v>
      </c>
      <c r="B110" s="7">
        <v>42594</v>
      </c>
      <c r="C110" s="2" t="s">
        <v>58</v>
      </c>
      <c r="D110" s="2">
        <v>162411</v>
      </c>
      <c r="E110" s="2" t="s">
        <v>40</v>
      </c>
      <c r="F110" s="2" t="s">
        <v>40</v>
      </c>
      <c r="G110" s="14">
        <v>0.58899999999999997</v>
      </c>
      <c r="H110" s="15">
        <v>-72000</v>
      </c>
      <c r="I110" s="8">
        <v>42399.09</v>
      </c>
      <c r="J110" s="8">
        <v>0</v>
      </c>
      <c r="K110" s="8">
        <v>8.91</v>
      </c>
    </row>
    <row r="111" spans="1:11" x14ac:dyDescent="0.2">
      <c r="A111" s="2">
        <v>-1</v>
      </c>
      <c r="B111" s="7">
        <v>42594</v>
      </c>
      <c r="C111" s="2" t="s">
        <v>64</v>
      </c>
      <c r="D111" s="2">
        <v>511010</v>
      </c>
      <c r="E111" s="2" t="s">
        <v>37</v>
      </c>
      <c r="F111" s="2" t="s">
        <v>37</v>
      </c>
      <c r="G111" s="14">
        <v>113.02200000000001</v>
      </c>
      <c r="H111" s="15">
        <v>300</v>
      </c>
      <c r="I111" s="8">
        <v>-33906.6</v>
      </c>
      <c r="J111" s="8">
        <v>0</v>
      </c>
      <c r="K111" s="8">
        <v>0</v>
      </c>
    </row>
    <row r="112" spans="1:11" x14ac:dyDescent="0.2">
      <c r="A112" s="2">
        <v>-1</v>
      </c>
      <c r="B112" s="7">
        <v>42597</v>
      </c>
      <c r="C112" s="2" t="s">
        <v>64</v>
      </c>
      <c r="D112" s="2">
        <v>511010</v>
      </c>
      <c r="E112" s="2" t="s">
        <v>37</v>
      </c>
      <c r="F112" s="2" t="s">
        <v>37</v>
      </c>
      <c r="G112" s="14">
        <v>112.877</v>
      </c>
      <c r="H112" s="15">
        <v>100</v>
      </c>
      <c r="I112" s="8">
        <v>-11287.7</v>
      </c>
      <c r="J112" s="8">
        <v>0</v>
      </c>
      <c r="K112" s="8">
        <v>0</v>
      </c>
    </row>
    <row r="113" spans="1:11" x14ac:dyDescent="0.2">
      <c r="A113" s="2">
        <v>-1</v>
      </c>
      <c r="B113" s="7">
        <v>42601</v>
      </c>
      <c r="C113" s="2" t="s">
        <v>64</v>
      </c>
      <c r="D113" s="2">
        <v>511010</v>
      </c>
      <c r="E113" s="2" t="s">
        <v>37</v>
      </c>
      <c r="F113" s="2" t="s">
        <v>37</v>
      </c>
      <c r="G113" s="14">
        <v>112.907</v>
      </c>
      <c r="H113" s="15">
        <v>100</v>
      </c>
      <c r="I113" s="8">
        <v>-11290.7</v>
      </c>
      <c r="J113" s="8">
        <v>0</v>
      </c>
      <c r="K113" s="8">
        <v>0</v>
      </c>
    </row>
    <row r="114" spans="1:11" x14ac:dyDescent="0.2">
      <c r="A114" s="2">
        <v>-1</v>
      </c>
      <c r="B114" s="7">
        <v>42639</v>
      </c>
      <c r="C114" s="2" t="s">
        <v>58</v>
      </c>
      <c r="D114" s="2">
        <v>162411</v>
      </c>
      <c r="E114" s="2" t="s">
        <v>37</v>
      </c>
      <c r="F114" s="2" t="s">
        <v>37</v>
      </c>
      <c r="G114" s="14">
        <v>0.60199999999999998</v>
      </c>
      <c r="H114" s="15">
        <v>5500</v>
      </c>
      <c r="I114" s="8">
        <v>-3311.7</v>
      </c>
      <c r="J114" s="8">
        <v>0</v>
      </c>
      <c r="K114" s="8">
        <v>0.7</v>
      </c>
    </row>
    <row r="115" spans="1:11" x14ac:dyDescent="0.2">
      <c r="A115" s="2">
        <v>-1</v>
      </c>
      <c r="B115" s="7">
        <v>42642</v>
      </c>
      <c r="C115" s="2" t="s">
        <v>65</v>
      </c>
      <c r="D115" s="2">
        <v>501018</v>
      </c>
      <c r="E115" s="2" t="s">
        <v>40</v>
      </c>
      <c r="F115" s="2" t="s">
        <v>40</v>
      </c>
      <c r="G115" s="14">
        <v>0.93</v>
      </c>
      <c r="H115" s="15">
        <v>-5700</v>
      </c>
      <c r="I115" s="8">
        <v>5299.89</v>
      </c>
      <c r="J115" s="8">
        <v>0</v>
      </c>
      <c r="K115" s="8">
        <v>1.1100000000000001</v>
      </c>
    </row>
    <row r="116" spans="1:11" x14ac:dyDescent="0.2">
      <c r="A116" s="2">
        <v>-1</v>
      </c>
      <c r="B116" s="7">
        <v>42653</v>
      </c>
      <c r="C116" s="2" t="s">
        <v>58</v>
      </c>
      <c r="D116" s="2">
        <v>162411</v>
      </c>
      <c r="E116" s="2" t="s">
        <v>40</v>
      </c>
      <c r="F116" s="2" t="s">
        <v>40</v>
      </c>
      <c r="G116" s="14">
        <v>0.63200000000000001</v>
      </c>
      <c r="H116" s="15">
        <v>-5500</v>
      </c>
      <c r="I116" s="8">
        <v>3475.27</v>
      </c>
      <c r="J116" s="8">
        <v>0</v>
      </c>
      <c r="K116" s="8">
        <v>0.73</v>
      </c>
    </row>
    <row r="117" spans="1:11" x14ac:dyDescent="0.2">
      <c r="A117" s="2">
        <v>-1</v>
      </c>
      <c r="B117" s="7">
        <v>42668</v>
      </c>
      <c r="C117" s="2" t="s">
        <v>64</v>
      </c>
      <c r="D117" s="2">
        <v>511010</v>
      </c>
      <c r="E117" s="2" t="s">
        <v>37</v>
      </c>
      <c r="F117" s="2" t="s">
        <v>37</v>
      </c>
      <c r="G117" s="14">
        <v>113.702</v>
      </c>
      <c r="H117" s="15">
        <v>200</v>
      </c>
      <c r="I117" s="8">
        <v>-22740.400000000001</v>
      </c>
      <c r="J117" s="8">
        <v>0</v>
      </c>
      <c r="K117" s="8">
        <v>0</v>
      </c>
    </row>
    <row r="118" spans="1:11" x14ac:dyDescent="0.2">
      <c r="A118" s="2">
        <v>-1</v>
      </c>
      <c r="B118" s="7">
        <v>42677</v>
      </c>
      <c r="C118" s="2" t="s">
        <v>64</v>
      </c>
      <c r="D118" s="2">
        <v>511010</v>
      </c>
      <c r="E118" s="2" t="s">
        <v>40</v>
      </c>
      <c r="F118" s="2" t="s">
        <v>40</v>
      </c>
      <c r="G118" s="14">
        <v>113.446</v>
      </c>
      <c r="H118" s="15">
        <v>-900</v>
      </c>
      <c r="I118" s="8">
        <v>102101.4</v>
      </c>
      <c r="J118" s="8">
        <v>0</v>
      </c>
      <c r="K118" s="8">
        <v>0</v>
      </c>
    </row>
    <row r="119" spans="1:11" x14ac:dyDescent="0.2">
      <c r="A119" s="2">
        <v>-1</v>
      </c>
      <c r="B119" s="7">
        <v>42682</v>
      </c>
      <c r="C119" s="2" t="s">
        <v>58</v>
      </c>
      <c r="D119" s="2">
        <v>162411</v>
      </c>
      <c r="E119" s="2" t="s">
        <v>37</v>
      </c>
      <c r="F119" s="2" t="s">
        <v>37</v>
      </c>
      <c r="G119" s="14">
        <v>0.60199999999999998</v>
      </c>
      <c r="H119" s="15">
        <v>167000</v>
      </c>
      <c r="I119" s="8">
        <v>-100555.11</v>
      </c>
      <c r="J119" s="8">
        <v>0</v>
      </c>
      <c r="K119" s="8">
        <v>21.11</v>
      </c>
    </row>
    <row r="120" spans="1:11" x14ac:dyDescent="0.2">
      <c r="A120" s="2">
        <v>-1</v>
      </c>
      <c r="B120" s="7">
        <v>42683</v>
      </c>
      <c r="C120" s="2" t="s">
        <v>58</v>
      </c>
      <c r="D120" s="2">
        <v>162411</v>
      </c>
      <c r="E120" s="2" t="s">
        <v>37</v>
      </c>
      <c r="F120" s="2" t="s">
        <v>37</v>
      </c>
      <c r="G120" s="14">
        <v>0.58499999999999996</v>
      </c>
      <c r="H120" s="15">
        <v>74900</v>
      </c>
      <c r="I120" s="8">
        <v>-43825.7</v>
      </c>
      <c r="J120" s="8">
        <v>0</v>
      </c>
      <c r="K120" s="8">
        <v>9.1999999999999993</v>
      </c>
    </row>
    <row r="121" spans="1:11" x14ac:dyDescent="0.2">
      <c r="A121" s="2">
        <v>-1</v>
      </c>
      <c r="B121" s="7">
        <v>42683</v>
      </c>
      <c r="C121" s="2" t="s">
        <v>64</v>
      </c>
      <c r="D121" s="2">
        <v>511010</v>
      </c>
      <c r="E121" s="2" t="s">
        <v>40</v>
      </c>
      <c r="F121" s="2" t="s">
        <v>40</v>
      </c>
      <c r="G121" s="14">
        <v>113.524</v>
      </c>
      <c r="H121" s="15">
        <v>-900</v>
      </c>
      <c r="I121" s="8">
        <v>102171.6</v>
      </c>
      <c r="J121" s="8">
        <v>0</v>
      </c>
      <c r="K121" s="8">
        <v>0</v>
      </c>
    </row>
    <row r="122" spans="1:11" x14ac:dyDescent="0.2">
      <c r="A122" s="2">
        <v>-1</v>
      </c>
      <c r="B122" s="7">
        <v>42690</v>
      </c>
      <c r="C122" s="2" t="s">
        <v>53</v>
      </c>
      <c r="D122" s="2">
        <v>511880</v>
      </c>
      <c r="E122" s="2" t="s">
        <v>40</v>
      </c>
      <c r="F122" s="2" t="s">
        <v>40</v>
      </c>
      <c r="G122" s="14">
        <v>102.322</v>
      </c>
      <c r="H122" s="15">
        <v>-1000</v>
      </c>
      <c r="I122" s="8">
        <v>102322</v>
      </c>
      <c r="J122" s="8">
        <v>0</v>
      </c>
      <c r="K122" s="8">
        <v>0</v>
      </c>
    </row>
    <row r="123" spans="1:11" x14ac:dyDescent="0.2">
      <c r="A123" s="2">
        <v>-1</v>
      </c>
      <c r="B123" s="7">
        <v>42690</v>
      </c>
      <c r="C123" s="2" t="s">
        <v>64</v>
      </c>
      <c r="D123" s="2">
        <v>511010</v>
      </c>
      <c r="E123" s="2" t="s">
        <v>40</v>
      </c>
      <c r="F123" s="2" t="s">
        <v>40</v>
      </c>
      <c r="G123" s="14">
        <v>112.91500000000001</v>
      </c>
      <c r="H123" s="15">
        <v>-1600</v>
      </c>
      <c r="I123" s="8">
        <v>180664</v>
      </c>
      <c r="J123" s="8">
        <v>0</v>
      </c>
      <c r="K123" s="8">
        <v>0</v>
      </c>
    </row>
    <row r="124" spans="1:11" x14ac:dyDescent="0.2">
      <c r="A124" s="2">
        <v>-1</v>
      </c>
      <c r="B124" s="7">
        <v>42690</v>
      </c>
      <c r="C124" s="2" t="s">
        <v>53</v>
      </c>
      <c r="D124" s="2">
        <v>511880</v>
      </c>
      <c r="E124" s="2" t="s">
        <v>37</v>
      </c>
      <c r="F124" s="2" t="s">
        <v>37</v>
      </c>
      <c r="G124" s="14">
        <v>102.324</v>
      </c>
      <c r="H124" s="15">
        <v>1000</v>
      </c>
      <c r="I124" s="8">
        <v>-102324</v>
      </c>
      <c r="J124" s="8">
        <v>0</v>
      </c>
      <c r="K124" s="8">
        <v>0</v>
      </c>
    </row>
    <row r="125" spans="1:11" x14ac:dyDescent="0.2">
      <c r="A125" s="2">
        <v>-1</v>
      </c>
      <c r="B125" s="7">
        <v>42690</v>
      </c>
      <c r="C125" s="2" t="s">
        <v>58</v>
      </c>
      <c r="D125" s="2">
        <v>162411</v>
      </c>
      <c r="E125" s="2" t="s">
        <v>40</v>
      </c>
      <c r="F125" s="2" t="s">
        <v>40</v>
      </c>
      <c r="G125" s="14">
        <v>0.64500000000000002</v>
      </c>
      <c r="H125" s="15">
        <v>-156000</v>
      </c>
      <c r="I125" s="8">
        <v>100598.87</v>
      </c>
      <c r="J125" s="8">
        <v>0</v>
      </c>
      <c r="K125" s="8">
        <v>21.13</v>
      </c>
    </row>
    <row r="126" spans="1:11" x14ac:dyDescent="0.2">
      <c r="A126" s="2">
        <v>-1</v>
      </c>
      <c r="B126" s="7">
        <v>42690</v>
      </c>
      <c r="C126" s="2" t="s">
        <v>66</v>
      </c>
      <c r="D126" s="2">
        <v>940037</v>
      </c>
      <c r="E126" s="2" t="s">
        <v>67</v>
      </c>
      <c r="F126" s="2" t="s">
        <v>67</v>
      </c>
      <c r="G126" s="14">
        <v>1</v>
      </c>
      <c r="H126" s="15">
        <v>0</v>
      </c>
      <c r="I126" s="8">
        <v>-340000</v>
      </c>
      <c r="J126" s="8">
        <v>0</v>
      </c>
      <c r="K126" s="8">
        <v>0</v>
      </c>
    </row>
    <row r="127" spans="1:11" x14ac:dyDescent="0.2">
      <c r="A127" s="2">
        <v>-1</v>
      </c>
      <c r="B127" s="7">
        <v>42691</v>
      </c>
      <c r="C127" s="2" t="s">
        <v>58</v>
      </c>
      <c r="D127" s="2">
        <v>162411</v>
      </c>
      <c r="E127" s="2" t="s">
        <v>40</v>
      </c>
      <c r="F127" s="2" t="s">
        <v>40</v>
      </c>
      <c r="G127" s="14">
        <v>0.64700000000000002</v>
      </c>
      <c r="H127" s="15">
        <v>-85900</v>
      </c>
      <c r="I127" s="8">
        <v>55565.63</v>
      </c>
      <c r="J127" s="8">
        <v>0</v>
      </c>
      <c r="K127" s="8">
        <v>11.67</v>
      </c>
    </row>
    <row r="128" spans="1:11" x14ac:dyDescent="0.2">
      <c r="A128" s="2">
        <v>-1</v>
      </c>
      <c r="B128" s="7">
        <v>42691</v>
      </c>
      <c r="C128" s="2" t="s">
        <v>53</v>
      </c>
      <c r="D128" s="2">
        <v>511880</v>
      </c>
      <c r="E128" s="2" t="s">
        <v>37</v>
      </c>
      <c r="F128" s="2" t="s">
        <v>37</v>
      </c>
      <c r="G128" s="14">
        <v>102.32899999999999</v>
      </c>
      <c r="H128" s="15">
        <v>500</v>
      </c>
      <c r="I128" s="8">
        <v>-51164.5</v>
      </c>
      <c r="J128" s="8">
        <v>0</v>
      </c>
      <c r="K128" s="8">
        <v>0</v>
      </c>
    </row>
    <row r="129" spans="1:11" x14ac:dyDescent="0.2">
      <c r="A129" s="2">
        <v>-1</v>
      </c>
      <c r="B129" s="7">
        <v>42696</v>
      </c>
      <c r="C129" s="2" t="s">
        <v>66</v>
      </c>
      <c r="D129" s="2">
        <v>940037</v>
      </c>
      <c r="E129" s="2" t="s">
        <v>67</v>
      </c>
      <c r="F129" s="2" t="s">
        <v>67</v>
      </c>
      <c r="G129" s="14">
        <v>1</v>
      </c>
      <c r="H129" s="15">
        <v>0</v>
      </c>
      <c r="I129" s="8">
        <v>-10000</v>
      </c>
      <c r="J129" s="8">
        <v>0</v>
      </c>
      <c r="K129" s="8">
        <v>0</v>
      </c>
    </row>
    <row r="130" spans="1:11" x14ac:dyDescent="0.2">
      <c r="A130" s="2">
        <v>-1</v>
      </c>
      <c r="B130" s="7">
        <v>42696</v>
      </c>
      <c r="C130" s="2" t="s">
        <v>53</v>
      </c>
      <c r="D130" s="2">
        <v>511880</v>
      </c>
      <c r="E130" s="2" t="s">
        <v>37</v>
      </c>
      <c r="F130" s="2" t="s">
        <v>37</v>
      </c>
      <c r="G130" s="14">
        <v>102.367</v>
      </c>
      <c r="H130" s="15">
        <v>100</v>
      </c>
      <c r="I130" s="8">
        <v>-10236.700000000001</v>
      </c>
      <c r="J130" s="8">
        <v>0</v>
      </c>
      <c r="K130" s="8">
        <v>0</v>
      </c>
    </row>
    <row r="131" spans="1:11" x14ac:dyDescent="0.2">
      <c r="A131" s="2">
        <v>-1</v>
      </c>
      <c r="B131" s="7">
        <v>42724</v>
      </c>
      <c r="C131" s="2" t="s">
        <v>68</v>
      </c>
      <c r="D131" s="2">
        <v>940018</v>
      </c>
      <c r="E131" s="2" t="s">
        <v>67</v>
      </c>
      <c r="F131" s="2" t="s">
        <v>67</v>
      </c>
      <c r="G131" s="14">
        <v>1</v>
      </c>
      <c r="H131" s="15">
        <v>0</v>
      </c>
      <c r="I131" s="8">
        <v>-99017.26</v>
      </c>
      <c r="J131" s="8">
        <v>0</v>
      </c>
      <c r="K131" s="8">
        <v>0</v>
      </c>
    </row>
    <row r="132" spans="1:11" x14ac:dyDescent="0.2">
      <c r="A132" s="2">
        <v>-1</v>
      </c>
      <c r="B132" s="7">
        <v>42724</v>
      </c>
      <c r="C132" s="2" t="s">
        <v>53</v>
      </c>
      <c r="D132" s="2">
        <v>511880</v>
      </c>
      <c r="E132" s="2" t="s">
        <v>40</v>
      </c>
      <c r="F132" s="2" t="s">
        <v>40</v>
      </c>
      <c r="G132" s="14">
        <v>102.497</v>
      </c>
      <c r="H132" s="15">
        <v>-900</v>
      </c>
      <c r="I132" s="8">
        <v>92247.3</v>
      </c>
      <c r="J132" s="8">
        <v>0</v>
      </c>
      <c r="K132" s="8">
        <v>0</v>
      </c>
    </row>
    <row r="133" spans="1:11" x14ac:dyDescent="0.2">
      <c r="A133" s="2">
        <v>-1</v>
      </c>
      <c r="B133" s="7">
        <v>42725</v>
      </c>
      <c r="C133" s="2" t="s">
        <v>56</v>
      </c>
      <c r="D133" s="2">
        <v>159920</v>
      </c>
      <c r="E133" s="2" t="s">
        <v>37</v>
      </c>
      <c r="F133" s="2" t="s">
        <v>37</v>
      </c>
      <c r="G133" s="14">
        <v>1.204</v>
      </c>
      <c r="H133" s="15">
        <v>19000</v>
      </c>
      <c r="I133" s="8">
        <v>-22880.58</v>
      </c>
      <c r="J133" s="8">
        <v>0</v>
      </c>
      <c r="K133" s="8">
        <v>4.58</v>
      </c>
    </row>
    <row r="134" spans="1:11" x14ac:dyDescent="0.2">
      <c r="A134" s="2">
        <v>-1</v>
      </c>
      <c r="B134" s="7">
        <v>42725</v>
      </c>
      <c r="C134" s="2" t="s">
        <v>56</v>
      </c>
      <c r="D134" s="2">
        <v>159920</v>
      </c>
      <c r="E134" s="2" t="s">
        <v>37</v>
      </c>
      <c r="F134" s="2" t="s">
        <v>37</v>
      </c>
      <c r="G134" s="14">
        <v>1.206</v>
      </c>
      <c r="H134" s="15">
        <v>19000</v>
      </c>
      <c r="I134" s="8">
        <v>-22918.58</v>
      </c>
      <c r="J134" s="8">
        <v>0</v>
      </c>
      <c r="K134" s="8">
        <v>4.58</v>
      </c>
    </row>
    <row r="135" spans="1:11" x14ac:dyDescent="0.2">
      <c r="A135" s="2">
        <v>-1</v>
      </c>
      <c r="B135" s="7">
        <v>42725</v>
      </c>
      <c r="C135" s="2" t="s">
        <v>68</v>
      </c>
      <c r="D135" s="2">
        <v>940018</v>
      </c>
      <c r="E135" s="2" t="s">
        <v>67</v>
      </c>
      <c r="F135" s="2" t="s">
        <v>67</v>
      </c>
      <c r="G135" s="14">
        <v>1</v>
      </c>
      <c r="H135" s="15">
        <v>0</v>
      </c>
      <c r="I135" s="8">
        <v>-191178</v>
      </c>
      <c r="J135" s="8">
        <v>0</v>
      </c>
      <c r="K135" s="8">
        <v>0</v>
      </c>
    </row>
    <row r="136" spans="1:11" x14ac:dyDescent="0.2">
      <c r="A136" s="2">
        <v>-1</v>
      </c>
      <c r="B136" s="7">
        <v>42725</v>
      </c>
      <c r="C136" s="2" t="s">
        <v>56</v>
      </c>
      <c r="D136" s="2">
        <v>159920</v>
      </c>
      <c r="E136" s="2" t="s">
        <v>37</v>
      </c>
      <c r="F136" s="2" t="s">
        <v>37</v>
      </c>
      <c r="G136" s="14">
        <v>1.2050000000000001</v>
      </c>
      <c r="H136" s="15">
        <v>19000</v>
      </c>
      <c r="I136" s="8">
        <v>-22899.58</v>
      </c>
      <c r="J136" s="8">
        <v>0</v>
      </c>
      <c r="K136" s="8">
        <v>4.58</v>
      </c>
    </row>
    <row r="137" spans="1:11" x14ac:dyDescent="0.2">
      <c r="A137" s="2">
        <v>-1</v>
      </c>
      <c r="B137" s="7">
        <v>42726</v>
      </c>
      <c r="C137" s="2" t="s">
        <v>61</v>
      </c>
      <c r="D137" s="2">
        <v>510900</v>
      </c>
      <c r="E137" s="2" t="s">
        <v>37</v>
      </c>
      <c r="F137" s="2" t="s">
        <v>37</v>
      </c>
      <c r="G137" s="14">
        <v>1.036</v>
      </c>
      <c r="H137" s="15">
        <v>22000</v>
      </c>
      <c r="I137" s="8">
        <v>-22792</v>
      </c>
      <c r="J137" s="8">
        <v>0</v>
      </c>
      <c r="K137" s="8">
        <v>4.5599999999999996</v>
      </c>
    </row>
    <row r="138" spans="1:11" x14ac:dyDescent="0.2">
      <c r="A138" s="2">
        <v>-1</v>
      </c>
      <c r="B138" s="7">
        <v>42726</v>
      </c>
      <c r="C138" s="2" t="s">
        <v>61</v>
      </c>
      <c r="D138" s="2">
        <v>510900</v>
      </c>
      <c r="E138" s="2" t="s">
        <v>37</v>
      </c>
      <c r="F138" s="2" t="s">
        <v>37</v>
      </c>
      <c r="G138" s="14">
        <v>1.034</v>
      </c>
      <c r="H138" s="15">
        <v>10000</v>
      </c>
      <c r="I138" s="8">
        <v>-10340</v>
      </c>
      <c r="J138" s="8">
        <v>0</v>
      </c>
      <c r="K138" s="8">
        <v>2.0699999999999998</v>
      </c>
    </row>
    <row r="139" spans="1:11" x14ac:dyDescent="0.2">
      <c r="A139" s="2">
        <v>-1</v>
      </c>
      <c r="B139" s="7">
        <v>42726</v>
      </c>
      <c r="C139" s="2" t="s">
        <v>68</v>
      </c>
      <c r="D139" s="2">
        <v>940018</v>
      </c>
      <c r="E139" s="2" t="s">
        <v>67</v>
      </c>
      <c r="F139" s="2" t="s">
        <v>67</v>
      </c>
      <c r="G139" s="14">
        <v>1</v>
      </c>
      <c r="H139" s="15">
        <v>0</v>
      </c>
      <c r="I139" s="8">
        <v>-58192.19</v>
      </c>
      <c r="J139" s="8">
        <v>0</v>
      </c>
      <c r="K139" s="8">
        <v>0</v>
      </c>
    </row>
    <row r="140" spans="1:11" x14ac:dyDescent="0.2">
      <c r="A140" s="2">
        <v>-1</v>
      </c>
      <c r="B140" s="7">
        <v>42727</v>
      </c>
      <c r="C140" s="2" t="s">
        <v>68</v>
      </c>
      <c r="D140" s="2">
        <v>940018</v>
      </c>
      <c r="E140" s="2" t="s">
        <v>67</v>
      </c>
      <c r="F140" s="2" t="s">
        <v>67</v>
      </c>
      <c r="G140" s="14">
        <v>1</v>
      </c>
      <c r="H140" s="15">
        <v>0</v>
      </c>
      <c r="I140" s="8">
        <v>-1</v>
      </c>
      <c r="J140" s="8">
        <v>0</v>
      </c>
      <c r="K140" s="8">
        <v>0</v>
      </c>
    </row>
    <row r="141" spans="1:11" x14ac:dyDescent="0.2">
      <c r="A141" s="2">
        <v>-1</v>
      </c>
      <c r="B141" s="7">
        <v>42731</v>
      </c>
      <c r="C141" s="2" t="s">
        <v>68</v>
      </c>
      <c r="D141" s="2">
        <v>940018</v>
      </c>
      <c r="E141" s="2" t="s">
        <v>67</v>
      </c>
      <c r="F141" s="2" t="s">
        <v>67</v>
      </c>
      <c r="G141" s="14">
        <v>1</v>
      </c>
      <c r="H141" s="15">
        <v>0</v>
      </c>
      <c r="I141" s="8">
        <v>-48373.14</v>
      </c>
      <c r="J141" s="8">
        <v>0</v>
      </c>
      <c r="K141" s="8">
        <v>0</v>
      </c>
    </row>
    <row r="142" spans="1:11" x14ac:dyDescent="0.2">
      <c r="A142" s="2">
        <v>-1</v>
      </c>
      <c r="B142" s="7">
        <v>42731</v>
      </c>
      <c r="C142" s="2" t="s">
        <v>68</v>
      </c>
      <c r="D142" s="2">
        <v>940018</v>
      </c>
      <c r="E142" s="2" t="s">
        <v>67</v>
      </c>
      <c r="F142" s="2" t="s">
        <v>67</v>
      </c>
      <c r="G142" s="14">
        <v>1</v>
      </c>
      <c r="H142" s="15">
        <v>348389</v>
      </c>
      <c r="I142" s="8">
        <v>348389.14</v>
      </c>
      <c r="J142" s="8">
        <v>0</v>
      </c>
      <c r="K142" s="8">
        <v>0</v>
      </c>
    </row>
    <row r="143" spans="1:11" x14ac:dyDescent="0.2">
      <c r="A143" s="2">
        <v>-1</v>
      </c>
      <c r="B143" s="7">
        <v>42731</v>
      </c>
      <c r="C143" s="2" t="s">
        <v>69</v>
      </c>
      <c r="D143" s="2">
        <v>204007</v>
      </c>
      <c r="E143" s="2" t="s">
        <v>40</v>
      </c>
      <c r="F143" s="2" t="s">
        <v>40</v>
      </c>
      <c r="G143" s="14">
        <v>6</v>
      </c>
      <c r="H143" s="15">
        <v>300</v>
      </c>
      <c r="I143" s="8">
        <v>-300015</v>
      </c>
      <c r="J143" s="8">
        <v>0</v>
      </c>
      <c r="K143" s="8">
        <v>0</v>
      </c>
    </row>
    <row r="144" spans="1:11" x14ac:dyDescent="0.2">
      <c r="A144" s="2">
        <v>-1</v>
      </c>
      <c r="B144" s="7">
        <v>42732</v>
      </c>
      <c r="C144" s="2" t="s">
        <v>68</v>
      </c>
      <c r="D144" s="2">
        <v>940018</v>
      </c>
      <c r="E144" s="2" t="s">
        <v>67</v>
      </c>
      <c r="F144" s="2" t="s">
        <v>67</v>
      </c>
      <c r="G144" s="14">
        <v>1</v>
      </c>
      <c r="H144" s="15">
        <v>0</v>
      </c>
      <c r="I144" s="8">
        <v>-1</v>
      </c>
      <c r="J144" s="8">
        <v>0</v>
      </c>
      <c r="K144" s="8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7.125" style="2" bestFit="1" customWidth="1"/>
    <col min="2" max="2" width="11.125" style="2" bestFit="1" customWidth="1"/>
    <col min="3" max="3" width="9.5" style="2" bestFit="1" customWidth="1"/>
    <col min="4" max="4" width="9" style="12"/>
    <col min="5" max="5" width="9" style="2"/>
    <col min="6" max="6" width="17.25" style="2" bestFit="1" customWidth="1"/>
    <col min="7" max="8" width="9" style="2"/>
    <col min="9" max="10" width="11" style="2" bestFit="1" customWidth="1"/>
    <col min="11" max="11" width="6.5" style="2" bestFit="1" customWidth="1"/>
    <col min="12" max="12" width="11.875" style="2" bestFit="1" customWidth="1"/>
    <col min="13" max="13" width="96.625" style="2" bestFit="1" customWidth="1"/>
    <col min="14" max="16384" width="9" style="2"/>
  </cols>
  <sheetData>
    <row r="1" spans="1:13" x14ac:dyDescent="0.2">
      <c r="A1" s="9" t="s">
        <v>20</v>
      </c>
      <c r="B1" s="9" t="s">
        <v>21</v>
      </c>
      <c r="C1" s="9" t="s">
        <v>22</v>
      </c>
      <c r="D1" s="10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x14ac:dyDescent="0.2">
      <c r="A2" s="3" t="str">
        <f>"2334"</f>
        <v>2334</v>
      </c>
      <c r="B2" s="4">
        <v>42738</v>
      </c>
      <c r="C2" s="4" t="s">
        <v>34</v>
      </c>
      <c r="D2" s="11">
        <v>940018</v>
      </c>
      <c r="E2" s="1" t="str">
        <f>"卖出"</f>
        <v>卖出</v>
      </c>
      <c r="F2" s="1" t="str">
        <f>"基金资金拨出"</f>
        <v>基金资金拨出</v>
      </c>
      <c r="G2" s="13">
        <v>0</v>
      </c>
      <c r="H2" s="1">
        <v>0</v>
      </c>
      <c r="I2" s="5">
        <v>-8208.42</v>
      </c>
      <c r="J2" s="5">
        <v>-8208.42</v>
      </c>
      <c r="K2" s="1">
        <v>0</v>
      </c>
      <c r="L2" s="1" t="str">
        <f t="shared" ref="L2:L3" si="0">" "</f>
        <v xml:space="preserve"> </v>
      </c>
      <c r="M2" s="1" t="str">
        <f>"122扣除金额 基金代码：940018"</f>
        <v>122扣除金额 基金代码：940018</v>
      </c>
    </row>
    <row r="3" spans="1:13" x14ac:dyDescent="0.2">
      <c r="A3" s="3" t="str">
        <f>"2335"</f>
        <v>2335</v>
      </c>
      <c r="B3" s="4">
        <v>42738</v>
      </c>
      <c r="C3" s="4" t="s">
        <v>34</v>
      </c>
      <c r="D3" s="11">
        <v>940018</v>
      </c>
      <c r="E3" s="1" t="str">
        <f>"卖出"</f>
        <v>卖出</v>
      </c>
      <c r="F3" s="1" t="str">
        <f>"基金资金拨入"</f>
        <v>基金资金拨入</v>
      </c>
      <c r="G3" s="13">
        <v>0</v>
      </c>
      <c r="H3" s="1">
        <v>0</v>
      </c>
      <c r="I3" s="5">
        <v>48454.42</v>
      </c>
      <c r="J3" s="5">
        <v>40246</v>
      </c>
      <c r="K3" s="1">
        <v>0</v>
      </c>
      <c r="L3" s="1" t="str">
        <f t="shared" si="0"/>
        <v xml:space="preserve"> </v>
      </c>
      <c r="M3" s="1" t="str">
        <f>"124增加金额 基金代码：940018,发生份额：48454.42"</f>
        <v>124增加金额 基金代码：940018,发生份额：48454.42</v>
      </c>
    </row>
    <row r="4" spans="1:13" x14ac:dyDescent="0.2">
      <c r="A4" s="3" t="str">
        <f>"4281"</f>
        <v>4281</v>
      </c>
      <c r="B4" s="4">
        <v>42738</v>
      </c>
      <c r="C4" s="1" t="str">
        <f>"银华日利"</f>
        <v>银华日利</v>
      </c>
      <c r="D4" s="11" t="str">
        <f>"511880"</f>
        <v>511880</v>
      </c>
      <c r="E4" s="1" t="str">
        <f>"买入"</f>
        <v>买入</v>
      </c>
      <c r="F4" s="1" t="str">
        <f>"证券买入"</f>
        <v>证券买入</v>
      </c>
      <c r="G4" s="13">
        <v>100.175</v>
      </c>
      <c r="H4" s="1">
        <v>3400</v>
      </c>
      <c r="I4" s="5">
        <v>-340595</v>
      </c>
      <c r="J4" s="5">
        <v>-300349</v>
      </c>
      <c r="K4" s="1">
        <v>0</v>
      </c>
      <c r="L4" s="1" t="str">
        <f>"A280737240"</f>
        <v>A280737240</v>
      </c>
      <c r="M4" s="1" t="str">
        <f>"证券买入"</f>
        <v>证券买入</v>
      </c>
    </row>
    <row r="5" spans="1:13" x14ac:dyDescent="0.2">
      <c r="A5" s="3" t="str">
        <f>"6589"</f>
        <v>6589</v>
      </c>
      <c r="B5" s="4">
        <v>42738</v>
      </c>
      <c r="C5" s="1" t="str">
        <f>"GC007"</f>
        <v>GC007</v>
      </c>
      <c r="D5" s="11" t="str">
        <f>"204007"</f>
        <v>204007</v>
      </c>
      <c r="E5" s="1" t="str">
        <f t="shared" ref="E5:E18" si="1">"卖出"</f>
        <v>卖出</v>
      </c>
      <c r="F5" s="1" t="str">
        <f>"拆出质押购回"</f>
        <v>拆出质押购回</v>
      </c>
      <c r="G5" s="13">
        <v>6</v>
      </c>
      <c r="H5" s="1">
        <v>-300</v>
      </c>
      <c r="I5" s="5">
        <v>300350</v>
      </c>
      <c r="J5" s="5">
        <v>1</v>
      </c>
      <c r="K5" s="1">
        <v>0</v>
      </c>
      <c r="L5" s="1" t="str">
        <f>"A280737240"</f>
        <v>A280737240</v>
      </c>
      <c r="M5" s="1" t="str">
        <f>"融券购回:350-888880"</f>
        <v>融券购回:350-888880</v>
      </c>
    </row>
    <row r="6" spans="1:13" x14ac:dyDescent="0.2">
      <c r="A6" s="3" t="str">
        <f>"2321"</f>
        <v>2321</v>
      </c>
      <c r="B6" s="4">
        <v>42739</v>
      </c>
      <c r="C6" s="4" t="s">
        <v>34</v>
      </c>
      <c r="D6" s="11">
        <v>940018</v>
      </c>
      <c r="E6" s="1" t="str">
        <f t="shared" si="1"/>
        <v>卖出</v>
      </c>
      <c r="F6" s="1" t="str">
        <f>"基金资金拨出"</f>
        <v>基金资金拨出</v>
      </c>
      <c r="G6" s="13">
        <v>0</v>
      </c>
      <c r="H6" s="1">
        <v>0</v>
      </c>
      <c r="I6" s="5">
        <v>-1</v>
      </c>
      <c r="J6" s="5">
        <v>0</v>
      </c>
      <c r="K6" s="1">
        <v>0</v>
      </c>
      <c r="L6" s="1" t="str">
        <f>" "</f>
        <v xml:space="preserve"> </v>
      </c>
      <c r="M6" s="1" t="str">
        <f>"122扣除金额 基金代码：940018"</f>
        <v>122扣除金额 基金代码：940018</v>
      </c>
    </row>
    <row r="7" spans="1:13" x14ac:dyDescent="0.2">
      <c r="A7" s="3" t="str">
        <f>"7181"</f>
        <v>7181</v>
      </c>
      <c r="B7" s="4">
        <v>42739</v>
      </c>
      <c r="C7" s="1" t="str">
        <f>"银华日利"</f>
        <v>银华日利</v>
      </c>
      <c r="D7" s="11" t="str">
        <f>"511880"</f>
        <v>511880</v>
      </c>
      <c r="E7" s="1" t="str">
        <f t="shared" si="1"/>
        <v>卖出</v>
      </c>
      <c r="F7" s="1" t="str">
        <f>"股息入帐"</f>
        <v>股息入帐</v>
      </c>
      <c r="G7" s="13">
        <v>0</v>
      </c>
      <c r="H7" s="1">
        <v>0</v>
      </c>
      <c r="I7" s="5">
        <v>1778</v>
      </c>
      <c r="J7" s="5">
        <v>1778</v>
      </c>
      <c r="K7" s="1">
        <v>0</v>
      </c>
      <c r="L7" s="1" t="str">
        <f>"A280737240"</f>
        <v>A280737240</v>
      </c>
      <c r="M7" s="1" t="str">
        <f>"股息入账:银华日利511880;股东账号：A280737240;"</f>
        <v>股息入账:银华日利511880;股东账号：A280737240;</v>
      </c>
    </row>
    <row r="8" spans="1:13" x14ac:dyDescent="0.2">
      <c r="A8" s="3" t="str">
        <f>"2276"</f>
        <v>2276</v>
      </c>
      <c r="B8" s="4">
        <v>42740</v>
      </c>
      <c r="C8" s="4" t="s">
        <v>34</v>
      </c>
      <c r="D8" s="11">
        <v>940018</v>
      </c>
      <c r="E8" s="1" t="str">
        <f t="shared" si="1"/>
        <v>卖出</v>
      </c>
      <c r="F8" s="1" t="str">
        <f>"基金资金拨出"</f>
        <v>基金资金拨出</v>
      </c>
      <c r="G8" s="13">
        <v>0</v>
      </c>
      <c r="H8" s="1">
        <v>0</v>
      </c>
      <c r="I8" s="5">
        <v>-1778</v>
      </c>
      <c r="J8" s="5">
        <v>0</v>
      </c>
      <c r="K8" s="1">
        <v>0</v>
      </c>
      <c r="L8" s="1" t="str">
        <f t="shared" ref="L8:L9" si="2">" "</f>
        <v xml:space="preserve"> </v>
      </c>
      <c r="M8" s="1" t="str">
        <f>"122扣除金额 基金代码：940018"</f>
        <v>122扣除金额 基金代码：940018</v>
      </c>
    </row>
    <row r="9" spans="1:13" x14ac:dyDescent="0.2">
      <c r="A9" s="3" t="str">
        <f>"2041"</f>
        <v>2041</v>
      </c>
      <c r="B9" s="4">
        <v>42745</v>
      </c>
      <c r="C9" s="4" t="s">
        <v>34</v>
      </c>
      <c r="D9" s="11">
        <v>940018</v>
      </c>
      <c r="E9" s="1" t="str">
        <f t="shared" si="1"/>
        <v>卖出</v>
      </c>
      <c r="F9" s="1" t="str">
        <f>"基金资金拨出"</f>
        <v>基金资金拨出</v>
      </c>
      <c r="G9" s="13">
        <v>0</v>
      </c>
      <c r="H9" s="1">
        <v>0</v>
      </c>
      <c r="I9" s="5">
        <v>-407994.15</v>
      </c>
      <c r="J9" s="5">
        <v>-407994.15</v>
      </c>
      <c r="K9" s="1">
        <v>0</v>
      </c>
      <c r="L9" s="1" t="str">
        <f t="shared" si="2"/>
        <v xml:space="preserve"> </v>
      </c>
      <c r="M9" s="1" t="str">
        <f>"122扣除金额 基金代码：940018"</f>
        <v>122扣除金额 基金代码：940018</v>
      </c>
    </row>
    <row r="10" spans="1:13" x14ac:dyDescent="0.2">
      <c r="A10" s="3" t="str">
        <f>"4725"</f>
        <v>4725</v>
      </c>
      <c r="B10" s="4">
        <v>42745</v>
      </c>
      <c r="C10" s="1" t="str">
        <f>"银华日利"</f>
        <v>银华日利</v>
      </c>
      <c r="D10" s="11" t="str">
        <f>"511880"</f>
        <v>511880</v>
      </c>
      <c r="E10" s="1" t="str">
        <f t="shared" si="1"/>
        <v>卖出</v>
      </c>
      <c r="F10" s="1" t="str">
        <f>"证券卖出"</f>
        <v>证券卖出</v>
      </c>
      <c r="G10" s="13">
        <v>100.17700000000001</v>
      </c>
      <c r="H10" s="1">
        <v>-4100</v>
      </c>
      <c r="I10" s="5">
        <v>410725.7</v>
      </c>
      <c r="J10" s="5">
        <v>2731.55</v>
      </c>
      <c r="K10" s="1">
        <v>0</v>
      </c>
      <c r="L10" s="1" t="str">
        <f>"A280737240"</f>
        <v>A280737240</v>
      </c>
      <c r="M10" s="1" t="str">
        <f>"证券卖出"</f>
        <v>证券卖出</v>
      </c>
    </row>
    <row r="11" spans="1:13" x14ac:dyDescent="0.2">
      <c r="A11" s="3" t="str">
        <f>"2850"</f>
        <v>2850</v>
      </c>
      <c r="B11" s="4">
        <v>42746</v>
      </c>
      <c r="C11" s="1" t="str">
        <f>"H股ETF"</f>
        <v>H股ETF</v>
      </c>
      <c r="D11" s="11" t="str">
        <f>"510900"</f>
        <v>510900</v>
      </c>
      <c r="E11" s="1" t="str">
        <f t="shared" si="1"/>
        <v>卖出</v>
      </c>
      <c r="F11" s="1" t="str">
        <f>"证券卖出"</f>
        <v>证券卖出</v>
      </c>
      <c r="G11" s="13">
        <v>1.0780000000000001</v>
      </c>
      <c r="H11" s="1">
        <v>-19000</v>
      </c>
      <c r="I11" s="5">
        <v>20477.900000000001</v>
      </c>
      <c r="J11" s="5">
        <v>23209.45</v>
      </c>
      <c r="K11" s="1">
        <v>4.0999999999999996</v>
      </c>
      <c r="L11" s="1" t="str">
        <f>"A280737240"</f>
        <v>A280737240</v>
      </c>
      <c r="M11" s="1" t="str">
        <f>"证券卖出"</f>
        <v>证券卖出</v>
      </c>
    </row>
    <row r="12" spans="1:13" x14ac:dyDescent="0.2">
      <c r="A12" s="3" t="str">
        <f>"4591"</f>
        <v>4591</v>
      </c>
      <c r="B12" s="4">
        <v>42746</v>
      </c>
      <c r="C12" s="1" t="str">
        <f>"恒生ETF"</f>
        <v>恒生ETF</v>
      </c>
      <c r="D12" s="11" t="str">
        <f>"159920"</f>
        <v>159920</v>
      </c>
      <c r="E12" s="1" t="str">
        <f t="shared" si="1"/>
        <v>卖出</v>
      </c>
      <c r="F12" s="1" t="str">
        <f>"证券卖出"</f>
        <v>证券卖出</v>
      </c>
      <c r="G12" s="13">
        <v>1.2549999999999999</v>
      </c>
      <c r="H12" s="1">
        <v>-16000</v>
      </c>
      <c r="I12" s="5">
        <v>20075.98</v>
      </c>
      <c r="J12" s="5">
        <v>43285.43</v>
      </c>
      <c r="K12" s="1">
        <v>4.0199999999999996</v>
      </c>
      <c r="L12" s="1" t="str">
        <f>"0184500716"</f>
        <v>0184500716</v>
      </c>
      <c r="M12" s="1" t="str">
        <f>"证券卖出"</f>
        <v>证券卖出</v>
      </c>
    </row>
    <row r="13" spans="1:13" x14ac:dyDescent="0.2">
      <c r="A13" s="3" t="str">
        <f>"7110"</f>
        <v>7110</v>
      </c>
      <c r="B13" s="4">
        <v>42746</v>
      </c>
      <c r="C13" s="4" t="s">
        <v>34</v>
      </c>
      <c r="D13" s="11">
        <v>940018</v>
      </c>
      <c r="E13" s="1" t="str">
        <f t="shared" si="1"/>
        <v>卖出</v>
      </c>
      <c r="F13" s="1" t="str">
        <f>"基金资金拨出"</f>
        <v>基金资金拨出</v>
      </c>
      <c r="G13" s="13">
        <v>0</v>
      </c>
      <c r="H13" s="1">
        <v>0</v>
      </c>
      <c r="I13" s="5">
        <v>-1094</v>
      </c>
      <c r="J13" s="5">
        <v>42191.43</v>
      </c>
      <c r="K13" s="1">
        <v>0</v>
      </c>
      <c r="L13" s="1" t="str">
        <f t="shared" ref="C13:L17" si="3">" "</f>
        <v xml:space="preserve"> </v>
      </c>
      <c r="M13" s="1" t="str">
        <f>"122扣除金额 基金代码：940018"</f>
        <v>122扣除金额 基金代码：940018</v>
      </c>
    </row>
    <row r="14" spans="1:13" x14ac:dyDescent="0.2">
      <c r="A14" s="3" t="str">
        <f>"7112"</f>
        <v>7112</v>
      </c>
      <c r="B14" s="4">
        <v>42746</v>
      </c>
      <c r="C14" s="1" t="str">
        <f t="shared" si="3"/>
        <v xml:space="preserve"> </v>
      </c>
      <c r="D14" s="11">
        <v>940037</v>
      </c>
      <c r="E14" s="1" t="str">
        <f t="shared" si="1"/>
        <v>卖出</v>
      </c>
      <c r="F14" s="1" t="str">
        <f>"基金资金拨出"</f>
        <v>基金资金拨出</v>
      </c>
      <c r="G14" s="13">
        <v>0</v>
      </c>
      <c r="H14" s="1">
        <v>0</v>
      </c>
      <c r="I14" s="5">
        <v>-360000</v>
      </c>
      <c r="J14" s="5">
        <v>-317808.57</v>
      </c>
      <c r="K14" s="1">
        <v>0</v>
      </c>
      <c r="L14" s="1" t="str">
        <f t="shared" si="3"/>
        <v xml:space="preserve"> </v>
      </c>
      <c r="M14" s="1" t="str">
        <f>"122扣除金额 基金代码：940037"</f>
        <v>122扣除金额 基金代码：940037</v>
      </c>
    </row>
    <row r="15" spans="1:13" x14ac:dyDescent="0.2">
      <c r="A15" s="3" t="str">
        <f>"7113"</f>
        <v>7113</v>
      </c>
      <c r="B15" s="4">
        <v>42746</v>
      </c>
      <c r="C15" s="4" t="s">
        <v>34</v>
      </c>
      <c r="D15" s="11">
        <v>940018</v>
      </c>
      <c r="E15" s="1" t="str">
        <f t="shared" si="1"/>
        <v>卖出</v>
      </c>
      <c r="F15" s="1" t="str">
        <f>"基金资金拨入"</f>
        <v>基金资金拨入</v>
      </c>
      <c r="G15" s="13">
        <v>0</v>
      </c>
      <c r="H15" s="1">
        <v>0</v>
      </c>
      <c r="I15" s="5">
        <v>417981.57</v>
      </c>
      <c r="J15" s="5">
        <v>100173</v>
      </c>
      <c r="K15" s="1">
        <v>0</v>
      </c>
      <c r="L15" s="1" t="str">
        <f t="shared" si="3"/>
        <v xml:space="preserve"> </v>
      </c>
      <c r="M15" s="1" t="str">
        <f>"124增加金额 基金代码：940018,发生份额：417981.57"</f>
        <v>124增加金额 基金代码：940018,发生份额：417981.57</v>
      </c>
    </row>
    <row r="16" spans="1:13" x14ac:dyDescent="0.2">
      <c r="A16" s="3" t="str">
        <f>"2138"</f>
        <v>2138</v>
      </c>
      <c r="B16" s="4">
        <v>42747</v>
      </c>
      <c r="C16" s="4" t="s">
        <v>34</v>
      </c>
      <c r="D16" s="11">
        <v>940018</v>
      </c>
      <c r="E16" s="1" t="str">
        <f t="shared" si="1"/>
        <v>卖出</v>
      </c>
      <c r="F16" s="1" t="str">
        <f>"基金资金拨出"</f>
        <v>基金资金拨出</v>
      </c>
      <c r="G16" s="13">
        <v>0</v>
      </c>
      <c r="H16" s="1">
        <v>0</v>
      </c>
      <c r="I16" s="5">
        <v>-20173</v>
      </c>
      <c r="J16" s="5">
        <v>80000</v>
      </c>
      <c r="K16" s="1">
        <v>0</v>
      </c>
      <c r="L16" s="1" t="str">
        <f t="shared" si="3"/>
        <v xml:space="preserve"> </v>
      </c>
      <c r="M16" s="1" t="str">
        <f>"122扣除金额 基金代码：940018"</f>
        <v>122扣除金额 基金代码：940018</v>
      </c>
    </row>
    <row r="17" spans="1:13" x14ac:dyDescent="0.2">
      <c r="A17" s="3" t="str">
        <f>"2142"</f>
        <v>2142</v>
      </c>
      <c r="B17" s="4">
        <v>42747</v>
      </c>
      <c r="C17" s="1" t="str">
        <f t="shared" si="3"/>
        <v xml:space="preserve"> </v>
      </c>
      <c r="D17" s="11">
        <v>940037</v>
      </c>
      <c r="E17" s="1" t="str">
        <f t="shared" si="1"/>
        <v>卖出</v>
      </c>
      <c r="F17" s="1" t="str">
        <f>"基金资金拨出"</f>
        <v>基金资金拨出</v>
      </c>
      <c r="G17" s="13">
        <v>0</v>
      </c>
      <c r="H17" s="1">
        <v>0</v>
      </c>
      <c r="I17" s="5">
        <v>-80000</v>
      </c>
      <c r="J17" s="5">
        <v>0</v>
      </c>
      <c r="K17" s="1">
        <v>0</v>
      </c>
      <c r="L17" s="1" t="str">
        <f t="shared" si="3"/>
        <v xml:space="preserve"> </v>
      </c>
      <c r="M17" s="1" t="str">
        <f>"122扣除金额 基金代码：940037"</f>
        <v>122扣除金额 基金代码：940037</v>
      </c>
    </row>
    <row r="18" spans="1:13" x14ac:dyDescent="0.2">
      <c r="A18" s="3" t="str">
        <f>"1973"</f>
        <v>1973</v>
      </c>
      <c r="B18" s="4">
        <v>42753</v>
      </c>
      <c r="C18" s="1" t="str">
        <f>"H股ETF"</f>
        <v>H股ETF</v>
      </c>
      <c r="D18" s="11" t="str">
        <f>"510900"</f>
        <v>510900</v>
      </c>
      <c r="E18" s="1" t="str">
        <f t="shared" si="1"/>
        <v>卖出</v>
      </c>
      <c r="F18" s="1" t="str">
        <f>"证券卖出"</f>
        <v>证券卖出</v>
      </c>
      <c r="G18" s="13">
        <v>1.079</v>
      </c>
      <c r="H18" s="1">
        <v>-20300</v>
      </c>
      <c r="I18" s="5">
        <v>21899.32</v>
      </c>
      <c r="J18" s="5">
        <v>21899.32</v>
      </c>
      <c r="K18" s="1">
        <v>4.38</v>
      </c>
      <c r="L18" s="1" t="str">
        <f>"A280737240"</f>
        <v>A280737240</v>
      </c>
      <c r="M18" s="1" t="str">
        <f>"证券卖出"</f>
        <v>证券卖出</v>
      </c>
    </row>
    <row r="19" spans="1:13" x14ac:dyDescent="0.2">
      <c r="A19" s="3" t="str">
        <f>"1974"</f>
        <v>1974</v>
      </c>
      <c r="B19" s="4">
        <v>42753</v>
      </c>
      <c r="C19" s="1" t="str">
        <f>"银华日利"</f>
        <v>银华日利</v>
      </c>
      <c r="D19" s="11" t="str">
        <f>"511880"</f>
        <v>511880</v>
      </c>
      <c r="E19" s="1" t="str">
        <f>"买入"</f>
        <v>买入</v>
      </c>
      <c r="F19" s="1" t="str">
        <f>"证券买入"</f>
        <v>证券买入</v>
      </c>
      <c r="G19" s="13">
        <v>100.194</v>
      </c>
      <c r="H19" s="1">
        <v>600</v>
      </c>
      <c r="I19" s="5">
        <v>-60116.4</v>
      </c>
      <c r="J19" s="5">
        <v>-38217.08</v>
      </c>
      <c r="K19" s="1">
        <v>0</v>
      </c>
      <c r="L19" s="1" t="str">
        <f>"A280737240"</f>
        <v>A280737240</v>
      </c>
      <c r="M19" s="1" t="str">
        <f>"证券买入"</f>
        <v>证券买入</v>
      </c>
    </row>
    <row r="20" spans="1:13" x14ac:dyDescent="0.2">
      <c r="A20" s="3" t="str">
        <f>"4001"</f>
        <v>4001</v>
      </c>
      <c r="B20" s="4">
        <v>42753</v>
      </c>
      <c r="C20" s="1" t="str">
        <f>"恒生ETF"</f>
        <v>恒生ETF</v>
      </c>
      <c r="D20" s="11" t="str">
        <f>"159920"</f>
        <v>159920</v>
      </c>
      <c r="E20" s="1" t="str">
        <f t="shared" ref="E20:E36" si="4">"卖出"</f>
        <v>卖出</v>
      </c>
      <c r="F20" s="1" t="str">
        <f>"证券卖出"</f>
        <v>证券卖出</v>
      </c>
      <c r="G20" s="13">
        <v>1.26</v>
      </c>
      <c r="H20" s="1">
        <v>-17500</v>
      </c>
      <c r="I20" s="5">
        <v>22045.59</v>
      </c>
      <c r="J20" s="5">
        <v>-16171.49</v>
      </c>
      <c r="K20" s="1">
        <v>4.41</v>
      </c>
      <c r="L20" s="1" t="str">
        <f>"0184500716"</f>
        <v>0184500716</v>
      </c>
      <c r="M20" s="1" t="str">
        <f>"证券卖出"</f>
        <v>证券卖出</v>
      </c>
    </row>
    <row r="21" spans="1:13" x14ac:dyDescent="0.2">
      <c r="A21" s="3" t="str">
        <f>"6395"</f>
        <v>6395</v>
      </c>
      <c r="B21" s="4">
        <v>42753</v>
      </c>
      <c r="C21" s="4" t="s">
        <v>34</v>
      </c>
      <c r="D21" s="11">
        <v>940018</v>
      </c>
      <c r="E21" s="1" t="str">
        <f t="shared" si="4"/>
        <v>卖出</v>
      </c>
      <c r="F21" s="1" t="str">
        <f>"基金资金拨出"</f>
        <v>基金资金拨出</v>
      </c>
      <c r="G21" s="13">
        <v>0</v>
      </c>
      <c r="H21" s="1">
        <v>0</v>
      </c>
      <c r="I21" s="5">
        <v>-5094.51</v>
      </c>
      <c r="J21" s="5">
        <v>-21266</v>
      </c>
      <c r="K21" s="1">
        <v>0</v>
      </c>
      <c r="L21" s="1" t="str">
        <f t="shared" ref="L21:L23" si="5">" "</f>
        <v xml:space="preserve"> </v>
      </c>
      <c r="M21" s="1" t="str">
        <f>"122扣除金额 基金代码：940018"</f>
        <v>122扣除金额 基金代码：940018</v>
      </c>
    </row>
    <row r="22" spans="1:13" x14ac:dyDescent="0.2">
      <c r="A22" s="3" t="str">
        <f>"6396"</f>
        <v>6396</v>
      </c>
      <c r="B22" s="4">
        <v>42753</v>
      </c>
      <c r="C22" s="4" t="s">
        <v>34</v>
      </c>
      <c r="D22" s="11">
        <v>940018</v>
      </c>
      <c r="E22" s="1" t="str">
        <f t="shared" si="4"/>
        <v>卖出</v>
      </c>
      <c r="F22" s="1" t="str">
        <f>"基金资金拨入"</f>
        <v>基金资金拨入</v>
      </c>
      <c r="G22" s="13">
        <v>0</v>
      </c>
      <c r="H22" s="1">
        <v>0</v>
      </c>
      <c r="I22" s="5">
        <v>21267</v>
      </c>
      <c r="J22" s="5">
        <v>1</v>
      </c>
      <c r="K22" s="1">
        <v>0</v>
      </c>
      <c r="L22" s="1" t="str">
        <f t="shared" si="5"/>
        <v xml:space="preserve"> </v>
      </c>
      <c r="M22" s="1" t="str">
        <f>"124增加金额 基金代码：940018,发生份额：21267"</f>
        <v>124增加金额 基金代码：940018,发生份额：21267</v>
      </c>
    </row>
    <row r="23" spans="1:13" x14ac:dyDescent="0.2">
      <c r="A23" s="3" t="str">
        <f>"5657"</f>
        <v>5657</v>
      </c>
      <c r="B23" s="4">
        <v>42754</v>
      </c>
      <c r="C23" s="4" t="s">
        <v>34</v>
      </c>
      <c r="D23" s="11">
        <v>940018</v>
      </c>
      <c r="E23" s="1" t="str">
        <f t="shared" si="4"/>
        <v>卖出</v>
      </c>
      <c r="F23" s="1" t="str">
        <f>"基金资金拨出"</f>
        <v>基金资金拨出</v>
      </c>
      <c r="G23" s="13">
        <v>0</v>
      </c>
      <c r="H23" s="1">
        <v>0</v>
      </c>
      <c r="I23" s="5">
        <v>-1</v>
      </c>
      <c r="J23" s="5">
        <v>0</v>
      </c>
      <c r="K23" s="1">
        <v>0</v>
      </c>
      <c r="L23" s="1" t="str">
        <f t="shared" si="5"/>
        <v xml:space="preserve"> </v>
      </c>
      <c r="M23" s="1" t="str">
        <f>"122扣除金额 基金代码：940018"</f>
        <v>122扣除金额 基金代码：940018</v>
      </c>
    </row>
    <row r="24" spans="1:13" x14ac:dyDescent="0.2">
      <c r="A24" s="3" t="str">
        <f>"2511"</f>
        <v>2511</v>
      </c>
      <c r="B24" s="4">
        <v>42761</v>
      </c>
      <c r="C24" s="1" t="str">
        <f>"银华日利"</f>
        <v>银华日利</v>
      </c>
      <c r="D24" s="11" t="str">
        <f>"511880"</f>
        <v>511880</v>
      </c>
      <c r="E24" s="1" t="str">
        <f t="shared" si="4"/>
        <v>卖出</v>
      </c>
      <c r="F24" s="1" t="str">
        <f>"证券卖出"</f>
        <v>证券卖出</v>
      </c>
      <c r="G24" s="13">
        <v>100.372</v>
      </c>
      <c r="H24" s="1">
        <v>-600</v>
      </c>
      <c r="I24" s="5">
        <v>60223.199999999997</v>
      </c>
      <c r="J24" s="5">
        <v>60223.199999999997</v>
      </c>
      <c r="K24" s="1">
        <v>0</v>
      </c>
      <c r="L24" s="1" t="str">
        <f>"A280737240"</f>
        <v>A280737240</v>
      </c>
      <c r="M24" s="1" t="str">
        <f>"证券卖出"</f>
        <v>证券卖出</v>
      </c>
    </row>
    <row r="25" spans="1:13" x14ac:dyDescent="0.2">
      <c r="A25" s="3" t="str">
        <f>"3377"</f>
        <v>3377</v>
      </c>
      <c r="B25" s="4">
        <v>42761</v>
      </c>
      <c r="C25" s="1" t="str">
        <f>"Ｒ-001"</f>
        <v>Ｒ-001</v>
      </c>
      <c r="D25" s="11" t="str">
        <f>"131810"</f>
        <v>131810</v>
      </c>
      <c r="E25" s="1" t="str">
        <f t="shared" si="4"/>
        <v>卖出</v>
      </c>
      <c r="F25" s="1" t="str">
        <f>"质押回购拆出"</f>
        <v>质押回购拆出</v>
      </c>
      <c r="G25" s="13">
        <v>10.601000000000001</v>
      </c>
      <c r="H25" s="1">
        <v>650</v>
      </c>
      <c r="I25" s="5">
        <v>-65000.65</v>
      </c>
      <c r="J25" s="5">
        <v>-4777.45</v>
      </c>
      <c r="K25" s="1">
        <v>0.65</v>
      </c>
      <c r="L25" s="1" t="str">
        <f>"0184500716"</f>
        <v>0184500716</v>
      </c>
      <c r="M25" s="1" t="str">
        <f>"融券回购购回日:20170127息:18.88-131990"</f>
        <v>融券回购购回日:20170127息:18.88-131990</v>
      </c>
    </row>
    <row r="26" spans="1:13" x14ac:dyDescent="0.2">
      <c r="A26" s="3" t="str">
        <f>"3378"</f>
        <v>3378</v>
      </c>
      <c r="B26" s="4">
        <v>42761</v>
      </c>
      <c r="C26" s="1" t="str">
        <f>"恒生ETF"</f>
        <v>恒生ETF</v>
      </c>
      <c r="D26" s="11" t="str">
        <f>"159920"</f>
        <v>159920</v>
      </c>
      <c r="E26" s="1" t="str">
        <f t="shared" si="4"/>
        <v>卖出</v>
      </c>
      <c r="F26" s="1" t="str">
        <f>"证券卖出"</f>
        <v>证券卖出</v>
      </c>
      <c r="G26" s="13">
        <v>1.2749999999999999</v>
      </c>
      <c r="H26" s="1">
        <v>-12000</v>
      </c>
      <c r="I26" s="5">
        <v>15296.94</v>
      </c>
      <c r="J26" s="5">
        <v>10519.49</v>
      </c>
      <c r="K26" s="1">
        <v>3.06</v>
      </c>
      <c r="L26" s="1" t="str">
        <f>"0184500716"</f>
        <v>0184500716</v>
      </c>
      <c r="M26" s="1" t="str">
        <f>"证券卖出"</f>
        <v>证券卖出</v>
      </c>
    </row>
    <row r="27" spans="1:13" x14ac:dyDescent="0.2">
      <c r="A27" s="3" t="str">
        <f>"3379"</f>
        <v>3379</v>
      </c>
      <c r="B27" s="4">
        <v>42761</v>
      </c>
      <c r="C27" s="1" t="str">
        <f>"Ｒ-001"</f>
        <v>Ｒ-001</v>
      </c>
      <c r="D27" s="11" t="str">
        <f>"131810"</f>
        <v>131810</v>
      </c>
      <c r="E27" s="1" t="str">
        <f t="shared" si="4"/>
        <v>卖出</v>
      </c>
      <c r="F27" s="1" t="str">
        <f>"质押回购拆出"</f>
        <v>质押回购拆出</v>
      </c>
      <c r="G27" s="13">
        <v>11.227</v>
      </c>
      <c r="H27" s="1">
        <v>150</v>
      </c>
      <c r="I27" s="5">
        <v>-15000.15</v>
      </c>
      <c r="J27" s="5">
        <v>-4480.66</v>
      </c>
      <c r="K27" s="1">
        <v>0.15</v>
      </c>
      <c r="L27" s="1" t="str">
        <f>"0184500716"</f>
        <v>0184500716</v>
      </c>
      <c r="M27" s="1" t="str">
        <f>"融券回购购回日:20170127息:4.61-131990"</f>
        <v>融券回购购回日:20170127息:4.61-131990</v>
      </c>
    </row>
    <row r="28" spans="1:13" x14ac:dyDescent="0.2">
      <c r="A28" s="3" t="str">
        <f>"5652"</f>
        <v>5652</v>
      </c>
      <c r="B28" s="4">
        <v>42761</v>
      </c>
      <c r="C28" s="4" t="s">
        <v>34</v>
      </c>
      <c r="D28" s="11">
        <v>940018</v>
      </c>
      <c r="E28" s="1" t="str">
        <f t="shared" si="4"/>
        <v>卖出</v>
      </c>
      <c r="F28" s="1" t="str">
        <f>"基金资金拨出"</f>
        <v>基金资金拨出</v>
      </c>
      <c r="G28" s="13">
        <v>0</v>
      </c>
      <c r="H28" s="1">
        <v>0</v>
      </c>
      <c r="I28" s="5">
        <v>-613.85</v>
      </c>
      <c r="J28" s="5">
        <v>-5094.51</v>
      </c>
      <c r="K28" s="1">
        <v>0</v>
      </c>
      <c r="L28" s="1" t="str">
        <f t="shared" ref="L28:L31" si="6">" "</f>
        <v xml:space="preserve"> </v>
      </c>
      <c r="M28" s="1" t="str">
        <f>"122扣除金额 基金代码：940018"</f>
        <v>122扣除金额 基金代码：940018</v>
      </c>
    </row>
    <row r="29" spans="1:13" x14ac:dyDescent="0.2">
      <c r="A29" s="3" t="str">
        <f>"5653"</f>
        <v>5653</v>
      </c>
      <c r="B29" s="4">
        <v>42761</v>
      </c>
      <c r="C29" s="4" t="s">
        <v>34</v>
      </c>
      <c r="D29" s="11">
        <v>940018</v>
      </c>
      <c r="E29" s="1" t="str">
        <f t="shared" si="4"/>
        <v>卖出</v>
      </c>
      <c r="F29" s="1" t="str">
        <f>"基金资金拨入"</f>
        <v>基金资金拨入</v>
      </c>
      <c r="G29" s="13">
        <v>0</v>
      </c>
      <c r="H29" s="1">
        <v>0</v>
      </c>
      <c r="I29" s="5">
        <v>5095.51</v>
      </c>
      <c r="J29" s="5">
        <v>1</v>
      </c>
      <c r="K29" s="1">
        <v>0</v>
      </c>
      <c r="L29" s="1" t="str">
        <f t="shared" si="6"/>
        <v xml:space="preserve"> </v>
      </c>
      <c r="M29" s="1" t="str">
        <f>"124增加金额 基金代码：940018,发生份额：5095.51"</f>
        <v>124增加金额 基金代码：940018,发生份额：5095.51</v>
      </c>
    </row>
    <row r="30" spans="1:13" x14ac:dyDescent="0.2">
      <c r="A30" s="3" t="str">
        <f>"2088"</f>
        <v>2088</v>
      </c>
      <c r="B30" s="4">
        <v>42769</v>
      </c>
      <c r="C30" s="4" t="s">
        <v>34</v>
      </c>
      <c r="D30" s="11">
        <v>940018</v>
      </c>
      <c r="E30" s="1" t="str">
        <f t="shared" si="4"/>
        <v>卖出</v>
      </c>
      <c r="F30" s="1" t="str">
        <f>"基金资金拨出"</f>
        <v>基金资金拨出</v>
      </c>
      <c r="G30" s="13">
        <v>0</v>
      </c>
      <c r="H30" s="1">
        <v>0</v>
      </c>
      <c r="I30" s="5">
        <v>-636.80999999999995</v>
      </c>
      <c r="J30" s="5">
        <v>-635.80999999999995</v>
      </c>
      <c r="K30" s="1">
        <v>0</v>
      </c>
      <c r="L30" s="1" t="str">
        <f t="shared" si="6"/>
        <v xml:space="preserve"> </v>
      </c>
      <c r="M30" s="1" t="str">
        <f>"122扣除金额 基金代码：940018"</f>
        <v>122扣除金额 基金代码：940018</v>
      </c>
    </row>
    <row r="31" spans="1:13" x14ac:dyDescent="0.2">
      <c r="A31" s="3" t="str">
        <f>"2089"</f>
        <v>2089</v>
      </c>
      <c r="B31" s="4">
        <v>42769</v>
      </c>
      <c r="C31" s="4" t="s">
        <v>34</v>
      </c>
      <c r="D31" s="11">
        <v>940018</v>
      </c>
      <c r="E31" s="1" t="str">
        <f t="shared" si="4"/>
        <v>卖出</v>
      </c>
      <c r="F31" s="1" t="str">
        <f>"基金资金拨入"</f>
        <v>基金资金拨入</v>
      </c>
      <c r="G31" s="13">
        <v>0</v>
      </c>
      <c r="H31" s="1">
        <v>0</v>
      </c>
      <c r="I31" s="5">
        <v>676.17</v>
      </c>
      <c r="J31" s="5">
        <v>40.36</v>
      </c>
      <c r="K31" s="1">
        <v>0</v>
      </c>
      <c r="L31" s="1" t="str">
        <f t="shared" si="6"/>
        <v xml:space="preserve"> </v>
      </c>
      <c r="M31" s="1" t="str">
        <f>"124增加金额 基金代码：940018,发生份额：676.17"</f>
        <v>124增加金额 基金代码：940018,发生份额：676.17</v>
      </c>
    </row>
    <row r="32" spans="1:13" x14ac:dyDescent="0.2">
      <c r="A32" s="3" t="str">
        <f>"4983"</f>
        <v>4983</v>
      </c>
      <c r="B32" s="4">
        <v>42769</v>
      </c>
      <c r="C32" s="1" t="str">
        <f>"Ｒ-001"</f>
        <v>Ｒ-001</v>
      </c>
      <c r="D32" s="11" t="str">
        <f>"131810"</f>
        <v>131810</v>
      </c>
      <c r="E32" s="1" t="str">
        <f t="shared" si="4"/>
        <v>卖出</v>
      </c>
      <c r="F32" s="1" t="str">
        <f>"质押回购拆出"</f>
        <v>质押回购拆出</v>
      </c>
      <c r="G32" s="13">
        <v>6.8</v>
      </c>
      <c r="H32" s="1">
        <v>740</v>
      </c>
      <c r="I32" s="5">
        <v>-74000.740000000005</v>
      </c>
      <c r="J32" s="5">
        <v>-73960.38</v>
      </c>
      <c r="K32" s="1">
        <v>0.74</v>
      </c>
      <c r="L32" s="1" t="str">
        <f>"0184500716"</f>
        <v>0184500716</v>
      </c>
      <c r="M32" s="1" t="str">
        <f>"融券回购购回日:20170204息:13.79-131990"</f>
        <v>融券回购购回日:20170204息:13.79-131990</v>
      </c>
    </row>
    <row r="33" spans="1:13" x14ac:dyDescent="0.2">
      <c r="A33" s="3" t="str">
        <f>"5586"</f>
        <v>5586</v>
      </c>
      <c r="B33" s="4">
        <v>42769</v>
      </c>
      <c r="C33" s="1" t="str">
        <f>"Ｒ-001"</f>
        <v>Ｒ-001</v>
      </c>
      <c r="D33" s="11" t="str">
        <f>"131810"</f>
        <v>131810</v>
      </c>
      <c r="E33" s="1" t="str">
        <f t="shared" si="4"/>
        <v>卖出</v>
      </c>
      <c r="F33" s="1" t="str">
        <f>"拆出质押购回"</f>
        <v>拆出质押购回</v>
      </c>
      <c r="G33" s="13">
        <v>10.601000000000001</v>
      </c>
      <c r="H33" s="1">
        <v>-650</v>
      </c>
      <c r="I33" s="5">
        <v>65018.879999999997</v>
      </c>
      <c r="J33" s="5">
        <v>-8941.5</v>
      </c>
      <c r="K33" s="1">
        <v>0</v>
      </c>
      <c r="L33" s="1" t="str">
        <f>"0184500716"</f>
        <v>0184500716</v>
      </c>
      <c r="M33" s="1" t="str">
        <f>"融券购回:18.88-131990"</f>
        <v>融券购回:18.88-131990</v>
      </c>
    </row>
    <row r="34" spans="1:13" x14ac:dyDescent="0.2">
      <c r="A34" s="3" t="str">
        <f>"5587"</f>
        <v>5587</v>
      </c>
      <c r="B34" s="4">
        <v>42769</v>
      </c>
      <c r="C34" s="1" t="str">
        <f>"Ｒ-001"</f>
        <v>Ｒ-001</v>
      </c>
      <c r="D34" s="11" t="str">
        <f>"131810"</f>
        <v>131810</v>
      </c>
      <c r="E34" s="1" t="str">
        <f t="shared" si="4"/>
        <v>卖出</v>
      </c>
      <c r="F34" s="1" t="str">
        <f>"拆出质押购回"</f>
        <v>拆出质押购回</v>
      </c>
      <c r="G34" s="13">
        <v>11.227</v>
      </c>
      <c r="H34" s="1">
        <v>-150</v>
      </c>
      <c r="I34" s="5">
        <v>15004.61</v>
      </c>
      <c r="J34" s="5">
        <v>6063.11</v>
      </c>
      <c r="K34" s="1">
        <v>0</v>
      </c>
      <c r="L34" s="1" t="str">
        <f>"0184500716"</f>
        <v>0184500716</v>
      </c>
      <c r="M34" s="1" t="str">
        <f>"融券购回:4.61-131990"</f>
        <v>融券购回:4.61-131990</v>
      </c>
    </row>
    <row r="35" spans="1:13" x14ac:dyDescent="0.2">
      <c r="A35" s="3" t="str">
        <f>"2312"</f>
        <v>2312</v>
      </c>
      <c r="B35" s="4">
        <v>42772</v>
      </c>
      <c r="C35" s="4" t="s">
        <v>34</v>
      </c>
      <c r="D35" s="11">
        <v>940018</v>
      </c>
      <c r="E35" s="1" t="str">
        <f t="shared" si="4"/>
        <v>卖出</v>
      </c>
      <c r="F35" s="1" t="str">
        <f>"基金资金拨出"</f>
        <v>基金资金拨出</v>
      </c>
      <c r="G35" s="13">
        <v>0</v>
      </c>
      <c r="H35" s="1">
        <v>0</v>
      </c>
      <c r="I35" s="5">
        <v>-418.31</v>
      </c>
      <c r="J35" s="5">
        <v>5644.8</v>
      </c>
      <c r="K35" s="1">
        <v>0</v>
      </c>
      <c r="L35" s="1" t="str">
        <f t="shared" ref="L35:L36" si="7">" "</f>
        <v xml:space="preserve"> </v>
      </c>
      <c r="M35" s="1" t="str">
        <f>"122扣除金额 基金代码：940018"</f>
        <v>122扣除金额 基金代码：940018</v>
      </c>
    </row>
    <row r="36" spans="1:13" x14ac:dyDescent="0.2">
      <c r="A36" s="3" t="str">
        <f>"2313"</f>
        <v>2313</v>
      </c>
      <c r="B36" s="4">
        <v>42772</v>
      </c>
      <c r="C36" s="4" t="s">
        <v>34</v>
      </c>
      <c r="D36" s="11">
        <v>940018</v>
      </c>
      <c r="E36" s="1" t="str">
        <f t="shared" si="4"/>
        <v>卖出</v>
      </c>
      <c r="F36" s="1" t="str">
        <f>"基金资金拨入"</f>
        <v>基金资金拨入</v>
      </c>
      <c r="G36" s="13">
        <v>0</v>
      </c>
      <c r="H36" s="1">
        <v>0</v>
      </c>
      <c r="I36" s="5">
        <v>636.80999999999995</v>
      </c>
      <c r="J36" s="5">
        <v>6281.61</v>
      </c>
      <c r="K36" s="1">
        <v>0</v>
      </c>
      <c r="L36" s="1" t="str">
        <f t="shared" si="7"/>
        <v xml:space="preserve"> </v>
      </c>
      <c r="M36" s="1" t="str">
        <f>"124增加金额 基金代码：940018,发生份额：636.81"</f>
        <v>124增加金额 基金代码：940018,发生份额：636.81</v>
      </c>
    </row>
    <row r="37" spans="1:13" x14ac:dyDescent="0.2">
      <c r="A37" s="3" t="str">
        <f>"3869"</f>
        <v>3869</v>
      </c>
      <c r="B37" s="4">
        <v>42772</v>
      </c>
      <c r="C37" s="1" t="str">
        <f>"银华日利"</f>
        <v>银华日利</v>
      </c>
      <c r="D37" s="11" t="str">
        <f>"511880"</f>
        <v>511880</v>
      </c>
      <c r="E37" s="1" t="str">
        <f>"买入"</f>
        <v>买入</v>
      </c>
      <c r="F37" s="1" t="str">
        <f>"证券买入"</f>
        <v>证券买入</v>
      </c>
      <c r="G37" s="13">
        <v>100.36799999999999</v>
      </c>
      <c r="H37" s="1">
        <v>800</v>
      </c>
      <c r="I37" s="5">
        <v>-80294.399999999994</v>
      </c>
      <c r="J37" s="5">
        <v>-74012.789999999994</v>
      </c>
      <c r="K37" s="1">
        <v>0</v>
      </c>
      <c r="L37" s="1" t="str">
        <f>"A280737240"</f>
        <v>A280737240</v>
      </c>
      <c r="M37" s="1" t="str">
        <f>"证券买入"</f>
        <v>证券买入</v>
      </c>
    </row>
    <row r="38" spans="1:13" x14ac:dyDescent="0.2">
      <c r="A38" s="3" t="str">
        <f>"6287"</f>
        <v>6287</v>
      </c>
      <c r="B38" s="4">
        <v>42772</v>
      </c>
      <c r="C38" s="1" t="str">
        <f>"Ｒ-001"</f>
        <v>Ｒ-001</v>
      </c>
      <c r="D38" s="11" t="str">
        <f>"131810"</f>
        <v>131810</v>
      </c>
      <c r="E38" s="1" t="str">
        <f>"卖出"</f>
        <v>卖出</v>
      </c>
      <c r="F38" s="1" t="str">
        <f>"拆出质押购回"</f>
        <v>拆出质押购回</v>
      </c>
      <c r="G38" s="13">
        <v>6.8</v>
      </c>
      <c r="H38" s="1">
        <v>-740</v>
      </c>
      <c r="I38" s="5">
        <v>74013.789999999994</v>
      </c>
      <c r="J38" s="5">
        <v>1</v>
      </c>
      <c r="K38" s="1">
        <v>0</v>
      </c>
      <c r="L38" s="1" t="str">
        <f>"0184500716"</f>
        <v>0184500716</v>
      </c>
      <c r="M38" s="1" t="str">
        <f>"融券购回:13.79-131990"</f>
        <v>融券购回:13.79-131990</v>
      </c>
    </row>
    <row r="39" spans="1:13" x14ac:dyDescent="0.2">
      <c r="A39" s="3" t="str">
        <f>"2091"</f>
        <v>2091</v>
      </c>
      <c r="B39" s="4">
        <v>42773</v>
      </c>
      <c r="C39" s="1" t="str">
        <f>"银华日利"</f>
        <v>银华日利</v>
      </c>
      <c r="D39" s="11" t="str">
        <f>"511880"</f>
        <v>511880</v>
      </c>
      <c r="E39" s="1" t="str">
        <f>"卖出"</f>
        <v>卖出</v>
      </c>
      <c r="F39" s="1" t="str">
        <f>"证券卖出"</f>
        <v>证券卖出</v>
      </c>
      <c r="G39" s="13">
        <v>100.384</v>
      </c>
      <c r="H39" s="1">
        <v>-800</v>
      </c>
      <c r="I39" s="5">
        <v>80307.199999999997</v>
      </c>
      <c r="J39" s="5">
        <v>80308.2</v>
      </c>
      <c r="K39" s="1">
        <v>0</v>
      </c>
      <c r="L39" s="1" t="str">
        <f>"A280737240"</f>
        <v>A280737240</v>
      </c>
      <c r="M39" s="1" t="str">
        <f>"证券卖出"</f>
        <v>证券卖出</v>
      </c>
    </row>
    <row r="40" spans="1:13" x14ac:dyDescent="0.2">
      <c r="A40" s="3" t="str">
        <f>"3106"</f>
        <v>3106</v>
      </c>
      <c r="B40" s="4">
        <v>42773</v>
      </c>
      <c r="C40" s="4" t="s">
        <v>34</v>
      </c>
      <c r="D40" s="11">
        <v>940018</v>
      </c>
      <c r="E40" s="1" t="str">
        <f>"卖出"</f>
        <v>卖出</v>
      </c>
      <c r="F40" s="1" t="str">
        <f>"基金资金拨出"</f>
        <v>基金资金拨出</v>
      </c>
      <c r="G40" s="13">
        <v>0</v>
      </c>
      <c r="H40" s="1">
        <v>0</v>
      </c>
      <c r="I40" s="5">
        <v>-80307.199999999997</v>
      </c>
      <c r="J40" s="5">
        <v>1</v>
      </c>
      <c r="K40" s="1">
        <v>0</v>
      </c>
      <c r="L40" s="1" t="str">
        <f t="shared" ref="C40:L41" si="8">" "</f>
        <v xml:space="preserve"> </v>
      </c>
      <c r="M40" s="1" t="str">
        <f>"122扣除金额 基金代码：940018"</f>
        <v>122扣除金额 基金代码：940018</v>
      </c>
    </row>
    <row r="41" spans="1:13" x14ac:dyDescent="0.2">
      <c r="A41" s="3" t="str">
        <f>"328"</f>
        <v>328</v>
      </c>
      <c r="B41" s="4">
        <v>42774</v>
      </c>
      <c r="C41" s="1" t="str">
        <f t="shared" si="8"/>
        <v xml:space="preserve"> </v>
      </c>
      <c r="D41" s="11"/>
      <c r="E41" s="1" t="str">
        <f>"卖出"</f>
        <v>卖出</v>
      </c>
      <c r="F41" s="1" t="str">
        <f>"银行转存"</f>
        <v>银行转存</v>
      </c>
      <c r="G41" s="13">
        <v>0</v>
      </c>
      <c r="H41" s="1">
        <v>0</v>
      </c>
      <c r="I41" s="5">
        <v>10000</v>
      </c>
      <c r="J41" s="5">
        <v>10001</v>
      </c>
      <c r="K41" s="1">
        <v>0</v>
      </c>
      <c r="L41" s="1" t="str">
        <f t="shared" si="8"/>
        <v xml:space="preserve"> </v>
      </c>
      <c r="M41" s="1" t="str">
        <f>"银行返回码[ ]返回信息[0000 交易成功]|转账成功"</f>
        <v>银行返回码[ ]返回信息[0000 交易成功]|转账成功</v>
      </c>
    </row>
    <row r="42" spans="1:13" x14ac:dyDescent="0.2">
      <c r="A42" s="3" t="str">
        <f>"4368"</f>
        <v>4368</v>
      </c>
      <c r="B42" s="4">
        <v>42774</v>
      </c>
      <c r="C42" s="1" t="str">
        <f>"华宝油气"</f>
        <v>华宝油气</v>
      </c>
      <c r="D42" s="11" t="str">
        <f>"162411"</f>
        <v>162411</v>
      </c>
      <c r="E42" s="1" t="str">
        <f>"买入"</f>
        <v>买入</v>
      </c>
      <c r="F42" s="1" t="str">
        <f>"证券买入"</f>
        <v>证券买入</v>
      </c>
      <c r="G42" s="13">
        <v>0.67300000000000004</v>
      </c>
      <c r="H42" s="1">
        <v>75000</v>
      </c>
      <c r="I42" s="5">
        <v>-50485.1</v>
      </c>
      <c r="J42" s="5">
        <v>-40484.1</v>
      </c>
      <c r="K42" s="1">
        <v>10.1</v>
      </c>
      <c r="L42" s="1" t="str">
        <f>"0184500716"</f>
        <v>0184500716</v>
      </c>
      <c r="M42" s="1" t="str">
        <f>"证券买入"</f>
        <v>证券买入</v>
      </c>
    </row>
    <row r="43" spans="1:13" x14ac:dyDescent="0.2">
      <c r="A43" s="3" t="str">
        <f>"6093"</f>
        <v>6093</v>
      </c>
      <c r="B43" s="4">
        <v>42774</v>
      </c>
      <c r="C43" s="4" t="s">
        <v>34</v>
      </c>
      <c r="D43" s="11">
        <v>940018</v>
      </c>
      <c r="E43" s="1" t="str">
        <f t="shared" ref="E43:E48" si="9">"卖出"</f>
        <v>卖出</v>
      </c>
      <c r="F43" s="1" t="str">
        <f>"基金资金拨出"</f>
        <v>基金资金拨出</v>
      </c>
      <c r="G43" s="13">
        <v>0</v>
      </c>
      <c r="H43" s="1">
        <v>0</v>
      </c>
      <c r="I43" s="5">
        <v>-40240.410000000003</v>
      </c>
      <c r="J43" s="5">
        <v>-80724.509999999995</v>
      </c>
      <c r="K43" s="1">
        <v>0</v>
      </c>
      <c r="L43" s="1" t="str">
        <f t="shared" ref="L43:L47" si="10">" "</f>
        <v xml:space="preserve"> </v>
      </c>
      <c r="M43" s="1" t="str">
        <f>"122扣除金额 基金代码：940018"</f>
        <v>122扣除金额 基金代码：940018</v>
      </c>
    </row>
    <row r="44" spans="1:13" x14ac:dyDescent="0.2">
      <c r="A44" s="3" t="str">
        <f>"6094"</f>
        <v>6094</v>
      </c>
      <c r="B44" s="4">
        <v>42774</v>
      </c>
      <c r="C44" s="4" t="s">
        <v>34</v>
      </c>
      <c r="D44" s="11">
        <v>940018</v>
      </c>
      <c r="E44" s="1" t="str">
        <f t="shared" si="9"/>
        <v>卖出</v>
      </c>
      <c r="F44" s="1" t="str">
        <f>"基金资金拨入"</f>
        <v>基金资金拨入</v>
      </c>
      <c r="G44" s="13">
        <v>0</v>
      </c>
      <c r="H44" s="1">
        <v>0</v>
      </c>
      <c r="I44" s="5">
        <v>80725.509999999995</v>
      </c>
      <c r="J44" s="5">
        <v>1</v>
      </c>
      <c r="K44" s="1">
        <v>0</v>
      </c>
      <c r="L44" s="1" t="str">
        <f t="shared" si="10"/>
        <v xml:space="preserve"> </v>
      </c>
      <c r="M44" s="1" t="str">
        <f>"124增加金额 基金代码：940018,发生份额：80725.51"</f>
        <v>124增加金额 基金代码：940018,发生份额：80725.51</v>
      </c>
    </row>
    <row r="45" spans="1:13" x14ac:dyDescent="0.2">
      <c r="A45" s="3" t="str">
        <f>"225"</f>
        <v>225</v>
      </c>
      <c r="B45" s="4">
        <v>42775</v>
      </c>
      <c r="C45" s="4" t="s">
        <v>34</v>
      </c>
      <c r="D45" s="11">
        <v>940018</v>
      </c>
      <c r="E45" s="1" t="str">
        <f t="shared" si="9"/>
        <v>卖出</v>
      </c>
      <c r="F45" s="1" t="str">
        <f>"资管转让资金上账"</f>
        <v>资管转让资金上账</v>
      </c>
      <c r="G45" s="13">
        <v>0</v>
      </c>
      <c r="H45" s="1">
        <v>0</v>
      </c>
      <c r="I45" s="5">
        <v>10025</v>
      </c>
      <c r="J45" s="5">
        <v>10026</v>
      </c>
      <c r="K45" s="1">
        <v>0</v>
      </c>
      <c r="L45" s="1" t="str">
        <f t="shared" si="10"/>
        <v xml:space="preserve"> </v>
      </c>
      <c r="M45" s="1" t="str">
        <f>"快速取现退出资金拨入,产品代码940018,对方资产账户40000545"</f>
        <v>快速取现退出资金拨入,产品代码940018,对方资产账户40000545</v>
      </c>
    </row>
    <row r="46" spans="1:13" x14ac:dyDescent="0.2">
      <c r="A46" s="3" t="str">
        <f>"1928"</f>
        <v>1928</v>
      </c>
      <c r="B46" s="4">
        <v>42775</v>
      </c>
      <c r="C46" s="4" t="s">
        <v>34</v>
      </c>
      <c r="D46" s="11">
        <v>940018</v>
      </c>
      <c r="E46" s="1" t="str">
        <f t="shared" si="9"/>
        <v>卖出</v>
      </c>
      <c r="F46" s="1" t="str">
        <f>"基金资金拨出"</f>
        <v>基金资金拨出</v>
      </c>
      <c r="G46" s="13">
        <v>0</v>
      </c>
      <c r="H46" s="1">
        <v>0</v>
      </c>
      <c r="I46" s="5">
        <v>-42.26</v>
      </c>
      <c r="J46" s="5">
        <v>9983.74</v>
      </c>
      <c r="K46" s="1">
        <v>0</v>
      </c>
      <c r="L46" s="1" t="str">
        <f t="shared" si="10"/>
        <v xml:space="preserve"> </v>
      </c>
      <c r="M46" s="1" t="str">
        <f>"122扣除金额 基金代码：940018"</f>
        <v>122扣除金额 基金代码：940018</v>
      </c>
    </row>
    <row r="47" spans="1:13" x14ac:dyDescent="0.2">
      <c r="A47" s="3" t="str">
        <f>"1929"</f>
        <v>1929</v>
      </c>
      <c r="B47" s="4">
        <v>42775</v>
      </c>
      <c r="C47" s="4" t="s">
        <v>34</v>
      </c>
      <c r="D47" s="11">
        <v>940018</v>
      </c>
      <c r="E47" s="1" t="str">
        <f t="shared" si="9"/>
        <v>卖出</v>
      </c>
      <c r="F47" s="1" t="str">
        <f>"基金资金拨入"</f>
        <v>基金资金拨入</v>
      </c>
      <c r="G47" s="13">
        <v>0</v>
      </c>
      <c r="H47" s="1">
        <v>0</v>
      </c>
      <c r="I47" s="5">
        <v>40240.410000000003</v>
      </c>
      <c r="J47" s="5">
        <v>50224.15</v>
      </c>
      <c r="K47" s="1">
        <v>0</v>
      </c>
      <c r="L47" s="1" t="str">
        <f t="shared" si="10"/>
        <v xml:space="preserve"> </v>
      </c>
      <c r="M47" s="1" t="str">
        <f>"124增加金额 基金代码：940018,发生份额：40240.41"</f>
        <v>124增加金额 基金代码：940018,发生份额：40240.41</v>
      </c>
    </row>
    <row r="48" spans="1:13" x14ac:dyDescent="0.2">
      <c r="A48" s="3" t="str">
        <f>"6058"</f>
        <v>6058</v>
      </c>
      <c r="B48" s="4">
        <v>42775</v>
      </c>
      <c r="C48" s="1" t="str">
        <f>"恒生ETF"</f>
        <v>恒生ETF</v>
      </c>
      <c r="D48" s="11" t="str">
        <f>"159920"</f>
        <v>159920</v>
      </c>
      <c r="E48" s="1" t="str">
        <f t="shared" si="9"/>
        <v>卖出</v>
      </c>
      <c r="F48" s="1" t="str">
        <f>"证券卖出"</f>
        <v>证券卖出</v>
      </c>
      <c r="G48" s="13">
        <v>1.2949999999999999</v>
      </c>
      <c r="H48" s="1">
        <v>-11400</v>
      </c>
      <c r="I48" s="5">
        <v>14760.05</v>
      </c>
      <c r="J48" s="5">
        <v>64984.2</v>
      </c>
      <c r="K48" s="1">
        <v>2.95</v>
      </c>
      <c r="L48" s="1" t="str">
        <f>"0184500716"</f>
        <v>0184500716</v>
      </c>
      <c r="M48" s="1" t="str">
        <f>"证券卖出"</f>
        <v>证券卖出</v>
      </c>
    </row>
    <row r="49" spans="1:13" x14ac:dyDescent="0.2">
      <c r="A49" s="3" t="str">
        <f>"6059"</f>
        <v>6059</v>
      </c>
      <c r="B49" s="4">
        <v>42775</v>
      </c>
      <c r="C49" s="1" t="str">
        <f>"华宝油气"</f>
        <v>华宝油气</v>
      </c>
      <c r="D49" s="11" t="str">
        <f>"162411"</f>
        <v>162411</v>
      </c>
      <c r="E49" s="1" t="str">
        <f>"买入"</f>
        <v>买入</v>
      </c>
      <c r="F49" s="1" t="str">
        <f>"证券买入"</f>
        <v>证券买入</v>
      </c>
      <c r="G49" s="13">
        <v>0.67600000000000005</v>
      </c>
      <c r="H49" s="1">
        <v>21800</v>
      </c>
      <c r="I49" s="5">
        <v>-14739.75</v>
      </c>
      <c r="J49" s="5">
        <v>50244.45</v>
      </c>
      <c r="K49" s="1">
        <v>2.95</v>
      </c>
      <c r="L49" s="1" t="str">
        <f>"0184500716"</f>
        <v>0184500716</v>
      </c>
      <c r="M49" s="1" t="str">
        <f>"证券买入"</f>
        <v>证券买入</v>
      </c>
    </row>
    <row r="50" spans="1:13" x14ac:dyDescent="0.2">
      <c r="A50" s="3" t="str">
        <f>"6061"</f>
        <v>6061</v>
      </c>
      <c r="B50" s="4">
        <v>42775</v>
      </c>
      <c r="C50" s="1" t="str">
        <f>"华宝油气"</f>
        <v>华宝油气</v>
      </c>
      <c r="D50" s="11" t="str">
        <f>"162411"</f>
        <v>162411</v>
      </c>
      <c r="E50" s="1" t="str">
        <f>"买入"</f>
        <v>买入</v>
      </c>
      <c r="F50" s="1" t="str">
        <f>"证券买入"</f>
        <v>证券买入</v>
      </c>
      <c r="G50" s="13">
        <v>0.67700000000000005</v>
      </c>
      <c r="H50" s="1">
        <v>74200</v>
      </c>
      <c r="I50" s="5">
        <v>-50243.45</v>
      </c>
      <c r="J50" s="5">
        <v>1</v>
      </c>
      <c r="K50" s="1">
        <v>10.050000000000001</v>
      </c>
      <c r="L50" s="1" t="str">
        <f>"0184500716"</f>
        <v>0184500716</v>
      </c>
      <c r="M50" s="1" t="str">
        <f>"证券买入"</f>
        <v>证券买入</v>
      </c>
    </row>
    <row r="51" spans="1:13" x14ac:dyDescent="0.2">
      <c r="A51" s="3" t="str">
        <f>"2405"</f>
        <v>2405</v>
      </c>
      <c r="B51" s="4">
        <v>42776</v>
      </c>
      <c r="C51" s="4" t="s">
        <v>34</v>
      </c>
      <c r="D51" s="11">
        <v>940018</v>
      </c>
      <c r="E51" s="1" t="str">
        <f>"卖出"</f>
        <v>卖出</v>
      </c>
      <c r="F51" s="1" t="str">
        <f>"基金资金拨出"</f>
        <v>基金资金拨出</v>
      </c>
      <c r="G51" s="13">
        <v>0</v>
      </c>
      <c r="H51" s="1">
        <v>0</v>
      </c>
      <c r="I51" s="5">
        <v>-1</v>
      </c>
      <c r="J51" s="5">
        <v>0</v>
      </c>
      <c r="K51" s="1">
        <v>0</v>
      </c>
      <c r="L51" s="1" t="str">
        <f t="shared" ref="C51:L54" si="11">" "</f>
        <v xml:space="preserve"> </v>
      </c>
      <c r="M51" s="1" t="str">
        <f>"122扣除金额 基金代码：940018"</f>
        <v>122扣除金额 基金代码：940018</v>
      </c>
    </row>
    <row r="52" spans="1:13" x14ac:dyDescent="0.2">
      <c r="A52" s="3" t="str">
        <f>"315"</f>
        <v>315</v>
      </c>
      <c r="B52" s="4">
        <v>42780</v>
      </c>
      <c r="C52" s="4" t="s">
        <v>34</v>
      </c>
      <c r="D52" s="11">
        <v>940018</v>
      </c>
      <c r="E52" s="1" t="str">
        <f>"卖出"</f>
        <v>卖出</v>
      </c>
      <c r="F52" s="1" t="str">
        <f>"资管转让资金上账"</f>
        <v>资管转让资金上账</v>
      </c>
      <c r="G52" s="13">
        <v>0</v>
      </c>
      <c r="H52" s="1">
        <v>0</v>
      </c>
      <c r="I52" s="5">
        <v>100300</v>
      </c>
      <c r="J52" s="5">
        <v>100300</v>
      </c>
      <c r="K52" s="1">
        <v>0</v>
      </c>
      <c r="L52" s="1" t="str">
        <f t="shared" si="11"/>
        <v xml:space="preserve"> </v>
      </c>
      <c r="M52" s="1" t="str">
        <f>"快速取现退出资金拨入,产品代码940018,对方资产账户40000545"</f>
        <v>快速取现退出资金拨入,产品代码940018,对方资产账户40000545</v>
      </c>
    </row>
    <row r="53" spans="1:13" x14ac:dyDescent="0.2">
      <c r="A53" s="3" t="str">
        <f>"414"</f>
        <v>414</v>
      </c>
      <c r="B53" s="4">
        <v>42780</v>
      </c>
      <c r="C53" s="1" t="str">
        <f t="shared" si="11"/>
        <v xml:space="preserve"> </v>
      </c>
      <c r="D53" s="11"/>
      <c r="E53" s="1" t="str">
        <f>"卖出"</f>
        <v>卖出</v>
      </c>
      <c r="F53" s="1" t="str">
        <f>"银行转存"</f>
        <v>银行转存</v>
      </c>
      <c r="G53" s="13">
        <v>0</v>
      </c>
      <c r="H53" s="1">
        <v>0</v>
      </c>
      <c r="I53" s="5">
        <v>200</v>
      </c>
      <c r="J53" s="5">
        <v>100500</v>
      </c>
      <c r="K53" s="1">
        <v>0</v>
      </c>
      <c r="L53" s="1" t="str">
        <f t="shared" si="11"/>
        <v xml:space="preserve"> </v>
      </c>
      <c r="M53" s="1" t="str">
        <f>"银行返回码[ ]返回信息[0000 交易成功]|转账成功"</f>
        <v>银行返回码[ ]返回信息[0000 交易成功]|转账成功</v>
      </c>
    </row>
    <row r="54" spans="1:13" x14ac:dyDescent="0.2">
      <c r="A54" s="3" t="str">
        <f>"3308"</f>
        <v>3308</v>
      </c>
      <c r="B54" s="4">
        <v>42780</v>
      </c>
      <c r="C54" s="4" t="s">
        <v>34</v>
      </c>
      <c r="D54" s="11">
        <v>940018</v>
      </c>
      <c r="E54" s="1" t="str">
        <f>"卖出"</f>
        <v>卖出</v>
      </c>
      <c r="F54" s="1" t="str">
        <f>"基金资金拨出"</f>
        <v>基金资金拨出</v>
      </c>
      <c r="G54" s="13">
        <v>0</v>
      </c>
      <c r="H54" s="1">
        <v>0</v>
      </c>
      <c r="I54" s="5">
        <v>-79</v>
      </c>
      <c r="J54" s="5">
        <v>100421</v>
      </c>
      <c r="K54" s="1">
        <v>0</v>
      </c>
      <c r="L54" s="1" t="str">
        <f t="shared" si="11"/>
        <v xml:space="preserve"> </v>
      </c>
      <c r="M54" s="1" t="str">
        <f>"122扣除金额 基金代码：940018"</f>
        <v>122扣除金额 基金代码：940018</v>
      </c>
    </row>
    <row r="55" spans="1:13" x14ac:dyDescent="0.2">
      <c r="A55" s="3" t="str">
        <f>"4036"</f>
        <v>4036</v>
      </c>
      <c r="B55" s="4">
        <v>42780</v>
      </c>
      <c r="C55" s="1" t="str">
        <f>"银华日利"</f>
        <v>银华日利</v>
      </c>
      <c r="D55" s="11" t="str">
        <f>"511880"</f>
        <v>511880</v>
      </c>
      <c r="E55" s="1" t="str">
        <f>"买入"</f>
        <v>买入</v>
      </c>
      <c r="F55" s="1" t="str">
        <f>"证券买入"</f>
        <v>证券买入</v>
      </c>
      <c r="G55" s="13">
        <v>100.42</v>
      </c>
      <c r="H55" s="1">
        <v>1000</v>
      </c>
      <c r="I55" s="5">
        <v>-100420</v>
      </c>
      <c r="J55" s="5">
        <v>1</v>
      </c>
      <c r="K55" s="1">
        <v>0</v>
      </c>
      <c r="L55" s="1" t="str">
        <f>"A280737240"</f>
        <v>A280737240</v>
      </c>
      <c r="M55" s="1" t="str">
        <f>"证券买入"</f>
        <v>证券买入</v>
      </c>
    </row>
    <row r="56" spans="1:13" x14ac:dyDescent="0.2">
      <c r="A56" s="3" t="str">
        <f>"1776"</f>
        <v>1776</v>
      </c>
      <c r="B56" s="4">
        <v>42781</v>
      </c>
      <c r="C56" s="4" t="s">
        <v>34</v>
      </c>
      <c r="D56" s="11">
        <v>940018</v>
      </c>
      <c r="E56" s="1" t="str">
        <f>"卖出"</f>
        <v>卖出</v>
      </c>
      <c r="F56" s="1" t="str">
        <f>"基金资金拨出"</f>
        <v>基金资金拨出</v>
      </c>
      <c r="G56" s="13">
        <v>0</v>
      </c>
      <c r="H56" s="1">
        <v>0</v>
      </c>
      <c r="I56" s="5">
        <v>-8288.74</v>
      </c>
      <c r="J56" s="5">
        <v>-8287.74</v>
      </c>
      <c r="K56" s="1">
        <v>0</v>
      </c>
      <c r="L56" s="1" t="str">
        <f>" "</f>
        <v xml:space="preserve"> </v>
      </c>
      <c r="M56" s="1" t="str">
        <f>"122扣除金额 基金代码：940018"</f>
        <v>122扣除金额 基金代码：940018</v>
      </c>
    </row>
    <row r="57" spans="1:13" x14ac:dyDescent="0.2">
      <c r="A57" s="3" t="str">
        <f>"4365"</f>
        <v>4365</v>
      </c>
      <c r="B57" s="4">
        <v>42781</v>
      </c>
      <c r="C57" s="1" t="str">
        <f>"银华日利"</f>
        <v>银华日利</v>
      </c>
      <c r="D57" s="11" t="str">
        <f>"511880"</f>
        <v>511880</v>
      </c>
      <c r="E57" s="1" t="str">
        <f>"卖出"</f>
        <v>卖出</v>
      </c>
      <c r="F57" s="1" t="str">
        <f>"证券卖出"</f>
        <v>证券卖出</v>
      </c>
      <c r="G57" s="13">
        <v>100.423</v>
      </c>
      <c r="H57" s="1">
        <v>-200</v>
      </c>
      <c r="I57" s="5">
        <v>20084.599999999999</v>
      </c>
      <c r="J57" s="5">
        <v>11796.86</v>
      </c>
      <c r="K57" s="1">
        <v>0</v>
      </c>
      <c r="L57" s="1" t="str">
        <f>"A280737240"</f>
        <v>A280737240</v>
      </c>
      <c r="M57" s="1" t="str">
        <f>"证券卖出"</f>
        <v>证券卖出</v>
      </c>
    </row>
    <row r="58" spans="1:13" x14ac:dyDescent="0.2">
      <c r="A58" s="3" t="str">
        <f>"4366"</f>
        <v>4366</v>
      </c>
      <c r="B58" s="4">
        <v>42781</v>
      </c>
      <c r="C58" s="1" t="str">
        <f>"H股ETF"</f>
        <v>H股ETF</v>
      </c>
      <c r="D58" s="11" t="str">
        <f>"510900"</f>
        <v>510900</v>
      </c>
      <c r="E58" s="1" t="str">
        <f>"买入"</f>
        <v>买入</v>
      </c>
      <c r="F58" s="1" t="str">
        <f>"证券买入"</f>
        <v>证券买入</v>
      </c>
      <c r="G58" s="13">
        <v>1.145</v>
      </c>
      <c r="H58" s="1">
        <v>10300</v>
      </c>
      <c r="I58" s="5">
        <v>-11795.86</v>
      </c>
      <c r="J58" s="5">
        <v>1</v>
      </c>
      <c r="K58" s="1">
        <v>2.36</v>
      </c>
      <c r="L58" s="1" t="str">
        <f>"A280737240"</f>
        <v>A280737240</v>
      </c>
      <c r="M58" s="1" t="str">
        <f>"证券买入"</f>
        <v>证券买入</v>
      </c>
    </row>
    <row r="59" spans="1:13" x14ac:dyDescent="0.2">
      <c r="A59" s="3" t="str">
        <f>"366"</f>
        <v>366</v>
      </c>
      <c r="B59" s="4">
        <v>42782</v>
      </c>
      <c r="C59" s="4" t="s">
        <v>34</v>
      </c>
      <c r="D59" s="11">
        <v>940018</v>
      </c>
      <c r="E59" s="1" t="str">
        <f>"卖出"</f>
        <v>卖出</v>
      </c>
      <c r="F59" s="1" t="str">
        <f>"资管转让资金上账"</f>
        <v>资管转让资金上账</v>
      </c>
      <c r="G59" s="13">
        <v>0</v>
      </c>
      <c r="H59" s="1">
        <v>0</v>
      </c>
      <c r="I59" s="5">
        <v>3999</v>
      </c>
      <c r="J59" s="5">
        <v>4000</v>
      </c>
      <c r="K59" s="1">
        <v>0</v>
      </c>
      <c r="L59" s="1" t="str">
        <f t="shared" ref="C59:L61" si="12">" "</f>
        <v xml:space="preserve"> </v>
      </c>
      <c r="M59" s="1" t="str">
        <f>"快速取现退出资金拨入,产品代码940018,对方资产账户40000545"</f>
        <v>快速取现退出资金拨入,产品代码940018,对方资产账户40000545</v>
      </c>
    </row>
    <row r="60" spans="1:13" x14ac:dyDescent="0.2">
      <c r="A60" s="3" t="str">
        <f>"369"</f>
        <v>369</v>
      </c>
      <c r="B60" s="4">
        <v>42782</v>
      </c>
      <c r="C60" s="1" t="str">
        <f t="shared" si="12"/>
        <v xml:space="preserve"> </v>
      </c>
      <c r="D60" s="11"/>
      <c r="E60" s="1" t="str">
        <f>"卖出"</f>
        <v>卖出</v>
      </c>
      <c r="F60" s="1" t="str">
        <f>"银行转取"</f>
        <v>银行转取</v>
      </c>
      <c r="G60" s="13">
        <v>0</v>
      </c>
      <c r="H60" s="1">
        <v>0</v>
      </c>
      <c r="I60" s="5">
        <v>-4000</v>
      </c>
      <c r="J60" s="5">
        <v>0</v>
      </c>
      <c r="K60" s="1">
        <v>0</v>
      </c>
      <c r="L60" s="1" t="str">
        <f t="shared" si="12"/>
        <v xml:space="preserve"> </v>
      </c>
      <c r="M60" s="1" t="str">
        <f>"银行返回码[ ]返回信息[0000 交易成功]|转账成功"</f>
        <v>银行返回码[ ]返回信息[0000 交易成功]|转账成功</v>
      </c>
    </row>
    <row r="61" spans="1:13" x14ac:dyDescent="0.2">
      <c r="A61" s="3" t="str">
        <f>"1979"</f>
        <v>1979</v>
      </c>
      <c r="B61" s="4">
        <v>42782</v>
      </c>
      <c r="C61" s="4" t="s">
        <v>34</v>
      </c>
      <c r="D61" s="11">
        <v>940018</v>
      </c>
      <c r="E61" s="1" t="str">
        <f>"卖出"</f>
        <v>卖出</v>
      </c>
      <c r="F61" s="1" t="str">
        <f>"基金资金拨出"</f>
        <v>基金资金拨出</v>
      </c>
      <c r="G61" s="13">
        <v>0</v>
      </c>
      <c r="H61" s="1">
        <v>0</v>
      </c>
      <c r="I61" s="5">
        <v>-37977.730000000003</v>
      </c>
      <c r="J61" s="5">
        <v>-37977.730000000003</v>
      </c>
      <c r="K61" s="1">
        <v>0</v>
      </c>
      <c r="L61" s="1" t="str">
        <f t="shared" si="12"/>
        <v xml:space="preserve"> </v>
      </c>
      <c r="M61" s="1" t="str">
        <f>"122扣除金额 基金代码：940018"</f>
        <v>122扣除金额 基金代码：940018</v>
      </c>
    </row>
    <row r="62" spans="1:13" x14ac:dyDescent="0.2">
      <c r="A62" s="3" t="str">
        <f>"3965"</f>
        <v>3965</v>
      </c>
      <c r="B62" s="4">
        <v>42782</v>
      </c>
      <c r="C62" s="1" t="str">
        <f>"银华日利"</f>
        <v>银华日利</v>
      </c>
      <c r="D62" s="11" t="str">
        <f>"511880"</f>
        <v>511880</v>
      </c>
      <c r="E62" s="1" t="str">
        <f>"卖出"</f>
        <v>卖出</v>
      </c>
      <c r="F62" s="1" t="str">
        <f>"证券卖出"</f>
        <v>证券卖出</v>
      </c>
      <c r="G62" s="13">
        <v>100.43</v>
      </c>
      <c r="H62" s="1">
        <v>-800</v>
      </c>
      <c r="I62" s="5">
        <v>80344</v>
      </c>
      <c r="J62" s="5">
        <v>42366.27</v>
      </c>
      <c r="K62" s="1">
        <v>0</v>
      </c>
      <c r="L62" s="1" t="str">
        <f>"A280737240"</f>
        <v>A280737240</v>
      </c>
      <c r="M62" s="1" t="str">
        <f>"证券卖出"</f>
        <v>证券卖出</v>
      </c>
    </row>
    <row r="63" spans="1:13" x14ac:dyDescent="0.2">
      <c r="A63" s="3" t="str">
        <f>"3966"</f>
        <v>3966</v>
      </c>
      <c r="B63" s="4">
        <v>42782</v>
      </c>
      <c r="C63" s="1" t="str">
        <f>"H股ETF"</f>
        <v>H股ETF</v>
      </c>
      <c r="D63" s="11" t="str">
        <f>"510900"</f>
        <v>510900</v>
      </c>
      <c r="E63" s="1" t="str">
        <f>"买入"</f>
        <v>买入</v>
      </c>
      <c r="F63" s="1" t="str">
        <f>"证券买入"</f>
        <v>证券买入</v>
      </c>
      <c r="G63" s="13">
        <v>1.151</v>
      </c>
      <c r="H63" s="1">
        <v>36800</v>
      </c>
      <c r="I63" s="5">
        <v>-42365.27</v>
      </c>
      <c r="J63" s="5">
        <v>1</v>
      </c>
      <c r="K63" s="1">
        <v>8.4700000000000006</v>
      </c>
      <c r="L63" s="1" t="str">
        <f>"A280737240"</f>
        <v>A280737240</v>
      </c>
      <c r="M63" s="1" t="str">
        <f>"证券买入"</f>
        <v>证券买入</v>
      </c>
    </row>
    <row r="64" spans="1:13" x14ac:dyDescent="0.2">
      <c r="A64" s="3" t="str">
        <f>"2746"</f>
        <v>2746</v>
      </c>
      <c r="B64" s="4">
        <v>42783</v>
      </c>
      <c r="C64" s="4" t="s">
        <v>34</v>
      </c>
      <c r="D64" s="11">
        <v>940018</v>
      </c>
      <c r="E64" s="1" t="str">
        <f>"卖出"</f>
        <v>卖出</v>
      </c>
      <c r="F64" s="1" t="str">
        <f>"基金资金拨出"</f>
        <v>基金资金拨出</v>
      </c>
      <c r="G64" s="13">
        <v>0</v>
      </c>
      <c r="H64" s="1">
        <v>0</v>
      </c>
      <c r="I64" s="5">
        <v>-30780.42</v>
      </c>
      <c r="J64" s="5">
        <v>-30779.42</v>
      </c>
      <c r="K64" s="1">
        <v>0</v>
      </c>
      <c r="L64" s="1" t="str">
        <f t="shared" ref="L64:L65" si="13">" "</f>
        <v xml:space="preserve"> </v>
      </c>
      <c r="M64" s="1" t="str">
        <f>"122扣除金额 基金代码：940018"</f>
        <v>122扣除金额 基金代码：940018</v>
      </c>
    </row>
    <row r="65" spans="1:13" x14ac:dyDescent="0.2">
      <c r="A65" s="3" t="str">
        <f>"2748"</f>
        <v>2748</v>
      </c>
      <c r="B65" s="4">
        <v>42783</v>
      </c>
      <c r="C65" s="4" t="s">
        <v>34</v>
      </c>
      <c r="D65" s="11">
        <v>940018</v>
      </c>
      <c r="E65" s="1" t="str">
        <f>"卖出"</f>
        <v>卖出</v>
      </c>
      <c r="F65" s="1" t="str">
        <f>"基金资金拨入"</f>
        <v>基金资金拨入</v>
      </c>
      <c r="G65" s="13">
        <v>0</v>
      </c>
      <c r="H65" s="1">
        <v>0</v>
      </c>
      <c r="I65" s="5">
        <v>42390.34</v>
      </c>
      <c r="J65" s="5">
        <v>11610.92</v>
      </c>
      <c r="K65" s="1">
        <v>0</v>
      </c>
      <c r="L65" s="1" t="str">
        <f t="shared" si="13"/>
        <v xml:space="preserve"> </v>
      </c>
      <c r="M65" s="1" t="str">
        <f>"124增加金额 基金代码：940018,发生份额：42390.34"</f>
        <v>124增加金额 基金代码：940018,发生份额：42390.34</v>
      </c>
    </row>
    <row r="66" spans="1:13" x14ac:dyDescent="0.2">
      <c r="A66" s="3" t="str">
        <f>"5330"</f>
        <v>5330</v>
      </c>
      <c r="B66" s="4">
        <v>42783</v>
      </c>
      <c r="C66" s="1" t="str">
        <f>"H股ETF"</f>
        <v>H股ETF</v>
      </c>
      <c r="D66" s="11" t="str">
        <f>"510900"</f>
        <v>510900</v>
      </c>
      <c r="E66" s="1" t="str">
        <f>"买入"</f>
        <v>买入</v>
      </c>
      <c r="F66" s="1" t="str">
        <f>"证券买入"</f>
        <v>证券买入</v>
      </c>
      <c r="G66" s="13">
        <v>1.1379999999999999</v>
      </c>
      <c r="H66" s="1">
        <v>10200</v>
      </c>
      <c r="I66" s="5">
        <v>-11609.92</v>
      </c>
      <c r="J66" s="5">
        <v>1</v>
      </c>
      <c r="K66" s="1">
        <v>2.3199999999999998</v>
      </c>
      <c r="L66" s="1" t="str">
        <f>"A280737240"</f>
        <v>A280737240</v>
      </c>
      <c r="M66" s="1" t="str">
        <f>"证券买入"</f>
        <v>证券买入</v>
      </c>
    </row>
    <row r="67" spans="1:13" x14ac:dyDescent="0.2">
      <c r="A67" s="3" t="str">
        <f>"2266"</f>
        <v>2266</v>
      </c>
      <c r="B67" s="4">
        <v>42786</v>
      </c>
      <c r="C67" s="4" t="s">
        <v>34</v>
      </c>
      <c r="D67" s="11">
        <v>940018</v>
      </c>
      <c r="E67" s="1" t="str">
        <f>"卖出"</f>
        <v>卖出</v>
      </c>
      <c r="F67" s="1" t="str">
        <f>"基金资金拨出"</f>
        <v>基金资金拨出</v>
      </c>
      <c r="G67" s="13">
        <v>0</v>
      </c>
      <c r="H67" s="1">
        <v>0</v>
      </c>
      <c r="I67" s="5">
        <v>-1</v>
      </c>
      <c r="J67" s="5">
        <v>0</v>
      </c>
      <c r="K67" s="1">
        <v>0</v>
      </c>
      <c r="L67" s="1" t="str">
        <f t="shared" ref="L67:L71" si="14">" "</f>
        <v xml:space="preserve"> </v>
      </c>
      <c r="M67" s="1" t="str">
        <f>"122扣除金额 基金代码：940018"</f>
        <v>122扣除金额 基金代码：940018</v>
      </c>
    </row>
    <row r="68" spans="1:13" x14ac:dyDescent="0.2">
      <c r="A68" s="3" t="str">
        <f>"8304"</f>
        <v>8304</v>
      </c>
      <c r="B68" s="4">
        <v>42789</v>
      </c>
      <c r="C68" s="4" t="s">
        <v>34</v>
      </c>
      <c r="D68" s="11">
        <v>940018</v>
      </c>
      <c r="E68" s="1" t="str">
        <f>"卖出"</f>
        <v>卖出</v>
      </c>
      <c r="F68" s="1" t="str">
        <f>"基金资金拨出"</f>
        <v>基金资金拨出</v>
      </c>
      <c r="G68" s="13">
        <v>0</v>
      </c>
      <c r="H68" s="1">
        <v>0</v>
      </c>
      <c r="I68" s="5">
        <v>-38.770000000000003</v>
      </c>
      <c r="J68" s="5">
        <v>-38.770000000000003</v>
      </c>
      <c r="K68" s="1">
        <v>0</v>
      </c>
      <c r="L68" s="1" t="str">
        <f t="shared" si="14"/>
        <v xml:space="preserve"> </v>
      </c>
      <c r="M68" s="1" t="str">
        <f>"122扣除金额 基金代码：940018"</f>
        <v>122扣除金额 基金代码：940018</v>
      </c>
    </row>
    <row r="69" spans="1:13" x14ac:dyDescent="0.2">
      <c r="A69" s="3" t="str">
        <f>"8306"</f>
        <v>8306</v>
      </c>
      <c r="B69" s="4">
        <v>42789</v>
      </c>
      <c r="C69" s="4" t="s">
        <v>34</v>
      </c>
      <c r="D69" s="11">
        <v>940018</v>
      </c>
      <c r="E69" s="1" t="str">
        <f>"卖出"</f>
        <v>卖出</v>
      </c>
      <c r="F69" s="1" t="str">
        <f>"基金资金拨入"</f>
        <v>基金资金拨入</v>
      </c>
      <c r="G69" s="13">
        <v>0</v>
      </c>
      <c r="H69" s="1">
        <v>0</v>
      </c>
      <c r="I69" s="5">
        <v>30781.42</v>
      </c>
      <c r="J69" s="5">
        <v>30742.65</v>
      </c>
      <c r="K69" s="1">
        <v>0</v>
      </c>
      <c r="L69" s="1" t="str">
        <f t="shared" si="14"/>
        <v xml:space="preserve"> </v>
      </c>
      <c r="M69" s="1" t="str">
        <f>"124增加金额 基金代码：940018,发生份额：30781.42"</f>
        <v>124增加金额 基金代码：940018,发生份额：30781.42</v>
      </c>
    </row>
    <row r="70" spans="1:13" x14ac:dyDescent="0.2">
      <c r="A70" s="3" t="str">
        <f>"496"</f>
        <v>496</v>
      </c>
      <c r="B70" s="4">
        <v>42790</v>
      </c>
      <c r="C70" s="4" t="s">
        <v>34</v>
      </c>
      <c r="D70" s="11">
        <v>940018</v>
      </c>
      <c r="E70" s="1" t="str">
        <f>"卖出"</f>
        <v>卖出</v>
      </c>
      <c r="F70" s="1" t="str">
        <f>"资管转让资金上账"</f>
        <v>资管转让资金上账</v>
      </c>
      <c r="G70" s="13">
        <v>0</v>
      </c>
      <c r="H70" s="1">
        <v>0</v>
      </c>
      <c r="I70" s="5">
        <v>100084</v>
      </c>
      <c r="J70" s="5">
        <v>130826.65</v>
      </c>
      <c r="K70" s="1">
        <v>0</v>
      </c>
      <c r="L70" s="1" t="str">
        <f t="shared" si="14"/>
        <v xml:space="preserve"> </v>
      </c>
      <c r="M70" s="1" t="str">
        <f>"快速取现退出资金拨入,产品代码940018,对方资产账户40000545"</f>
        <v>快速取现退出资金拨入,产品代码940018,对方资产账户40000545</v>
      </c>
    </row>
    <row r="71" spans="1:13" x14ac:dyDescent="0.2">
      <c r="A71" s="3" t="str">
        <f>"2986"</f>
        <v>2986</v>
      </c>
      <c r="B71" s="4">
        <v>42790</v>
      </c>
      <c r="C71" s="4" t="s">
        <v>34</v>
      </c>
      <c r="D71" s="11">
        <v>940018</v>
      </c>
      <c r="E71" s="1" t="str">
        <f>"卖出"</f>
        <v>卖出</v>
      </c>
      <c r="F71" s="1" t="str">
        <f>"基金资金拨出"</f>
        <v>基金资金拨出</v>
      </c>
      <c r="G71" s="13">
        <v>0</v>
      </c>
      <c r="H71" s="1">
        <v>0</v>
      </c>
      <c r="I71" s="5">
        <v>-153.55000000000001</v>
      </c>
      <c r="J71" s="5">
        <v>130673.1</v>
      </c>
      <c r="K71" s="1">
        <v>0</v>
      </c>
      <c r="L71" s="1" t="str">
        <f t="shared" si="14"/>
        <v xml:space="preserve"> </v>
      </c>
      <c r="M71" s="1" t="str">
        <f>"122扣除金额 基金代码：940018"</f>
        <v>122扣除金额 基金代码：940018</v>
      </c>
    </row>
    <row r="72" spans="1:13" x14ac:dyDescent="0.2">
      <c r="A72" s="3" t="str">
        <f>"5170"</f>
        <v>5170</v>
      </c>
      <c r="B72" s="4">
        <v>42790</v>
      </c>
      <c r="C72" s="1" t="str">
        <f>"银华日利"</f>
        <v>银华日利</v>
      </c>
      <c r="D72" s="11" t="str">
        <f>"511880"</f>
        <v>511880</v>
      </c>
      <c r="E72" s="1" t="str">
        <f>"买入"</f>
        <v>买入</v>
      </c>
      <c r="F72" s="1" t="str">
        <f>"证券买入"</f>
        <v>证券买入</v>
      </c>
      <c r="G72" s="13">
        <v>100.517</v>
      </c>
      <c r="H72" s="1">
        <v>1300</v>
      </c>
      <c r="I72" s="5">
        <v>-130672.1</v>
      </c>
      <c r="J72" s="5">
        <v>1</v>
      </c>
      <c r="K72" s="1">
        <v>0</v>
      </c>
      <c r="L72" s="1" t="str">
        <f>"A280737240"</f>
        <v>A280737240</v>
      </c>
      <c r="M72" s="1" t="str">
        <f>"证券买入"</f>
        <v>证券买入</v>
      </c>
    </row>
    <row r="73" spans="1:13" x14ac:dyDescent="0.2">
      <c r="A73" s="3" t="str">
        <f>"2702"</f>
        <v>2702</v>
      </c>
      <c r="B73" s="4">
        <v>42793</v>
      </c>
      <c r="C73" s="4" t="s">
        <v>34</v>
      </c>
      <c r="D73" s="11">
        <v>940018</v>
      </c>
      <c r="E73" s="1" t="str">
        <f>"卖出"</f>
        <v>卖出</v>
      </c>
      <c r="F73" s="1" t="str">
        <f>"基金资金拨出"</f>
        <v>基金资金拨出</v>
      </c>
      <c r="G73" s="13">
        <v>0</v>
      </c>
      <c r="H73" s="1">
        <v>0</v>
      </c>
      <c r="I73" s="5">
        <v>-1</v>
      </c>
      <c r="J73" s="5">
        <v>0</v>
      </c>
      <c r="K73" s="1">
        <v>0</v>
      </c>
      <c r="L73" s="1" t="str">
        <f t="shared" ref="L73:L74" si="15">" "</f>
        <v xml:space="preserve"> </v>
      </c>
      <c r="M73" s="1" t="str">
        <f>"122扣除金额 基金代码：940018"</f>
        <v>122扣除金额 基金代码：940018</v>
      </c>
    </row>
    <row r="74" spans="1:13" x14ac:dyDescent="0.2">
      <c r="A74" s="3" t="str">
        <f>"2232"</f>
        <v>2232</v>
      </c>
      <c r="B74" s="4">
        <v>42795</v>
      </c>
      <c r="C74" s="4" t="s">
        <v>34</v>
      </c>
      <c r="D74" s="11">
        <v>940018</v>
      </c>
      <c r="E74" s="1" t="str">
        <f>"卖出"</f>
        <v>卖出</v>
      </c>
      <c r="F74" s="1" t="str">
        <f>"基金资金拨出"</f>
        <v>基金资金拨出</v>
      </c>
      <c r="G74" s="13">
        <v>0</v>
      </c>
      <c r="H74" s="1">
        <v>0</v>
      </c>
      <c r="I74" s="5">
        <v>-11923.25</v>
      </c>
      <c r="J74" s="5">
        <v>-11923.25</v>
      </c>
      <c r="K74" s="1">
        <v>0</v>
      </c>
      <c r="L74" s="1" t="str">
        <f t="shared" si="15"/>
        <v xml:space="preserve"> </v>
      </c>
      <c r="M74" s="1" t="str">
        <f>"122扣除金额 基金代码：940018"</f>
        <v>122扣除金额 基金代码：940018</v>
      </c>
    </row>
    <row r="75" spans="1:13" x14ac:dyDescent="0.2">
      <c r="A75" s="3" t="str">
        <f>"4565"</f>
        <v>4565</v>
      </c>
      <c r="B75" s="4">
        <v>42795</v>
      </c>
      <c r="C75" s="1" t="str">
        <f>"银华日利"</f>
        <v>银华日利</v>
      </c>
      <c r="D75" s="11" t="str">
        <f>"511880"</f>
        <v>511880</v>
      </c>
      <c r="E75" s="1" t="str">
        <f>"卖出"</f>
        <v>卖出</v>
      </c>
      <c r="F75" s="1" t="str">
        <f>"证券卖出"</f>
        <v>证券卖出</v>
      </c>
      <c r="G75" s="13">
        <v>100.55</v>
      </c>
      <c r="H75" s="1">
        <v>-1300</v>
      </c>
      <c r="I75" s="5">
        <v>130715</v>
      </c>
      <c r="J75" s="5">
        <v>118791.75</v>
      </c>
      <c r="K75" s="1">
        <v>0</v>
      </c>
      <c r="L75" s="1" t="str">
        <f>"A280737240"</f>
        <v>A280737240</v>
      </c>
      <c r="M75" s="1" t="str">
        <f>"证券卖出"</f>
        <v>证券卖出</v>
      </c>
    </row>
    <row r="76" spans="1:13" x14ac:dyDescent="0.2">
      <c r="A76" s="3" t="str">
        <f>"6791"</f>
        <v>6791</v>
      </c>
      <c r="B76" s="4">
        <v>42795</v>
      </c>
      <c r="C76" s="1" t="str">
        <f>"华宝油气"</f>
        <v>华宝油气</v>
      </c>
      <c r="D76" s="11" t="str">
        <f>"162411"</f>
        <v>162411</v>
      </c>
      <c r="E76" s="1" t="str">
        <f>"买入"</f>
        <v>买入</v>
      </c>
      <c r="F76" s="1" t="str">
        <f>"证券买入"</f>
        <v>证券买入</v>
      </c>
      <c r="G76" s="13">
        <v>0.64900000000000002</v>
      </c>
      <c r="H76" s="1">
        <v>183000</v>
      </c>
      <c r="I76" s="5">
        <v>-118790.75</v>
      </c>
      <c r="J76" s="5">
        <v>1</v>
      </c>
      <c r="K76" s="1">
        <v>23.75</v>
      </c>
      <c r="L76" s="1" t="str">
        <f>"0184500716"</f>
        <v>0184500716</v>
      </c>
      <c r="M76" s="1" t="str">
        <f>"证券买入"</f>
        <v>证券买入</v>
      </c>
    </row>
    <row r="77" spans="1:13" x14ac:dyDescent="0.2">
      <c r="A77" s="3" t="str">
        <f>"297"</f>
        <v>297</v>
      </c>
      <c r="B77" s="4">
        <v>42796</v>
      </c>
      <c r="C77" s="4" t="s">
        <v>34</v>
      </c>
      <c r="D77" s="11">
        <v>940018</v>
      </c>
      <c r="E77" s="1" t="str">
        <f>"卖出"</f>
        <v>卖出</v>
      </c>
      <c r="F77" s="1" t="str">
        <f>"资管转让资金上账"</f>
        <v>资管转让资金上账</v>
      </c>
      <c r="G77" s="13">
        <v>0</v>
      </c>
      <c r="H77" s="1">
        <v>0</v>
      </c>
      <c r="I77" s="5">
        <v>231618</v>
      </c>
      <c r="J77" s="5">
        <v>231619</v>
      </c>
      <c r="K77" s="1">
        <v>0</v>
      </c>
      <c r="L77" s="1" t="str">
        <f t="shared" ref="L77:L78" si="16">" "</f>
        <v xml:space="preserve"> </v>
      </c>
      <c r="M77" s="1" t="str">
        <f>"快速取现退出资金拨入,产品代码940018,对方资产账户40000545"</f>
        <v>快速取现退出资金拨入,产品代码940018,对方资产账户40000545</v>
      </c>
    </row>
    <row r="78" spans="1:13" x14ac:dyDescent="0.2">
      <c r="A78" s="3" t="str">
        <f>"1971"</f>
        <v>1971</v>
      </c>
      <c r="B78" s="4">
        <v>42796</v>
      </c>
      <c r="C78" s="4" t="s">
        <v>34</v>
      </c>
      <c r="D78" s="11">
        <v>940018</v>
      </c>
      <c r="E78" s="1" t="str">
        <f>"卖出"</f>
        <v>卖出</v>
      </c>
      <c r="F78" s="1" t="str">
        <f>"基金资金拨出"</f>
        <v>基金资金拨出</v>
      </c>
      <c r="G78" s="13">
        <v>0</v>
      </c>
      <c r="H78" s="1">
        <v>0</v>
      </c>
      <c r="I78" s="5">
        <v>-31616</v>
      </c>
      <c r="J78" s="5">
        <v>200003</v>
      </c>
      <c r="K78" s="1">
        <v>0</v>
      </c>
      <c r="L78" s="1" t="str">
        <f t="shared" si="16"/>
        <v xml:space="preserve"> </v>
      </c>
      <c r="M78" s="1" t="str">
        <f>"122扣除金额 基金代码：940018"</f>
        <v>122扣除金额 基金代码：940018</v>
      </c>
    </row>
    <row r="79" spans="1:13" x14ac:dyDescent="0.2">
      <c r="A79" s="3" t="str">
        <f>"4858"</f>
        <v>4858</v>
      </c>
      <c r="B79" s="4">
        <v>42796</v>
      </c>
      <c r="C79" s="1" t="str">
        <f>"GC001"</f>
        <v>GC001</v>
      </c>
      <c r="D79" s="11" t="str">
        <f>"204001"</f>
        <v>204001</v>
      </c>
      <c r="E79" s="1" t="str">
        <f>"卖出"</f>
        <v>卖出</v>
      </c>
      <c r="F79" s="1" t="str">
        <f>"质押回购拆出"</f>
        <v>质押回购拆出</v>
      </c>
      <c r="G79" s="13">
        <v>4.7050000000000001</v>
      </c>
      <c r="H79" s="1">
        <v>200</v>
      </c>
      <c r="I79" s="5">
        <v>-200002</v>
      </c>
      <c r="J79" s="5">
        <v>1</v>
      </c>
      <c r="K79" s="1">
        <v>2</v>
      </c>
      <c r="L79" s="1" t="str">
        <f>"A280737240"</f>
        <v>A280737240</v>
      </c>
      <c r="M79" s="1" t="str">
        <f>"融券回购购回日:20170303息:26.14-888880"</f>
        <v>融券回购购回日:20170303息:26.14-888880</v>
      </c>
    </row>
    <row r="80" spans="1:13" x14ac:dyDescent="0.2">
      <c r="A80" s="3" t="str">
        <f>"2947"</f>
        <v>2947</v>
      </c>
      <c r="B80" s="4">
        <v>42797</v>
      </c>
      <c r="C80" s="1" t="str">
        <f>"银华日利"</f>
        <v>银华日利</v>
      </c>
      <c r="D80" s="11" t="str">
        <f>"511880"</f>
        <v>511880</v>
      </c>
      <c r="E80" s="1" t="str">
        <f>"买入"</f>
        <v>买入</v>
      </c>
      <c r="F80" s="1" t="str">
        <f>"证券买入"</f>
        <v>证券买入</v>
      </c>
      <c r="G80" s="13">
        <v>100.583</v>
      </c>
      <c r="H80" s="1">
        <v>2400</v>
      </c>
      <c r="I80" s="5">
        <v>-241399.2</v>
      </c>
      <c r="J80" s="5">
        <v>-241398.2</v>
      </c>
      <c r="K80" s="1">
        <v>0</v>
      </c>
      <c r="L80" s="1" t="str">
        <f>"A280737240"</f>
        <v>A280737240</v>
      </c>
      <c r="M80" s="1" t="str">
        <f>"证券买入"</f>
        <v>证券买入</v>
      </c>
    </row>
    <row r="81" spans="1:13" x14ac:dyDescent="0.2">
      <c r="A81" s="3" t="str">
        <f>"5518"</f>
        <v>5518</v>
      </c>
      <c r="B81" s="4">
        <v>42797</v>
      </c>
      <c r="C81" s="1" t="str">
        <f>"GC001"</f>
        <v>GC001</v>
      </c>
      <c r="D81" s="11" t="str">
        <f>"204001"</f>
        <v>204001</v>
      </c>
      <c r="E81" s="1" t="str">
        <f t="shared" ref="E81:E87" si="17">"卖出"</f>
        <v>卖出</v>
      </c>
      <c r="F81" s="1" t="str">
        <f>"拆出质押购回"</f>
        <v>拆出质押购回</v>
      </c>
      <c r="G81" s="13">
        <v>4.7050000000000001</v>
      </c>
      <c r="H81" s="1">
        <v>-200</v>
      </c>
      <c r="I81" s="5">
        <v>200026.14</v>
      </c>
      <c r="J81" s="5">
        <v>-41372.06</v>
      </c>
      <c r="K81" s="1">
        <v>0</v>
      </c>
      <c r="L81" s="1" t="str">
        <f>"A280737240"</f>
        <v>A280737240</v>
      </c>
      <c r="M81" s="1" t="str">
        <f>"融券购回:26.14-888880"</f>
        <v>融券购回:26.14-888880</v>
      </c>
    </row>
    <row r="82" spans="1:13" x14ac:dyDescent="0.2">
      <c r="A82" s="3" t="str">
        <f>"6864"</f>
        <v>6864</v>
      </c>
      <c r="B82" s="4">
        <v>42797</v>
      </c>
      <c r="C82" s="4" t="s">
        <v>34</v>
      </c>
      <c r="D82" s="11">
        <v>940018</v>
      </c>
      <c r="E82" s="1" t="str">
        <f t="shared" si="17"/>
        <v>卖出</v>
      </c>
      <c r="F82" s="1" t="str">
        <f>"基金资金拨出"</f>
        <v>基金资金拨出</v>
      </c>
      <c r="G82" s="13">
        <v>0</v>
      </c>
      <c r="H82" s="1">
        <v>0</v>
      </c>
      <c r="I82" s="5">
        <v>-2379.7600000000002</v>
      </c>
      <c r="J82" s="5">
        <v>-43751.82</v>
      </c>
      <c r="K82" s="1">
        <v>0</v>
      </c>
      <c r="L82" s="1" t="str">
        <f t="shared" ref="L82:L86" si="18">" "</f>
        <v xml:space="preserve"> </v>
      </c>
      <c r="M82" s="1" t="str">
        <f>"122扣除金额 基金代码：940018"</f>
        <v>122扣除金额 基金代码：940018</v>
      </c>
    </row>
    <row r="83" spans="1:13" x14ac:dyDescent="0.2">
      <c r="A83" s="3" t="str">
        <f>"6865"</f>
        <v>6865</v>
      </c>
      <c r="B83" s="4">
        <v>42797</v>
      </c>
      <c r="C83" s="4" t="s">
        <v>34</v>
      </c>
      <c r="D83" s="11">
        <v>940018</v>
      </c>
      <c r="E83" s="1" t="str">
        <f t="shared" si="17"/>
        <v>卖出</v>
      </c>
      <c r="F83" s="1" t="str">
        <f>"基金资金拨入"</f>
        <v>基金资金拨入</v>
      </c>
      <c r="G83" s="13">
        <v>0</v>
      </c>
      <c r="H83" s="1">
        <v>0</v>
      </c>
      <c r="I83" s="5">
        <v>43752.82</v>
      </c>
      <c r="J83" s="5">
        <v>1</v>
      </c>
      <c r="K83" s="1">
        <v>0</v>
      </c>
      <c r="L83" s="1" t="str">
        <f t="shared" si="18"/>
        <v xml:space="preserve"> </v>
      </c>
      <c r="M83" s="1" t="str">
        <f>"124增加金额 基金代码：940018,发生份额：43752.82"</f>
        <v>124增加金额 基金代码：940018,发生份额：43752.82</v>
      </c>
    </row>
    <row r="84" spans="1:13" x14ac:dyDescent="0.2">
      <c r="A84" s="3" t="str">
        <f>"2258"</f>
        <v>2258</v>
      </c>
      <c r="B84" s="4">
        <v>42800</v>
      </c>
      <c r="C84" s="4" t="s">
        <v>34</v>
      </c>
      <c r="D84" s="11">
        <v>940018</v>
      </c>
      <c r="E84" s="1" t="str">
        <f t="shared" si="17"/>
        <v>卖出</v>
      </c>
      <c r="F84" s="1" t="str">
        <f>"基金资金拨出"</f>
        <v>基金资金拨出</v>
      </c>
      <c r="G84" s="13">
        <v>0</v>
      </c>
      <c r="H84" s="1">
        <v>0</v>
      </c>
      <c r="I84" s="5">
        <v>-1</v>
      </c>
      <c r="J84" s="5">
        <v>0</v>
      </c>
      <c r="K84" s="1">
        <v>0</v>
      </c>
      <c r="L84" s="1" t="str">
        <f t="shared" si="18"/>
        <v xml:space="preserve"> </v>
      </c>
      <c r="M84" s="1" t="str">
        <f>"122扣除金额 基金代码：940018"</f>
        <v>122扣除金额 基金代码：940018</v>
      </c>
    </row>
    <row r="85" spans="1:13" x14ac:dyDescent="0.2">
      <c r="A85" s="3" t="str">
        <f>"2391"</f>
        <v>2391</v>
      </c>
      <c r="B85" s="4">
        <v>42803</v>
      </c>
      <c r="C85" s="4" t="s">
        <v>34</v>
      </c>
      <c r="D85" s="11">
        <v>940018</v>
      </c>
      <c r="E85" s="1" t="str">
        <f t="shared" si="17"/>
        <v>卖出</v>
      </c>
      <c r="F85" s="1" t="str">
        <f>"基金资金拨出"</f>
        <v>基金资金拨出</v>
      </c>
      <c r="G85" s="13">
        <v>0</v>
      </c>
      <c r="H85" s="1">
        <v>0</v>
      </c>
      <c r="I85" s="5">
        <v>-26.74</v>
      </c>
      <c r="J85" s="5">
        <v>-26.74</v>
      </c>
      <c r="K85" s="1">
        <v>0</v>
      </c>
      <c r="L85" s="1" t="str">
        <f t="shared" si="18"/>
        <v xml:space="preserve"> </v>
      </c>
      <c r="M85" s="1" t="str">
        <f>"122扣除金额 基金代码：940018"</f>
        <v>122扣除金额 基金代码：940018</v>
      </c>
    </row>
    <row r="86" spans="1:13" x14ac:dyDescent="0.2">
      <c r="A86" s="3" t="str">
        <f>"2392"</f>
        <v>2392</v>
      </c>
      <c r="B86" s="4">
        <v>42803</v>
      </c>
      <c r="C86" s="4" t="s">
        <v>34</v>
      </c>
      <c r="D86" s="11">
        <v>940018</v>
      </c>
      <c r="E86" s="1" t="str">
        <f t="shared" si="17"/>
        <v>卖出</v>
      </c>
      <c r="F86" s="1" t="str">
        <f>"基金资金拨入"</f>
        <v>基金资金拨入</v>
      </c>
      <c r="G86" s="13">
        <v>0</v>
      </c>
      <c r="H86" s="1">
        <v>0</v>
      </c>
      <c r="I86" s="5">
        <v>2380.7600000000002</v>
      </c>
      <c r="J86" s="5">
        <v>2354.02</v>
      </c>
      <c r="K86" s="1">
        <v>0</v>
      </c>
      <c r="L86" s="1" t="str">
        <f t="shared" si="18"/>
        <v xml:space="preserve"> </v>
      </c>
      <c r="M86" s="1" t="str">
        <f>"124增加金额 基金代码：940018,发生份额：2380.76"</f>
        <v>124增加金额 基金代码：940018,发生份额：2380.76</v>
      </c>
    </row>
    <row r="87" spans="1:13" x14ac:dyDescent="0.2">
      <c r="A87" s="3" t="str">
        <f>"5011"</f>
        <v>5011</v>
      </c>
      <c r="B87" s="4">
        <v>42803</v>
      </c>
      <c r="C87" s="1" t="str">
        <f>"银华日利"</f>
        <v>银华日利</v>
      </c>
      <c r="D87" s="11" t="str">
        <f>"511880"</f>
        <v>511880</v>
      </c>
      <c r="E87" s="1" t="str">
        <f t="shared" si="17"/>
        <v>卖出</v>
      </c>
      <c r="F87" s="1" t="str">
        <f>"证券卖出"</f>
        <v>证券卖出</v>
      </c>
      <c r="G87" s="13">
        <v>100.64700000000001</v>
      </c>
      <c r="H87" s="1">
        <v>-1200</v>
      </c>
      <c r="I87" s="5">
        <v>120776.4</v>
      </c>
      <c r="J87" s="5">
        <v>123130.42</v>
      </c>
      <c r="K87" s="1">
        <v>0</v>
      </c>
      <c r="L87" s="1" t="str">
        <f>"A280737240"</f>
        <v>A280737240</v>
      </c>
      <c r="M87" s="1" t="str">
        <f>"证券卖出"</f>
        <v>证券卖出</v>
      </c>
    </row>
    <row r="88" spans="1:13" x14ac:dyDescent="0.2">
      <c r="A88" s="3" t="str">
        <f>"6954"</f>
        <v>6954</v>
      </c>
      <c r="B88" s="4">
        <v>42803</v>
      </c>
      <c r="C88" s="1" t="str">
        <f>"华宝油气"</f>
        <v>华宝油气</v>
      </c>
      <c r="D88" s="11" t="str">
        <f>"162411"</f>
        <v>162411</v>
      </c>
      <c r="E88" s="1" t="str">
        <f>"买入"</f>
        <v>买入</v>
      </c>
      <c r="F88" s="1" t="str">
        <f>"证券买入"</f>
        <v>证券买入</v>
      </c>
      <c r="G88" s="13">
        <v>0.623</v>
      </c>
      <c r="H88" s="1">
        <v>197600</v>
      </c>
      <c r="I88" s="5">
        <v>-123129.42</v>
      </c>
      <c r="J88" s="5">
        <v>1</v>
      </c>
      <c r="K88" s="1">
        <v>24.62</v>
      </c>
      <c r="L88" s="1" t="str">
        <f>"0184500716"</f>
        <v>0184500716</v>
      </c>
      <c r="M88" s="1" t="str">
        <f>"证券买入"</f>
        <v>证券买入</v>
      </c>
    </row>
    <row r="89" spans="1:13" x14ac:dyDescent="0.2">
      <c r="A89" s="3" t="str">
        <f>"7013"</f>
        <v>7013</v>
      </c>
      <c r="B89" s="4">
        <v>42804</v>
      </c>
      <c r="C89" s="4" t="s">
        <v>34</v>
      </c>
      <c r="D89" s="11">
        <v>940018</v>
      </c>
      <c r="E89" s="1" t="str">
        <f>"卖出"</f>
        <v>卖出</v>
      </c>
      <c r="F89" s="1" t="str">
        <f>"基金资金拨出"</f>
        <v>基金资金拨出</v>
      </c>
      <c r="G89" s="13">
        <v>0</v>
      </c>
      <c r="H89" s="1">
        <v>0</v>
      </c>
      <c r="I89" s="5">
        <v>-1</v>
      </c>
      <c r="J89" s="5">
        <v>0</v>
      </c>
      <c r="K89" s="1">
        <v>0</v>
      </c>
      <c r="L89" s="1" t="str">
        <f t="shared" ref="L89:L90" si="19">" "</f>
        <v xml:space="preserve"> </v>
      </c>
      <c r="M89" s="1" t="str">
        <f>"122扣除金额 基金代码：940018"</f>
        <v>122扣除金额 基金代码：940018</v>
      </c>
    </row>
    <row r="90" spans="1:13" x14ac:dyDescent="0.2">
      <c r="A90" s="3" t="str">
        <f>"2448"</f>
        <v>2448</v>
      </c>
      <c r="B90" s="4">
        <v>42810</v>
      </c>
      <c r="C90" s="4" t="s">
        <v>34</v>
      </c>
      <c r="D90" s="11">
        <v>940018</v>
      </c>
      <c r="E90" s="1" t="str">
        <f>"卖出"</f>
        <v>卖出</v>
      </c>
      <c r="F90" s="1" t="str">
        <f>"基金资金拨出"</f>
        <v>基金资金拨出</v>
      </c>
      <c r="G90" s="13">
        <v>0</v>
      </c>
      <c r="H90" s="1">
        <v>0</v>
      </c>
      <c r="I90" s="5">
        <v>-330.85</v>
      </c>
      <c r="J90" s="5">
        <v>-330.85</v>
      </c>
      <c r="K90" s="1">
        <v>0</v>
      </c>
      <c r="L90" s="1" t="str">
        <f t="shared" si="19"/>
        <v xml:space="preserve"> </v>
      </c>
      <c r="M90" s="1" t="str">
        <f>"122扣除金额 基金代码：940018"</f>
        <v>122扣除金额 基金代码：940018</v>
      </c>
    </row>
    <row r="91" spans="1:13" x14ac:dyDescent="0.2">
      <c r="A91" s="3" t="str">
        <f>"5211"</f>
        <v>5211</v>
      </c>
      <c r="B91" s="4">
        <v>42810</v>
      </c>
      <c r="C91" s="1" t="str">
        <f>"H股ETF"</f>
        <v>H股ETF</v>
      </c>
      <c r="D91" s="11" t="str">
        <f>"510900"</f>
        <v>510900</v>
      </c>
      <c r="E91" s="1" t="str">
        <f>"卖出"</f>
        <v>卖出</v>
      </c>
      <c r="F91" s="1" t="str">
        <f>"证券卖出"</f>
        <v>证券卖出</v>
      </c>
      <c r="G91" s="13">
        <v>1.151</v>
      </c>
      <c r="H91" s="1">
        <v>-42000</v>
      </c>
      <c r="I91" s="5">
        <v>48332.33</v>
      </c>
      <c r="J91" s="5">
        <v>48001.48</v>
      </c>
      <c r="K91" s="1">
        <v>9.67</v>
      </c>
      <c r="L91" s="1" t="str">
        <f>"A280737240"</f>
        <v>A280737240</v>
      </c>
      <c r="M91" s="1" t="str">
        <f>"证券卖出"</f>
        <v>证券卖出</v>
      </c>
    </row>
    <row r="92" spans="1:13" x14ac:dyDescent="0.2">
      <c r="A92" s="3" t="str">
        <f>"7488"</f>
        <v>7488</v>
      </c>
      <c r="B92" s="4">
        <v>42810</v>
      </c>
      <c r="C92" s="1" t="str">
        <f>"Ｒ-001"</f>
        <v>Ｒ-001</v>
      </c>
      <c r="D92" s="11" t="str">
        <f>"131810"</f>
        <v>131810</v>
      </c>
      <c r="E92" s="1" t="str">
        <f>"卖出"</f>
        <v>卖出</v>
      </c>
      <c r="F92" s="1" t="str">
        <f>"质押回购拆出"</f>
        <v>质押回购拆出</v>
      </c>
      <c r="G92" s="13">
        <v>7.5090000000000003</v>
      </c>
      <c r="H92" s="1">
        <v>480</v>
      </c>
      <c r="I92" s="5">
        <v>-48000.480000000003</v>
      </c>
      <c r="J92" s="5">
        <v>1</v>
      </c>
      <c r="K92" s="1">
        <v>0.48</v>
      </c>
      <c r="L92" s="1" t="str">
        <f>"0184500716"</f>
        <v>0184500716</v>
      </c>
      <c r="M92" s="1" t="str">
        <f>"融券回购购回日:20170317息:9.87-131990"</f>
        <v>融券回购购回日:20170317息:9.87-131990</v>
      </c>
    </row>
    <row r="93" spans="1:13" x14ac:dyDescent="0.2">
      <c r="A93" s="3" t="str">
        <f>"2664"</f>
        <v>2664</v>
      </c>
      <c r="B93" s="4">
        <v>42811</v>
      </c>
      <c r="C93" s="4" t="s">
        <v>34</v>
      </c>
      <c r="D93" s="11">
        <v>940018</v>
      </c>
      <c r="E93" s="1" t="str">
        <f>"卖出"</f>
        <v>卖出</v>
      </c>
      <c r="F93" s="1" t="str">
        <f>"基金资金拨出"</f>
        <v>基金资金拨出</v>
      </c>
      <c r="G93" s="13">
        <v>0</v>
      </c>
      <c r="H93" s="1">
        <v>0</v>
      </c>
      <c r="I93" s="5">
        <v>-7745.87</v>
      </c>
      <c r="J93" s="5">
        <v>-7744.87</v>
      </c>
      <c r="K93" s="1">
        <v>0</v>
      </c>
      <c r="L93" s="1" t="str">
        <f>" "</f>
        <v xml:space="preserve"> </v>
      </c>
      <c r="M93" s="1" t="str">
        <f>"122扣除金额 基金代码：940018"</f>
        <v>122扣除金额 基金代码：940018</v>
      </c>
    </row>
    <row r="94" spans="1:13" x14ac:dyDescent="0.2">
      <c r="A94" s="3" t="str">
        <f>"5660"</f>
        <v>5660</v>
      </c>
      <c r="B94" s="4">
        <v>42811</v>
      </c>
      <c r="C94" s="1" t="str">
        <f>"银华日利"</f>
        <v>银华日利</v>
      </c>
      <c r="D94" s="11" t="str">
        <f>"511880"</f>
        <v>511880</v>
      </c>
      <c r="E94" s="1" t="str">
        <f>"买入"</f>
        <v>买入</v>
      </c>
      <c r="F94" s="1" t="str">
        <f>"证券买入"</f>
        <v>证券买入</v>
      </c>
      <c r="G94" s="13">
        <v>100.66</v>
      </c>
      <c r="H94" s="1">
        <v>400</v>
      </c>
      <c r="I94" s="5">
        <v>-40264</v>
      </c>
      <c r="J94" s="5">
        <v>-48008.87</v>
      </c>
      <c r="K94" s="1">
        <v>0</v>
      </c>
      <c r="L94" s="1" t="str">
        <f>"A280737240"</f>
        <v>A280737240</v>
      </c>
      <c r="M94" s="1" t="str">
        <f>"证券买入"</f>
        <v>证券买入</v>
      </c>
    </row>
    <row r="95" spans="1:13" x14ac:dyDescent="0.2">
      <c r="A95" s="3" t="str">
        <f>"9598"</f>
        <v>9598</v>
      </c>
      <c r="B95" s="4">
        <v>42811</v>
      </c>
      <c r="C95" s="1" t="str">
        <f>"Ｒ-001"</f>
        <v>Ｒ-001</v>
      </c>
      <c r="D95" s="11" t="str">
        <f>"131810"</f>
        <v>131810</v>
      </c>
      <c r="E95" s="1" t="str">
        <f t="shared" ref="E95:E114" si="20">"卖出"</f>
        <v>卖出</v>
      </c>
      <c r="F95" s="1" t="str">
        <f>"拆出质押购回"</f>
        <v>拆出质押购回</v>
      </c>
      <c r="G95" s="13">
        <v>7.5090000000000003</v>
      </c>
      <c r="H95" s="1">
        <v>-480</v>
      </c>
      <c r="I95" s="5">
        <v>48009.87</v>
      </c>
      <c r="J95" s="5">
        <v>1</v>
      </c>
      <c r="K95" s="1">
        <v>0</v>
      </c>
      <c r="L95" s="1" t="str">
        <f>"0184500716"</f>
        <v>0184500716</v>
      </c>
      <c r="M95" s="1" t="str">
        <f>"融券购回:9.87-131990"</f>
        <v>融券购回:9.87-131990</v>
      </c>
    </row>
    <row r="96" spans="1:13" x14ac:dyDescent="0.2">
      <c r="A96" s="3" t="str">
        <f>"2321"</f>
        <v>2321</v>
      </c>
      <c r="B96" s="4">
        <v>42814</v>
      </c>
      <c r="C96" s="4" t="s">
        <v>34</v>
      </c>
      <c r="D96" s="11">
        <v>940018</v>
      </c>
      <c r="E96" s="1" t="str">
        <f t="shared" si="20"/>
        <v>卖出</v>
      </c>
      <c r="F96" s="1" t="str">
        <f>"基金资金拨出"</f>
        <v>基金资金拨出</v>
      </c>
      <c r="G96" s="13">
        <v>0</v>
      </c>
      <c r="H96" s="1">
        <v>0</v>
      </c>
      <c r="I96" s="5">
        <v>-1</v>
      </c>
      <c r="J96" s="5">
        <v>0</v>
      </c>
      <c r="K96" s="1">
        <v>0</v>
      </c>
      <c r="L96" s="1" t="str">
        <f t="shared" ref="C96:L99" si="21">" "</f>
        <v xml:space="preserve"> </v>
      </c>
      <c r="M96" s="1" t="str">
        <f>"122扣除金额 基金代码：940018"</f>
        <v>122扣除金额 基金代码：940018</v>
      </c>
    </row>
    <row r="97" spans="1:13" x14ac:dyDescent="0.2">
      <c r="A97" s="3" t="str">
        <f>"6480"</f>
        <v>6480</v>
      </c>
      <c r="B97" s="4">
        <v>42815</v>
      </c>
      <c r="C97" s="1" t="str">
        <f t="shared" si="21"/>
        <v xml:space="preserve"> </v>
      </c>
      <c r="D97" s="11"/>
      <c r="E97" s="1" t="str">
        <f t="shared" si="20"/>
        <v>卖出</v>
      </c>
      <c r="F97" s="1" t="str">
        <f>"利息归本"</f>
        <v>利息归本</v>
      </c>
      <c r="G97" s="13">
        <v>0</v>
      </c>
      <c r="H97" s="1">
        <v>0</v>
      </c>
      <c r="I97" s="5">
        <v>2.38</v>
      </c>
      <c r="J97" s="5">
        <v>2.38</v>
      </c>
      <c r="K97" s="1">
        <v>0</v>
      </c>
      <c r="L97" s="1" t="str">
        <f t="shared" si="21"/>
        <v xml:space="preserve"> </v>
      </c>
      <c r="M97" s="1" t="str">
        <f>" 利息归本: 归本利息为 2.38"</f>
        <v xml:space="preserve"> 利息归本: 归本利息为 2.38</v>
      </c>
    </row>
    <row r="98" spans="1:13" x14ac:dyDescent="0.2">
      <c r="A98" s="3" t="str">
        <f>"9425"</f>
        <v>9425</v>
      </c>
      <c r="B98" s="4">
        <v>42815</v>
      </c>
      <c r="C98" s="4" t="s">
        <v>34</v>
      </c>
      <c r="D98" s="11">
        <v>940018</v>
      </c>
      <c r="E98" s="1" t="str">
        <f t="shared" si="20"/>
        <v>卖出</v>
      </c>
      <c r="F98" s="1" t="str">
        <f>"基金资金拨出"</f>
        <v>基金资金拨出</v>
      </c>
      <c r="G98" s="13">
        <v>0</v>
      </c>
      <c r="H98" s="1">
        <v>0</v>
      </c>
      <c r="I98" s="5">
        <v>-104.22</v>
      </c>
      <c r="J98" s="5">
        <v>-101.84</v>
      </c>
      <c r="K98" s="1">
        <v>0</v>
      </c>
      <c r="L98" s="1" t="str">
        <f t="shared" si="21"/>
        <v xml:space="preserve"> </v>
      </c>
      <c r="M98" s="1" t="str">
        <f>"122扣除金额 基金代码：940018"</f>
        <v>122扣除金额 基金代码：940018</v>
      </c>
    </row>
    <row r="99" spans="1:13" x14ac:dyDescent="0.2">
      <c r="A99" s="3" t="str">
        <f>"9428"</f>
        <v>9428</v>
      </c>
      <c r="B99" s="4">
        <v>42815</v>
      </c>
      <c r="C99" s="4" t="s">
        <v>34</v>
      </c>
      <c r="D99" s="11">
        <v>940018</v>
      </c>
      <c r="E99" s="1" t="str">
        <f t="shared" si="20"/>
        <v>卖出</v>
      </c>
      <c r="F99" s="1" t="str">
        <f>"基金资金拨入"</f>
        <v>基金资金拨入</v>
      </c>
      <c r="G99" s="13">
        <v>0</v>
      </c>
      <c r="H99" s="1">
        <v>0</v>
      </c>
      <c r="I99" s="5">
        <v>8105.46</v>
      </c>
      <c r="J99" s="5">
        <v>8003.62</v>
      </c>
      <c r="K99" s="1">
        <v>0</v>
      </c>
      <c r="L99" s="1" t="str">
        <f t="shared" si="21"/>
        <v xml:space="preserve"> </v>
      </c>
      <c r="M99" s="1" t="str">
        <f>"124增加金额 基金代码：940018,发生份额：8105.46"</f>
        <v>124增加金额 基金代码：940018,发生份额：8105.46</v>
      </c>
    </row>
    <row r="100" spans="1:13" x14ac:dyDescent="0.2">
      <c r="A100" s="3" t="str">
        <f>"14580"</f>
        <v>14580</v>
      </c>
      <c r="B100" s="4">
        <v>42815</v>
      </c>
      <c r="C100" s="1" t="str">
        <f>"Ｒ-003"</f>
        <v>Ｒ-003</v>
      </c>
      <c r="D100" s="11" t="str">
        <f>"131800"</f>
        <v>131800</v>
      </c>
      <c r="E100" s="1" t="str">
        <f t="shared" si="20"/>
        <v>卖出</v>
      </c>
      <c r="F100" s="1" t="str">
        <f>"质押回购拆出"</f>
        <v>质押回购拆出</v>
      </c>
      <c r="G100" s="13">
        <v>6.8579999999999997</v>
      </c>
      <c r="H100" s="1">
        <v>80</v>
      </c>
      <c r="I100" s="5">
        <v>-8000.24</v>
      </c>
      <c r="J100" s="5">
        <v>3.38</v>
      </c>
      <c r="K100" s="1">
        <v>0.24</v>
      </c>
      <c r="L100" s="1" t="str">
        <f>"0184500716"</f>
        <v>0184500716</v>
      </c>
      <c r="M100" s="1" t="str">
        <f>"融券回购购回日:20170324息:4.51-131990"</f>
        <v>融券回购购回日:20170324息:4.51-131990</v>
      </c>
    </row>
    <row r="101" spans="1:13" x14ac:dyDescent="0.2">
      <c r="A101" s="3" t="str">
        <f>"9146"</f>
        <v>9146</v>
      </c>
      <c r="B101" s="4">
        <v>42816</v>
      </c>
      <c r="C101" s="4" t="s">
        <v>34</v>
      </c>
      <c r="D101" s="11">
        <v>940018</v>
      </c>
      <c r="E101" s="1" t="str">
        <f t="shared" si="20"/>
        <v>卖出</v>
      </c>
      <c r="F101" s="1" t="str">
        <f>"基金资金拨出"</f>
        <v>基金资金拨出</v>
      </c>
      <c r="G101" s="13">
        <v>0</v>
      </c>
      <c r="H101" s="1">
        <v>0</v>
      </c>
      <c r="I101" s="5">
        <v>-3.38</v>
      </c>
      <c r="J101" s="5">
        <v>0</v>
      </c>
      <c r="K101" s="1">
        <v>0</v>
      </c>
      <c r="L101" s="1" t="str">
        <f t="shared" ref="L101:L102" si="22">" "</f>
        <v xml:space="preserve"> </v>
      </c>
      <c r="M101" s="1" t="str">
        <f>"122扣除金额 基金代码：940018"</f>
        <v>122扣除金额 基金代码：940018</v>
      </c>
    </row>
    <row r="102" spans="1:13" x14ac:dyDescent="0.2">
      <c r="A102" s="3" t="str">
        <f>"2499"</f>
        <v>2499</v>
      </c>
      <c r="B102" s="4">
        <v>42818</v>
      </c>
      <c r="C102" s="4" t="s">
        <v>34</v>
      </c>
      <c r="D102" s="11">
        <v>940018</v>
      </c>
      <c r="E102" s="1" t="str">
        <f t="shared" si="20"/>
        <v>卖出</v>
      </c>
      <c r="F102" s="1" t="str">
        <f>"基金资金拨出"</f>
        <v>基金资金拨出</v>
      </c>
      <c r="G102" s="13">
        <v>0</v>
      </c>
      <c r="H102" s="1">
        <v>0</v>
      </c>
      <c r="I102" s="5">
        <v>-8004.51</v>
      </c>
      <c r="J102" s="5">
        <v>-8004.51</v>
      </c>
      <c r="K102" s="1">
        <v>0</v>
      </c>
      <c r="L102" s="1" t="str">
        <f t="shared" si="22"/>
        <v xml:space="preserve"> </v>
      </c>
      <c r="M102" s="1" t="str">
        <f>"122扣除金额 基金代码：940018"</f>
        <v>122扣除金额 基金代码：940018</v>
      </c>
    </row>
    <row r="103" spans="1:13" x14ac:dyDescent="0.2">
      <c r="A103" s="3" t="str">
        <f>"8743"</f>
        <v>8743</v>
      </c>
      <c r="B103" s="4">
        <v>42818</v>
      </c>
      <c r="C103" s="1" t="str">
        <f>"Ｒ-003"</f>
        <v>Ｒ-003</v>
      </c>
      <c r="D103" s="11" t="str">
        <f>"131800"</f>
        <v>131800</v>
      </c>
      <c r="E103" s="1" t="str">
        <f t="shared" si="20"/>
        <v>卖出</v>
      </c>
      <c r="F103" s="1" t="str">
        <f>"拆出质押购回"</f>
        <v>拆出质押购回</v>
      </c>
      <c r="G103" s="13">
        <v>6.8579999999999997</v>
      </c>
      <c r="H103" s="1">
        <v>-80</v>
      </c>
      <c r="I103" s="5">
        <v>8004.51</v>
      </c>
      <c r="J103" s="5">
        <v>0</v>
      </c>
      <c r="K103" s="1">
        <v>0</v>
      </c>
      <c r="L103" s="1" t="str">
        <f>"0184500716"</f>
        <v>0184500716</v>
      </c>
      <c r="M103" s="1" t="str">
        <f>"融券购回:4.51-131990"</f>
        <v>融券购回:4.51-131990</v>
      </c>
    </row>
    <row r="104" spans="1:13" x14ac:dyDescent="0.2">
      <c r="A104" s="3" t="str">
        <f>"6261"</f>
        <v>6261</v>
      </c>
      <c r="B104" s="4">
        <v>42822</v>
      </c>
      <c r="C104" s="1" t="str">
        <f>"Ｒ-001"</f>
        <v>Ｒ-001</v>
      </c>
      <c r="D104" s="11" t="str">
        <f>"131810"</f>
        <v>131810</v>
      </c>
      <c r="E104" s="1" t="str">
        <f t="shared" si="20"/>
        <v>卖出</v>
      </c>
      <c r="F104" s="1" t="str">
        <f>"质押回购拆出"</f>
        <v>质押回购拆出</v>
      </c>
      <c r="G104" s="13">
        <v>6.1</v>
      </c>
      <c r="H104" s="1">
        <v>80</v>
      </c>
      <c r="I104" s="5">
        <v>-8000.08</v>
      </c>
      <c r="J104" s="5">
        <v>-8000.08</v>
      </c>
      <c r="K104" s="1">
        <v>0.08</v>
      </c>
      <c r="L104" s="1" t="str">
        <f>"0184500716"</f>
        <v>0184500716</v>
      </c>
      <c r="M104" s="1" t="str">
        <f>"融券回购购回日:20170329息:1.34-131990"</f>
        <v>融券回购购回日:20170329息:1.34-131990</v>
      </c>
    </row>
    <row r="105" spans="1:13" x14ac:dyDescent="0.2">
      <c r="A105" s="3" t="str">
        <f>"6722"</f>
        <v>6722</v>
      </c>
      <c r="B105" s="4">
        <v>42822</v>
      </c>
      <c r="C105" s="4" t="s">
        <v>34</v>
      </c>
      <c r="D105" s="11">
        <v>940018</v>
      </c>
      <c r="E105" s="1" t="str">
        <f t="shared" si="20"/>
        <v>卖出</v>
      </c>
      <c r="F105" s="1" t="str">
        <f>"基金资金拨出"</f>
        <v>基金资金拨出</v>
      </c>
      <c r="G105" s="13">
        <v>0</v>
      </c>
      <c r="H105" s="1">
        <v>0</v>
      </c>
      <c r="I105" s="5">
        <v>-111.03</v>
      </c>
      <c r="J105" s="5">
        <v>-8111.11</v>
      </c>
      <c r="K105" s="1">
        <v>0</v>
      </c>
      <c r="L105" s="1" t="str">
        <f t="shared" ref="L105:L107" si="23">" "</f>
        <v xml:space="preserve"> </v>
      </c>
      <c r="M105" s="1" t="str">
        <f>"122扣除金额 基金代码：940018"</f>
        <v>122扣除金额 基金代码：940018</v>
      </c>
    </row>
    <row r="106" spans="1:13" x14ac:dyDescent="0.2">
      <c r="A106" s="3" t="str">
        <f>"6723"</f>
        <v>6723</v>
      </c>
      <c r="B106" s="4">
        <v>42822</v>
      </c>
      <c r="C106" s="4" t="s">
        <v>34</v>
      </c>
      <c r="D106" s="11">
        <v>940018</v>
      </c>
      <c r="E106" s="1" t="str">
        <f t="shared" si="20"/>
        <v>卖出</v>
      </c>
      <c r="F106" s="1" t="str">
        <f>"基金资金拨入"</f>
        <v>基金资金拨入</v>
      </c>
      <c r="G106" s="13">
        <v>0</v>
      </c>
      <c r="H106" s="1">
        <v>0</v>
      </c>
      <c r="I106" s="5">
        <v>8112.11</v>
      </c>
      <c r="J106" s="5">
        <v>1</v>
      </c>
      <c r="K106" s="1">
        <v>0</v>
      </c>
      <c r="L106" s="1" t="str">
        <f t="shared" si="23"/>
        <v xml:space="preserve"> </v>
      </c>
      <c r="M106" s="1" t="str">
        <f>"124增加金额 基金代码：940018,发生份额：8112.11"</f>
        <v>124增加金额 基金代码：940018,发生份额：8112.11</v>
      </c>
    </row>
    <row r="107" spans="1:13" x14ac:dyDescent="0.2">
      <c r="A107" s="3" t="str">
        <f>"2566"</f>
        <v>2566</v>
      </c>
      <c r="B107" s="4">
        <v>42823</v>
      </c>
      <c r="C107" s="4" t="s">
        <v>34</v>
      </c>
      <c r="D107" s="11">
        <v>940018</v>
      </c>
      <c r="E107" s="1" t="str">
        <f t="shared" si="20"/>
        <v>卖出</v>
      </c>
      <c r="F107" s="1" t="str">
        <f>"基金资金拨出"</f>
        <v>基金资金拨出</v>
      </c>
      <c r="G107" s="13">
        <v>0</v>
      </c>
      <c r="H107" s="1">
        <v>0</v>
      </c>
      <c r="I107" s="5">
        <v>-1.1000000000000001</v>
      </c>
      <c r="J107" s="5">
        <v>-0.1</v>
      </c>
      <c r="K107" s="1">
        <v>0</v>
      </c>
      <c r="L107" s="1" t="str">
        <f t="shared" si="23"/>
        <v xml:space="preserve"> </v>
      </c>
      <c r="M107" s="1" t="str">
        <f>"122扣除金额 基金代码：940018"</f>
        <v>122扣除金额 基金代码：940018</v>
      </c>
    </row>
    <row r="108" spans="1:13" x14ac:dyDescent="0.2">
      <c r="A108" s="3" t="str">
        <f>"7519"</f>
        <v>7519</v>
      </c>
      <c r="B108" s="4">
        <v>42823</v>
      </c>
      <c r="C108" s="1" t="str">
        <f>"Ｒ-003"</f>
        <v>Ｒ-003</v>
      </c>
      <c r="D108" s="11" t="str">
        <f>"131800"</f>
        <v>131800</v>
      </c>
      <c r="E108" s="1" t="str">
        <f t="shared" si="20"/>
        <v>卖出</v>
      </c>
      <c r="F108" s="1" t="str">
        <f>"质押回购拆出"</f>
        <v>质押回购拆出</v>
      </c>
      <c r="G108" s="13">
        <v>11.1</v>
      </c>
      <c r="H108" s="1">
        <v>80</v>
      </c>
      <c r="I108" s="5">
        <v>-8000.24</v>
      </c>
      <c r="J108" s="5">
        <v>-8000.34</v>
      </c>
      <c r="K108" s="1">
        <v>0.24</v>
      </c>
      <c r="L108" s="1" t="str">
        <f>"0184500716"</f>
        <v>0184500716</v>
      </c>
      <c r="M108" s="1" t="str">
        <f>"融券回购购回日:20170401息:7.3-131990"</f>
        <v>融券回购购回日:20170401息:7.3-131990</v>
      </c>
    </row>
    <row r="109" spans="1:13" x14ac:dyDescent="0.2">
      <c r="A109" s="3" t="str">
        <f>"8410"</f>
        <v>8410</v>
      </c>
      <c r="B109" s="4">
        <v>42823</v>
      </c>
      <c r="C109" s="1" t="str">
        <f>"Ｒ-001"</f>
        <v>Ｒ-001</v>
      </c>
      <c r="D109" s="11" t="str">
        <f>"131810"</f>
        <v>131810</v>
      </c>
      <c r="E109" s="1" t="str">
        <f t="shared" si="20"/>
        <v>卖出</v>
      </c>
      <c r="F109" s="1" t="str">
        <f>"拆出质押购回"</f>
        <v>拆出质押购回</v>
      </c>
      <c r="G109" s="13">
        <v>6.1</v>
      </c>
      <c r="H109" s="1">
        <v>-80</v>
      </c>
      <c r="I109" s="5">
        <v>8001.34</v>
      </c>
      <c r="J109" s="5">
        <v>1</v>
      </c>
      <c r="K109" s="1">
        <v>0</v>
      </c>
      <c r="L109" s="1" t="str">
        <f>"0184500716"</f>
        <v>0184500716</v>
      </c>
      <c r="M109" s="1" t="str">
        <f>"融券购回:1.34-131990"</f>
        <v>融券购回:1.34-131990</v>
      </c>
    </row>
    <row r="110" spans="1:13" x14ac:dyDescent="0.2">
      <c r="A110" s="3" t="str">
        <f>"2778"</f>
        <v>2778</v>
      </c>
      <c r="B110" s="4">
        <v>42824</v>
      </c>
      <c r="C110" s="4" t="s">
        <v>34</v>
      </c>
      <c r="D110" s="11">
        <v>940018</v>
      </c>
      <c r="E110" s="1" t="str">
        <f t="shared" si="20"/>
        <v>卖出</v>
      </c>
      <c r="F110" s="1" t="str">
        <f>"基金资金拨出"</f>
        <v>基金资金拨出</v>
      </c>
      <c r="G110" s="13">
        <v>0</v>
      </c>
      <c r="H110" s="1">
        <v>0</v>
      </c>
      <c r="I110" s="5">
        <v>-1</v>
      </c>
      <c r="J110" s="5">
        <v>0</v>
      </c>
      <c r="K110" s="1">
        <v>0</v>
      </c>
      <c r="L110" s="1" t="str">
        <f t="shared" ref="L110:L111" si="24">" "</f>
        <v xml:space="preserve"> </v>
      </c>
      <c r="M110" s="1" t="str">
        <f>"122扣除金额 基金代码：940018"</f>
        <v>122扣除金额 基金代码：940018</v>
      </c>
    </row>
    <row r="111" spans="1:13" x14ac:dyDescent="0.2">
      <c r="A111" s="3" t="str">
        <f>"3107"</f>
        <v>3107</v>
      </c>
      <c r="B111" s="4">
        <v>42825</v>
      </c>
      <c r="C111" s="4" t="s">
        <v>34</v>
      </c>
      <c r="D111" s="11">
        <v>940018</v>
      </c>
      <c r="E111" s="1" t="str">
        <f t="shared" si="20"/>
        <v>卖出</v>
      </c>
      <c r="F111" s="1" t="str">
        <f>"基金资金拨出"</f>
        <v>基金资金拨出</v>
      </c>
      <c r="G111" s="13">
        <v>0</v>
      </c>
      <c r="H111" s="1">
        <v>0</v>
      </c>
      <c r="I111" s="5">
        <v>-10082.9</v>
      </c>
      <c r="J111" s="5">
        <v>-10082.9</v>
      </c>
      <c r="K111" s="1">
        <v>0</v>
      </c>
      <c r="L111" s="1" t="str">
        <f t="shared" si="24"/>
        <v xml:space="preserve"> </v>
      </c>
      <c r="M111" s="1" t="str">
        <f>"122扣除金额 基金代码：940018"</f>
        <v>122扣除金额 基金代码：940018</v>
      </c>
    </row>
    <row r="112" spans="1:13" x14ac:dyDescent="0.2">
      <c r="A112" s="3" t="str">
        <f>"5895"</f>
        <v>5895</v>
      </c>
      <c r="B112" s="4">
        <v>42825</v>
      </c>
      <c r="C112" s="1" t="str">
        <f>"银华日利"</f>
        <v>银华日利</v>
      </c>
      <c r="D112" s="11" t="str">
        <f>"511880"</f>
        <v>511880</v>
      </c>
      <c r="E112" s="1" t="str">
        <f t="shared" si="20"/>
        <v>卖出</v>
      </c>
      <c r="F112" s="1" t="str">
        <f>"证券卖出"</f>
        <v>证券卖出</v>
      </c>
      <c r="G112" s="13">
        <v>100.839</v>
      </c>
      <c r="H112" s="1">
        <v>-100</v>
      </c>
      <c r="I112" s="5">
        <v>10083.9</v>
      </c>
      <c r="J112" s="5">
        <v>1</v>
      </c>
      <c r="K112" s="1">
        <v>0</v>
      </c>
      <c r="L112" s="1" t="str">
        <f>"A280737240"</f>
        <v>A280737240</v>
      </c>
      <c r="M112" s="1" t="str">
        <f>"证券卖出"</f>
        <v>证券卖出</v>
      </c>
    </row>
    <row r="113" spans="1:13" x14ac:dyDescent="0.2">
      <c r="A113" s="3" t="str">
        <f>"3026"</f>
        <v>3026</v>
      </c>
      <c r="B113" s="4">
        <v>42830</v>
      </c>
      <c r="C113" s="4" t="s">
        <v>34</v>
      </c>
      <c r="D113" s="11">
        <v>940018</v>
      </c>
      <c r="E113" s="1" t="str">
        <f t="shared" si="20"/>
        <v>卖出</v>
      </c>
      <c r="F113" s="1" t="str">
        <f>"基金资金拨出"</f>
        <v>基金资金拨出</v>
      </c>
      <c r="G113" s="13">
        <v>0</v>
      </c>
      <c r="H113" s="1">
        <v>0</v>
      </c>
      <c r="I113" s="5">
        <v>-8008.3</v>
      </c>
      <c r="J113" s="5">
        <v>-8007.3</v>
      </c>
      <c r="K113" s="1">
        <v>0</v>
      </c>
      <c r="L113" s="1" t="str">
        <f>" "</f>
        <v xml:space="preserve"> </v>
      </c>
      <c r="M113" s="1" t="str">
        <f>"122扣除金额 基金代码：940018"</f>
        <v>122扣除金额 基金代码：940018</v>
      </c>
    </row>
    <row r="114" spans="1:13" x14ac:dyDescent="0.2">
      <c r="A114" s="3" t="str">
        <f>"10275"</f>
        <v>10275</v>
      </c>
      <c r="B114" s="4">
        <v>42830</v>
      </c>
      <c r="C114" s="1" t="str">
        <f>"Ｒ-003"</f>
        <v>Ｒ-003</v>
      </c>
      <c r="D114" s="11" t="str">
        <f>"131800"</f>
        <v>131800</v>
      </c>
      <c r="E114" s="1" t="str">
        <f t="shared" si="20"/>
        <v>卖出</v>
      </c>
      <c r="F114" s="1" t="str">
        <f>"拆出质押购回"</f>
        <v>拆出质押购回</v>
      </c>
      <c r="G114" s="13">
        <v>11.1</v>
      </c>
      <c r="H114" s="1">
        <v>-80</v>
      </c>
      <c r="I114" s="5">
        <v>8007.3</v>
      </c>
      <c r="J114" s="5">
        <v>0</v>
      </c>
      <c r="K114" s="1">
        <v>0</v>
      </c>
      <c r="L114" s="1" t="str">
        <f>"0184500716"</f>
        <v>0184500716</v>
      </c>
      <c r="M114" s="1" t="str">
        <f>"融券购回:7.3-131990"</f>
        <v>融券购回:7.3-131990</v>
      </c>
    </row>
    <row r="115" spans="1:13" x14ac:dyDescent="0.2">
      <c r="A115" s="3" t="str">
        <f>"3553"</f>
        <v>3553</v>
      </c>
      <c r="B115" s="4">
        <v>42836</v>
      </c>
      <c r="C115" s="1" t="str">
        <f>"H股ETF"</f>
        <v>H股ETF</v>
      </c>
      <c r="D115" s="11" t="str">
        <f>"510900"</f>
        <v>510900</v>
      </c>
      <c r="E115" s="1" t="str">
        <f>"买入"</f>
        <v>买入</v>
      </c>
      <c r="F115" s="1" t="str">
        <f>"证券买入"</f>
        <v>证券买入</v>
      </c>
      <c r="G115" s="13">
        <v>1.1140000000000001</v>
      </c>
      <c r="H115" s="1">
        <v>10800</v>
      </c>
      <c r="I115" s="5">
        <v>-12033.61</v>
      </c>
      <c r="J115" s="5">
        <v>-12033.61</v>
      </c>
      <c r="K115" s="1">
        <v>2.41</v>
      </c>
      <c r="L115" s="1" t="str">
        <f>"A280737240"</f>
        <v>A280737240</v>
      </c>
      <c r="M115" s="1" t="str">
        <f>"证券买入"</f>
        <v>证券买入</v>
      </c>
    </row>
    <row r="116" spans="1:13" x14ac:dyDescent="0.2">
      <c r="A116" s="3" t="str">
        <f>"8009"</f>
        <v>8009</v>
      </c>
      <c r="B116" s="4">
        <v>42836</v>
      </c>
      <c r="C116" s="4" t="s">
        <v>34</v>
      </c>
      <c r="D116" s="11">
        <v>940018</v>
      </c>
      <c r="E116" s="1" t="str">
        <f t="shared" ref="E116:E126" si="25">"卖出"</f>
        <v>卖出</v>
      </c>
      <c r="F116" s="1" t="str">
        <f>"基金资金拨出"</f>
        <v>基金资金拨出</v>
      </c>
      <c r="G116" s="13">
        <v>0</v>
      </c>
      <c r="H116" s="1">
        <v>0</v>
      </c>
      <c r="I116" s="5">
        <v>-6178.22</v>
      </c>
      <c r="J116" s="5">
        <v>-18211.830000000002</v>
      </c>
      <c r="K116" s="1">
        <v>0</v>
      </c>
      <c r="L116" s="1" t="str">
        <f t="shared" ref="L116:L120" si="26">" "</f>
        <v xml:space="preserve"> </v>
      </c>
      <c r="M116" s="1" t="str">
        <f>"122扣除金额 基金代码：940018"</f>
        <v>122扣除金额 基金代码：940018</v>
      </c>
    </row>
    <row r="117" spans="1:13" x14ac:dyDescent="0.2">
      <c r="A117" s="3" t="str">
        <f>"8011"</f>
        <v>8011</v>
      </c>
      <c r="B117" s="4">
        <v>42836</v>
      </c>
      <c r="C117" s="4" t="s">
        <v>34</v>
      </c>
      <c r="D117" s="11">
        <v>940018</v>
      </c>
      <c r="E117" s="1" t="str">
        <f t="shared" si="25"/>
        <v>卖出</v>
      </c>
      <c r="F117" s="1" t="str">
        <f>"基金资金拨入"</f>
        <v>基金资金拨入</v>
      </c>
      <c r="G117" s="13">
        <v>0</v>
      </c>
      <c r="H117" s="1">
        <v>0</v>
      </c>
      <c r="I117" s="5">
        <v>18212.830000000002</v>
      </c>
      <c r="J117" s="5">
        <v>1</v>
      </c>
      <c r="K117" s="1">
        <v>0</v>
      </c>
      <c r="L117" s="1" t="str">
        <f t="shared" si="26"/>
        <v xml:space="preserve"> </v>
      </c>
      <c r="M117" s="1" t="str">
        <f>"124增加金额 基金代码：940018,发生份额：18212.83"</f>
        <v>124增加金额 基金代码：940018,发生份额：18212.83</v>
      </c>
    </row>
    <row r="118" spans="1:13" x14ac:dyDescent="0.2">
      <c r="A118" s="3" t="str">
        <f>"2309"</f>
        <v>2309</v>
      </c>
      <c r="B118" s="4">
        <v>42837</v>
      </c>
      <c r="C118" s="4" t="s">
        <v>34</v>
      </c>
      <c r="D118" s="11">
        <v>940018</v>
      </c>
      <c r="E118" s="1" t="str">
        <f t="shared" si="25"/>
        <v>卖出</v>
      </c>
      <c r="F118" s="1" t="str">
        <f>"基金资金拨出"</f>
        <v>基金资金拨出</v>
      </c>
      <c r="G118" s="13">
        <v>0</v>
      </c>
      <c r="H118" s="1">
        <v>0</v>
      </c>
      <c r="I118" s="5">
        <v>-1</v>
      </c>
      <c r="J118" s="5">
        <v>0</v>
      </c>
      <c r="K118" s="1">
        <v>0</v>
      </c>
      <c r="L118" s="1" t="str">
        <f t="shared" si="26"/>
        <v xml:space="preserve"> </v>
      </c>
      <c r="M118" s="1" t="str">
        <f>"122扣除金额 基金代码：940018"</f>
        <v>122扣除金额 基金代码：940018</v>
      </c>
    </row>
    <row r="119" spans="1:13" x14ac:dyDescent="0.2">
      <c r="A119" s="3" t="str">
        <f>"2068"</f>
        <v>2068</v>
      </c>
      <c r="B119" s="4">
        <v>42845</v>
      </c>
      <c r="C119" s="4" t="s">
        <v>34</v>
      </c>
      <c r="D119" s="11">
        <v>940018</v>
      </c>
      <c r="E119" s="1" t="str">
        <f t="shared" si="25"/>
        <v>卖出</v>
      </c>
      <c r="F119" s="1" t="str">
        <f>"基金资金拨出"</f>
        <v>基金资金拨出</v>
      </c>
      <c r="G119" s="13">
        <v>0</v>
      </c>
      <c r="H119" s="1">
        <v>0</v>
      </c>
      <c r="I119" s="5">
        <v>-5795.3</v>
      </c>
      <c r="J119" s="5">
        <v>-5795.3</v>
      </c>
      <c r="K119" s="1">
        <v>0</v>
      </c>
      <c r="L119" s="1" t="str">
        <f t="shared" si="26"/>
        <v xml:space="preserve"> </v>
      </c>
      <c r="M119" s="1" t="str">
        <f>"122扣除金额 基金代码：940018"</f>
        <v>122扣除金额 基金代码：940018</v>
      </c>
    </row>
    <row r="120" spans="1:13" x14ac:dyDescent="0.2">
      <c r="A120" s="3" t="str">
        <f>"2069"</f>
        <v>2069</v>
      </c>
      <c r="B120" s="4">
        <v>42845</v>
      </c>
      <c r="C120" s="4" t="s">
        <v>34</v>
      </c>
      <c r="D120" s="11">
        <v>940018</v>
      </c>
      <c r="E120" s="1" t="str">
        <f t="shared" si="25"/>
        <v>卖出</v>
      </c>
      <c r="F120" s="1" t="str">
        <f>"基金资金拨入"</f>
        <v>基金资金拨入</v>
      </c>
      <c r="G120" s="13">
        <v>0</v>
      </c>
      <c r="H120" s="1">
        <v>0</v>
      </c>
      <c r="I120" s="5">
        <v>6179.22</v>
      </c>
      <c r="J120" s="5">
        <v>383.92</v>
      </c>
      <c r="K120" s="1">
        <v>0</v>
      </c>
      <c r="L120" s="1" t="str">
        <f t="shared" si="26"/>
        <v xml:space="preserve"> </v>
      </c>
      <c r="M120" s="1" t="str">
        <f>"124增加金额 基金代码：940018,发生份额：6179.22"</f>
        <v>124增加金额 基金代码：940018,发生份额：6179.22</v>
      </c>
    </row>
    <row r="121" spans="1:13" x14ac:dyDescent="0.2">
      <c r="A121" s="3" t="str">
        <f>"5064"</f>
        <v>5064</v>
      </c>
      <c r="B121" s="4">
        <v>42845</v>
      </c>
      <c r="C121" s="1" t="str">
        <f>"银华日利"</f>
        <v>银华日利</v>
      </c>
      <c r="D121" s="11" t="str">
        <f>"511880"</f>
        <v>511880</v>
      </c>
      <c r="E121" s="1" t="str">
        <f t="shared" si="25"/>
        <v>卖出</v>
      </c>
      <c r="F121" s="1" t="str">
        <f>"证券卖出"</f>
        <v>证券卖出</v>
      </c>
      <c r="G121" s="13">
        <v>101.032</v>
      </c>
      <c r="H121" s="1">
        <v>-1200</v>
      </c>
      <c r="I121" s="5">
        <v>121238.39999999999</v>
      </c>
      <c r="J121" s="5">
        <v>121622.32</v>
      </c>
      <c r="K121" s="1">
        <v>0</v>
      </c>
      <c r="L121" s="1" t="str">
        <f>"A280737240"</f>
        <v>A280737240</v>
      </c>
      <c r="M121" s="1" t="str">
        <f>"证券卖出"</f>
        <v>证券卖出</v>
      </c>
    </row>
    <row r="122" spans="1:13" x14ac:dyDescent="0.2">
      <c r="A122" s="3" t="str">
        <f>"4044"</f>
        <v>4044</v>
      </c>
      <c r="B122" s="4">
        <v>42846</v>
      </c>
      <c r="C122" s="4" t="s">
        <v>34</v>
      </c>
      <c r="D122" s="11">
        <v>940018</v>
      </c>
      <c r="E122" s="1" t="str">
        <f t="shared" si="25"/>
        <v>卖出</v>
      </c>
      <c r="F122" s="1" t="str">
        <f>"基金资金拨出"</f>
        <v>基金资金拨出</v>
      </c>
      <c r="G122" s="13">
        <v>0</v>
      </c>
      <c r="H122" s="1">
        <v>0</v>
      </c>
      <c r="I122" s="5">
        <v>-121622.32</v>
      </c>
      <c r="J122" s="5">
        <v>0</v>
      </c>
      <c r="K122" s="1">
        <v>0</v>
      </c>
      <c r="L122" s="1" t="str">
        <f t="shared" ref="C122:L125" si="27">" "</f>
        <v xml:space="preserve"> </v>
      </c>
      <c r="M122" s="1" t="str">
        <f>"122扣除金额 基金代码：940018"</f>
        <v>122扣除金额 基金代码：940018</v>
      </c>
    </row>
    <row r="123" spans="1:13" x14ac:dyDescent="0.2">
      <c r="A123" s="3" t="str">
        <f>"639"</f>
        <v>639</v>
      </c>
      <c r="B123" s="4">
        <v>42850</v>
      </c>
      <c r="C123" s="4" t="s">
        <v>34</v>
      </c>
      <c r="D123" s="11">
        <v>940018</v>
      </c>
      <c r="E123" s="1" t="str">
        <f t="shared" si="25"/>
        <v>卖出</v>
      </c>
      <c r="F123" s="1" t="str">
        <f>"资管转让资金上账"</f>
        <v>资管转让资金上账</v>
      </c>
      <c r="G123" s="13">
        <v>0</v>
      </c>
      <c r="H123" s="1">
        <v>0</v>
      </c>
      <c r="I123" s="5">
        <v>11880</v>
      </c>
      <c r="J123" s="5">
        <v>11880</v>
      </c>
      <c r="K123" s="1">
        <v>0</v>
      </c>
      <c r="L123" s="1" t="str">
        <f t="shared" si="27"/>
        <v xml:space="preserve"> </v>
      </c>
      <c r="M123" s="1" t="str">
        <f>"快速取现退出资金拨入,产品代码940018,对方资产账户40000545"</f>
        <v>快速取现退出资金拨入,产品代码940018,对方资产账户40000545</v>
      </c>
    </row>
    <row r="124" spans="1:13" x14ac:dyDescent="0.2">
      <c r="A124" s="3" t="str">
        <f>"642"</f>
        <v>642</v>
      </c>
      <c r="B124" s="4">
        <v>42850</v>
      </c>
      <c r="C124" s="1" t="str">
        <f t="shared" si="27"/>
        <v xml:space="preserve"> </v>
      </c>
      <c r="D124" s="11"/>
      <c r="E124" s="1" t="str">
        <f t="shared" si="25"/>
        <v>卖出</v>
      </c>
      <c r="F124" s="1" t="str">
        <f>"银行转取"</f>
        <v>银行转取</v>
      </c>
      <c r="G124" s="13">
        <v>0</v>
      </c>
      <c r="H124" s="1">
        <v>0</v>
      </c>
      <c r="I124" s="5">
        <v>-11880</v>
      </c>
      <c r="J124" s="5">
        <v>0</v>
      </c>
      <c r="K124" s="1">
        <v>0</v>
      </c>
      <c r="L124" s="1" t="str">
        <f t="shared" si="27"/>
        <v xml:space="preserve"> </v>
      </c>
      <c r="M124" s="1" t="str">
        <f>"银行返回码[ ]返回信息[0000 交易成功]|转账成功"</f>
        <v>银行返回码[ ]返回信息[0000 交易成功]|转账成功</v>
      </c>
    </row>
    <row r="125" spans="1:13" x14ac:dyDescent="0.2">
      <c r="A125" s="3" t="str">
        <f>"2059"</f>
        <v>2059</v>
      </c>
      <c r="B125" s="4">
        <v>42850</v>
      </c>
      <c r="C125" s="4" t="s">
        <v>34</v>
      </c>
      <c r="D125" s="11">
        <v>940018</v>
      </c>
      <c r="E125" s="1" t="str">
        <f t="shared" si="25"/>
        <v>卖出</v>
      </c>
      <c r="F125" s="1" t="str">
        <f>"基金资金拨出"</f>
        <v>基金资金拨出</v>
      </c>
      <c r="G125" s="13">
        <v>0</v>
      </c>
      <c r="H125" s="1">
        <v>0</v>
      </c>
      <c r="I125" s="5">
        <v>-6111.7</v>
      </c>
      <c r="J125" s="5">
        <v>-6111.7</v>
      </c>
      <c r="K125" s="1">
        <v>0</v>
      </c>
      <c r="L125" s="1" t="str">
        <f t="shared" si="27"/>
        <v xml:space="preserve"> </v>
      </c>
      <c r="M125" s="1" t="str">
        <f>"122扣除金额 基金代码：940018"</f>
        <v>122扣除金额 基金代码：940018</v>
      </c>
    </row>
    <row r="126" spans="1:13" x14ac:dyDescent="0.2">
      <c r="A126" s="3" t="str">
        <f>"4481"</f>
        <v>4481</v>
      </c>
      <c r="B126" s="4">
        <v>42850</v>
      </c>
      <c r="C126" s="1" t="str">
        <f>"银华日利"</f>
        <v>银华日利</v>
      </c>
      <c r="D126" s="11" t="str">
        <f>"511880"</f>
        <v>511880</v>
      </c>
      <c r="E126" s="1" t="str">
        <f t="shared" si="25"/>
        <v>卖出</v>
      </c>
      <c r="F126" s="1" t="str">
        <f>"证券卖出"</f>
        <v>证券卖出</v>
      </c>
      <c r="G126" s="13">
        <v>101.063</v>
      </c>
      <c r="H126" s="1">
        <v>-100</v>
      </c>
      <c r="I126" s="5">
        <v>10106.299999999999</v>
      </c>
      <c r="J126" s="5">
        <v>3994.6</v>
      </c>
      <c r="K126" s="1">
        <v>0</v>
      </c>
      <c r="L126" s="1" t="str">
        <f>"A280737240"</f>
        <v>A280737240</v>
      </c>
      <c r="M126" s="1" t="str">
        <f>"证券卖出"</f>
        <v>证券卖出</v>
      </c>
    </row>
    <row r="127" spans="1:13" x14ac:dyDescent="0.2">
      <c r="A127" s="3" t="str">
        <f>"6285"</f>
        <v>6285</v>
      </c>
      <c r="B127" s="4">
        <v>42850</v>
      </c>
      <c r="C127" s="1" t="str">
        <f>"广发医药"</f>
        <v>广发医药</v>
      </c>
      <c r="D127" s="11" t="str">
        <f>"159938"</f>
        <v>159938</v>
      </c>
      <c r="E127" s="1" t="str">
        <f>"买入"</f>
        <v>买入</v>
      </c>
      <c r="F127" s="1" t="str">
        <f>"证券买入"</f>
        <v>证券买入</v>
      </c>
      <c r="G127" s="13">
        <v>1.288</v>
      </c>
      <c r="H127" s="1">
        <v>3100</v>
      </c>
      <c r="I127" s="5">
        <v>-3993.6</v>
      </c>
      <c r="J127" s="5">
        <v>1</v>
      </c>
      <c r="K127" s="1">
        <v>0.8</v>
      </c>
      <c r="L127" s="1" t="str">
        <f>"0184500716"</f>
        <v>0184500716</v>
      </c>
      <c r="M127" s="1" t="str">
        <f>"证券买入"</f>
        <v>证券买入</v>
      </c>
    </row>
    <row r="128" spans="1:13" x14ac:dyDescent="0.2">
      <c r="A128" s="3" t="str">
        <f>"3800"</f>
        <v>3800</v>
      </c>
      <c r="B128" s="4">
        <v>42851</v>
      </c>
      <c r="C128" s="4" t="s">
        <v>34</v>
      </c>
      <c r="D128" s="11">
        <v>940018</v>
      </c>
      <c r="E128" s="1" t="str">
        <f>"卖出"</f>
        <v>卖出</v>
      </c>
      <c r="F128" s="1" t="str">
        <f>"基金资金拨出"</f>
        <v>基金资金拨出</v>
      </c>
      <c r="G128" s="13">
        <v>0</v>
      </c>
      <c r="H128" s="1">
        <v>0</v>
      </c>
      <c r="I128" s="5">
        <v>-1</v>
      </c>
      <c r="J128" s="5">
        <v>0</v>
      </c>
      <c r="K128" s="1">
        <v>0</v>
      </c>
      <c r="L128" s="1" t="str">
        <f>" "</f>
        <v xml:space="preserve"> </v>
      </c>
      <c r="M128" s="1" t="str">
        <f>"122扣除金额 基金代码：940018"</f>
        <v>122扣除金额 基金代码：940018</v>
      </c>
    </row>
    <row r="129" spans="1:13" x14ac:dyDescent="0.2">
      <c r="A129" s="3" t="str">
        <f>"2801"</f>
        <v>2801</v>
      </c>
      <c r="B129" s="4">
        <v>42853</v>
      </c>
      <c r="C129" s="1" t="str">
        <f>"500ETF"</f>
        <v>500ETF</v>
      </c>
      <c r="D129" s="11" t="str">
        <f>"510500"</f>
        <v>510500</v>
      </c>
      <c r="E129" s="1" t="str">
        <f>"买入"</f>
        <v>买入</v>
      </c>
      <c r="F129" s="1" t="str">
        <f>"证券买入"</f>
        <v>证券买入</v>
      </c>
      <c r="G129" s="13">
        <v>6.4779999999999998</v>
      </c>
      <c r="H129" s="1">
        <v>600</v>
      </c>
      <c r="I129" s="5">
        <v>-3887.58</v>
      </c>
      <c r="J129" s="5">
        <v>-3887.58</v>
      </c>
      <c r="K129" s="1">
        <v>0.78</v>
      </c>
      <c r="L129" s="1" t="str">
        <f>"A280737240"</f>
        <v>A280737240</v>
      </c>
      <c r="M129" s="1" t="str">
        <f>"证券买入"</f>
        <v>证券买入</v>
      </c>
    </row>
    <row r="130" spans="1:13" x14ac:dyDescent="0.2">
      <c r="A130" s="3" t="str">
        <f>"2802"</f>
        <v>2802</v>
      </c>
      <c r="B130" s="4">
        <v>42853</v>
      </c>
      <c r="C130" s="1" t="str">
        <f>"银华日利"</f>
        <v>银华日利</v>
      </c>
      <c r="D130" s="11" t="str">
        <f>"511880"</f>
        <v>511880</v>
      </c>
      <c r="E130" s="1" t="str">
        <f>"卖出"</f>
        <v>卖出</v>
      </c>
      <c r="F130" s="1" t="str">
        <f>"证券卖出"</f>
        <v>证券卖出</v>
      </c>
      <c r="G130" s="13">
        <v>101.131</v>
      </c>
      <c r="H130" s="1">
        <v>-100</v>
      </c>
      <c r="I130" s="5">
        <v>10113.1</v>
      </c>
      <c r="J130" s="5">
        <v>6225.52</v>
      </c>
      <c r="K130" s="1">
        <v>0</v>
      </c>
      <c r="L130" s="1" t="str">
        <f>"A280737240"</f>
        <v>A280737240</v>
      </c>
      <c r="M130" s="1" t="str">
        <f>"证券卖出"</f>
        <v>证券卖出</v>
      </c>
    </row>
    <row r="131" spans="1:13" x14ac:dyDescent="0.2">
      <c r="A131" s="3" t="str">
        <f>"5197"</f>
        <v>5197</v>
      </c>
      <c r="B131" s="4">
        <v>42853</v>
      </c>
      <c r="C131" s="1" t="str">
        <f>"广发医药"</f>
        <v>广发医药</v>
      </c>
      <c r="D131" s="11" t="str">
        <f>"159938"</f>
        <v>159938</v>
      </c>
      <c r="E131" s="1" t="str">
        <f>"买入"</f>
        <v>买入</v>
      </c>
      <c r="F131" s="1" t="str">
        <f>"证券买入"</f>
        <v>证券买入</v>
      </c>
      <c r="G131" s="13">
        <v>1.2889999999999999</v>
      </c>
      <c r="H131" s="1">
        <v>3100</v>
      </c>
      <c r="I131" s="5">
        <v>-3996.7</v>
      </c>
      <c r="J131" s="5">
        <v>2228.8200000000002</v>
      </c>
      <c r="K131" s="1">
        <v>0.8</v>
      </c>
      <c r="L131" s="1" t="str">
        <f>"0184500716"</f>
        <v>0184500716</v>
      </c>
      <c r="M131" s="1" t="str">
        <f>"证券买入"</f>
        <v>证券买入</v>
      </c>
    </row>
    <row r="132" spans="1:13" x14ac:dyDescent="0.2">
      <c r="A132" s="3" t="str">
        <f>"7440"</f>
        <v>7440</v>
      </c>
      <c r="B132" s="4">
        <v>42853</v>
      </c>
      <c r="C132" s="4" t="s">
        <v>34</v>
      </c>
      <c r="D132" s="11">
        <v>940018</v>
      </c>
      <c r="E132" s="1" t="str">
        <f>"卖出"</f>
        <v>卖出</v>
      </c>
      <c r="F132" s="1" t="str">
        <f>"基金资金拨出"</f>
        <v>基金资金拨出</v>
      </c>
      <c r="G132" s="13">
        <v>0</v>
      </c>
      <c r="H132" s="1">
        <v>0</v>
      </c>
      <c r="I132" s="5">
        <v>-2227.8200000000002</v>
      </c>
      <c r="J132" s="5">
        <v>1</v>
      </c>
      <c r="K132" s="1">
        <v>0</v>
      </c>
      <c r="L132" s="1" t="str">
        <f t="shared" ref="L132:L135" si="28">" "</f>
        <v xml:space="preserve"> </v>
      </c>
      <c r="M132" s="1" t="str">
        <f>"122扣除金额 基金代码：940018"</f>
        <v>122扣除金额 基金代码：940018</v>
      </c>
    </row>
    <row r="133" spans="1:13" x14ac:dyDescent="0.2">
      <c r="A133" s="3" t="str">
        <f>"2413"</f>
        <v>2413</v>
      </c>
      <c r="B133" s="4">
        <v>42857</v>
      </c>
      <c r="C133" s="4" t="s">
        <v>34</v>
      </c>
      <c r="D133" s="11">
        <v>940018</v>
      </c>
      <c r="E133" s="1" t="str">
        <f>"卖出"</f>
        <v>卖出</v>
      </c>
      <c r="F133" s="1" t="str">
        <f>"基金资金拨出"</f>
        <v>基金资金拨出</v>
      </c>
      <c r="G133" s="13">
        <v>0</v>
      </c>
      <c r="H133" s="1">
        <v>0</v>
      </c>
      <c r="I133" s="5">
        <v>-1</v>
      </c>
      <c r="J133" s="5">
        <v>0</v>
      </c>
      <c r="K133" s="1">
        <v>0</v>
      </c>
      <c r="L133" s="1" t="str">
        <f t="shared" si="28"/>
        <v xml:space="preserve"> </v>
      </c>
      <c r="M133" s="1" t="str">
        <f>"122扣除金额 基金代码：940018"</f>
        <v>122扣除金额 基金代码：940018</v>
      </c>
    </row>
    <row r="134" spans="1:13" x14ac:dyDescent="0.2">
      <c r="A134" s="3" t="str">
        <f>"2334"</f>
        <v>2334</v>
      </c>
      <c r="B134" s="4">
        <v>42858</v>
      </c>
      <c r="C134" s="4" t="s">
        <v>34</v>
      </c>
      <c r="D134" s="11">
        <v>940018</v>
      </c>
      <c r="E134" s="1" t="str">
        <f>"卖出"</f>
        <v>卖出</v>
      </c>
      <c r="F134" s="1" t="str">
        <f>"基金资金拨出"</f>
        <v>基金资金拨出</v>
      </c>
      <c r="G134" s="13">
        <v>0</v>
      </c>
      <c r="H134" s="1">
        <v>0</v>
      </c>
      <c r="I134" s="5">
        <v>-3278.72</v>
      </c>
      <c r="J134" s="5">
        <v>-3278.72</v>
      </c>
      <c r="K134" s="1">
        <v>0</v>
      </c>
      <c r="L134" s="1" t="str">
        <f t="shared" si="28"/>
        <v xml:space="preserve"> </v>
      </c>
      <c r="M134" s="1" t="str">
        <f>"122扣除金额 基金代码：940018"</f>
        <v>122扣除金额 基金代码：940018</v>
      </c>
    </row>
    <row r="135" spans="1:13" x14ac:dyDescent="0.2">
      <c r="A135" s="3" t="str">
        <f>"2335"</f>
        <v>2335</v>
      </c>
      <c r="B135" s="4">
        <v>42858</v>
      </c>
      <c r="C135" s="4" t="s">
        <v>34</v>
      </c>
      <c r="D135" s="11">
        <v>940018</v>
      </c>
      <c r="E135" s="1" t="str">
        <f>"卖出"</f>
        <v>卖出</v>
      </c>
      <c r="F135" s="1" t="str">
        <f>"基金资金拨入"</f>
        <v>基金资金拨入</v>
      </c>
      <c r="G135" s="13">
        <v>0</v>
      </c>
      <c r="H135" s="1">
        <v>0</v>
      </c>
      <c r="I135" s="5">
        <v>123903.84</v>
      </c>
      <c r="J135" s="5">
        <v>120625.12</v>
      </c>
      <c r="K135" s="1">
        <v>0</v>
      </c>
      <c r="L135" s="1" t="str">
        <f t="shared" si="28"/>
        <v xml:space="preserve"> </v>
      </c>
      <c r="M135" s="1" t="str">
        <f>"124增加金额 基金代码：940018,发生份额：123903.84"</f>
        <v>124增加金额 基金代码：940018,发生份额：123903.84</v>
      </c>
    </row>
    <row r="136" spans="1:13" x14ac:dyDescent="0.2">
      <c r="A136" s="3" t="str">
        <f>"6802"</f>
        <v>6802</v>
      </c>
      <c r="B136" s="4">
        <v>42858</v>
      </c>
      <c r="C136" s="1" t="str">
        <f>"华宝油气"</f>
        <v>华宝油气</v>
      </c>
      <c r="D136" s="11" t="str">
        <f>"162411"</f>
        <v>162411</v>
      </c>
      <c r="E136" s="1" t="str">
        <f>"买入"</f>
        <v>买入</v>
      </c>
      <c r="F136" s="1" t="str">
        <f>"证券买入"</f>
        <v>证券买入</v>
      </c>
      <c r="G136" s="13">
        <v>0.6</v>
      </c>
      <c r="H136" s="1">
        <v>201000</v>
      </c>
      <c r="I136" s="5">
        <v>-120624.12</v>
      </c>
      <c r="J136" s="5">
        <v>1</v>
      </c>
      <c r="K136" s="1">
        <v>24.12</v>
      </c>
      <c r="L136" s="1" t="str">
        <f>"0184500716"</f>
        <v>0184500716</v>
      </c>
      <c r="M136" s="1" t="str">
        <f>"证券买入"</f>
        <v>证券买入</v>
      </c>
    </row>
    <row r="137" spans="1:13" x14ac:dyDescent="0.2">
      <c r="A137" s="3" t="str">
        <f>"2683"</f>
        <v>2683</v>
      </c>
      <c r="B137" s="4">
        <v>42859</v>
      </c>
      <c r="C137" s="4" t="s">
        <v>34</v>
      </c>
      <c r="D137" s="11">
        <v>940018</v>
      </c>
      <c r="E137" s="1" t="str">
        <f t="shared" ref="E137:E144" si="29">"卖出"</f>
        <v>卖出</v>
      </c>
      <c r="F137" s="1" t="str">
        <f>"基金资金拨出"</f>
        <v>基金资金拨出</v>
      </c>
      <c r="G137" s="13">
        <v>0</v>
      </c>
      <c r="H137" s="1">
        <v>0</v>
      </c>
      <c r="I137" s="5">
        <v>-1</v>
      </c>
      <c r="J137" s="5">
        <v>0</v>
      </c>
      <c r="K137" s="1">
        <v>0</v>
      </c>
      <c r="L137" s="1" t="str">
        <f t="shared" ref="C137:L144" si="30">" "</f>
        <v xml:space="preserve"> </v>
      </c>
      <c r="M137" s="1" t="str">
        <f>"122扣除金额 基金代码：940018"</f>
        <v>122扣除金额 基金代码：940018</v>
      </c>
    </row>
    <row r="138" spans="1:13" x14ac:dyDescent="0.2">
      <c r="A138" s="3" t="str">
        <f>"880"</f>
        <v>880</v>
      </c>
      <c r="B138" s="4">
        <v>42860</v>
      </c>
      <c r="C138" s="1" t="str">
        <f t="shared" si="30"/>
        <v xml:space="preserve"> </v>
      </c>
      <c r="D138" s="11"/>
      <c r="E138" s="1" t="str">
        <f t="shared" si="29"/>
        <v>卖出</v>
      </c>
      <c r="F138" s="1" t="str">
        <f>"银行转存"</f>
        <v>银行转存</v>
      </c>
      <c r="G138" s="13">
        <v>0</v>
      </c>
      <c r="H138" s="1">
        <v>0</v>
      </c>
      <c r="I138" s="5">
        <v>10000</v>
      </c>
      <c r="J138" s="5">
        <v>10000</v>
      </c>
      <c r="K138" s="1">
        <v>0</v>
      </c>
      <c r="L138" s="1" t="str">
        <f t="shared" si="30"/>
        <v xml:space="preserve"> </v>
      </c>
      <c r="M138" s="1" t="str">
        <f>"银行返回码[ ]返回信息[0000 交易成功]|转账成功correct_balance=0"</f>
        <v>银行返回码[ ]返回信息[0000 交易成功]|转账成功correct_balance=0</v>
      </c>
    </row>
    <row r="139" spans="1:13" x14ac:dyDescent="0.2">
      <c r="A139" s="3" t="str">
        <f>"3211"</f>
        <v>3211</v>
      </c>
      <c r="B139" s="4">
        <v>42860</v>
      </c>
      <c r="C139" s="4" t="s">
        <v>34</v>
      </c>
      <c r="D139" s="11">
        <v>940018</v>
      </c>
      <c r="E139" s="1" t="str">
        <f t="shared" si="29"/>
        <v>卖出</v>
      </c>
      <c r="F139" s="1" t="str">
        <f>"基金资金拨出"</f>
        <v>基金资金拨出</v>
      </c>
      <c r="G139" s="13">
        <v>0</v>
      </c>
      <c r="H139" s="1">
        <v>0</v>
      </c>
      <c r="I139" s="5">
        <v>-10000</v>
      </c>
      <c r="J139" s="5">
        <v>0</v>
      </c>
      <c r="K139" s="1">
        <v>0</v>
      </c>
      <c r="L139" s="1" t="str">
        <f t="shared" si="30"/>
        <v xml:space="preserve"> </v>
      </c>
      <c r="M139" s="1" t="str">
        <f>"122扣除金额 基金代码：940018"</f>
        <v>122扣除金额 基金代码：940018</v>
      </c>
    </row>
    <row r="140" spans="1:13" x14ac:dyDescent="0.2">
      <c r="A140" s="3" t="str">
        <f>"837"</f>
        <v>837</v>
      </c>
      <c r="B140" s="4">
        <v>42878</v>
      </c>
      <c r="C140" s="4" t="s">
        <v>34</v>
      </c>
      <c r="D140" s="11">
        <v>940018</v>
      </c>
      <c r="E140" s="1" t="str">
        <f t="shared" si="29"/>
        <v>卖出</v>
      </c>
      <c r="F140" s="1" t="str">
        <f>"资管转让资金上账"</f>
        <v>资管转让资金上账</v>
      </c>
      <c r="G140" s="13">
        <v>0</v>
      </c>
      <c r="H140" s="1">
        <v>0</v>
      </c>
      <c r="I140" s="5">
        <v>5737</v>
      </c>
      <c r="J140" s="5">
        <v>5737</v>
      </c>
      <c r="K140" s="1">
        <v>0</v>
      </c>
      <c r="L140" s="1" t="str">
        <f t="shared" si="30"/>
        <v xml:space="preserve"> </v>
      </c>
      <c r="M140" s="1" t="str">
        <f>"快速取现退出资金拨入,产品代码940018,对方资产账户40000545correct_balance=0"</f>
        <v>快速取现退出资金拨入,产品代码940018,对方资产账户40000545correct_balance=0</v>
      </c>
    </row>
    <row r="141" spans="1:13" x14ac:dyDescent="0.2">
      <c r="A141" s="3" t="str">
        <f>"840"</f>
        <v>840</v>
      </c>
      <c r="B141" s="4">
        <v>42878</v>
      </c>
      <c r="C141" s="1" t="str">
        <f t="shared" si="30"/>
        <v xml:space="preserve"> </v>
      </c>
      <c r="D141" s="11"/>
      <c r="E141" s="1" t="str">
        <f t="shared" si="29"/>
        <v>卖出</v>
      </c>
      <c r="F141" s="1" t="str">
        <f>"银行转取"</f>
        <v>银行转取</v>
      </c>
      <c r="G141" s="13">
        <v>0</v>
      </c>
      <c r="H141" s="1">
        <v>0</v>
      </c>
      <c r="I141" s="5">
        <v>-5737</v>
      </c>
      <c r="J141" s="5">
        <v>0</v>
      </c>
      <c r="K141" s="1">
        <v>0</v>
      </c>
      <c r="L141" s="1" t="str">
        <f t="shared" si="30"/>
        <v xml:space="preserve"> </v>
      </c>
      <c r="M141" s="1" t="str">
        <f>"银行返回码[ ]返回信息[0000 交易成功]|转账成功correct_balance=5737"</f>
        <v>银行返回码[ ]返回信息[0000 交易成功]|转账成功correct_balance=5737</v>
      </c>
    </row>
    <row r="142" spans="1:13" x14ac:dyDescent="0.2">
      <c r="A142" s="3" t="str">
        <f>"851"</f>
        <v>851</v>
      </c>
      <c r="B142" s="4">
        <v>42878</v>
      </c>
      <c r="C142" s="4" t="s">
        <v>34</v>
      </c>
      <c r="D142" s="11">
        <v>940018</v>
      </c>
      <c r="E142" s="1" t="str">
        <f t="shared" si="29"/>
        <v>卖出</v>
      </c>
      <c r="F142" s="1" t="str">
        <f>"资管转让资金上账"</f>
        <v>资管转让资金上账</v>
      </c>
      <c r="G142" s="13">
        <v>0</v>
      </c>
      <c r="H142" s="1">
        <v>0</v>
      </c>
      <c r="I142" s="5">
        <v>7542</v>
      </c>
      <c r="J142" s="5">
        <v>7542</v>
      </c>
      <c r="K142" s="1">
        <v>0</v>
      </c>
      <c r="L142" s="1" t="str">
        <f t="shared" si="30"/>
        <v xml:space="preserve"> </v>
      </c>
      <c r="M142" s="1" t="str">
        <f>"快速取现退出资金拨入,产品代码940018,对方资产账户40000545correct_balance=0"</f>
        <v>快速取现退出资金拨入,产品代码940018,对方资产账户40000545correct_balance=0</v>
      </c>
    </row>
    <row r="143" spans="1:13" x14ac:dyDescent="0.2">
      <c r="A143" s="3" t="str">
        <f>"854"</f>
        <v>854</v>
      </c>
      <c r="B143" s="4">
        <v>42878</v>
      </c>
      <c r="C143" s="1" t="str">
        <f t="shared" si="30"/>
        <v xml:space="preserve"> </v>
      </c>
      <c r="D143" s="11"/>
      <c r="E143" s="1" t="str">
        <f t="shared" si="29"/>
        <v>卖出</v>
      </c>
      <c r="F143" s="1" t="str">
        <f>"银行转取"</f>
        <v>银行转取</v>
      </c>
      <c r="G143" s="13">
        <v>0</v>
      </c>
      <c r="H143" s="1">
        <v>0</v>
      </c>
      <c r="I143" s="5">
        <v>-7542</v>
      </c>
      <c r="J143" s="5">
        <v>0</v>
      </c>
      <c r="K143" s="1">
        <v>0</v>
      </c>
      <c r="L143" s="1" t="str">
        <f t="shared" si="30"/>
        <v xml:space="preserve"> </v>
      </c>
      <c r="M143" s="1" t="str">
        <f>"银行返回码[ ]返回信息[0000 交易成功]|转账成功correct_balance=7542"</f>
        <v>银行返回码[ ]返回信息[0000 交易成功]|转账成功correct_balance=7542</v>
      </c>
    </row>
    <row r="144" spans="1:13" x14ac:dyDescent="0.2">
      <c r="A144" s="3" t="str">
        <f>"2250"</f>
        <v>2250</v>
      </c>
      <c r="B144" s="4">
        <v>42878</v>
      </c>
      <c r="C144" s="4" t="s">
        <v>34</v>
      </c>
      <c r="D144" s="11">
        <v>940018</v>
      </c>
      <c r="E144" s="1" t="str">
        <f t="shared" si="29"/>
        <v>卖出</v>
      </c>
      <c r="F144" s="1" t="str">
        <f>"基金资金拨出"</f>
        <v>基金资金拨出</v>
      </c>
      <c r="G144" s="13">
        <v>0</v>
      </c>
      <c r="H144" s="1">
        <v>0</v>
      </c>
      <c r="I144" s="5">
        <v>-13990.01</v>
      </c>
      <c r="J144" s="5">
        <v>-13990.01</v>
      </c>
      <c r="K144" s="1">
        <v>0</v>
      </c>
      <c r="L144" s="1" t="str">
        <f t="shared" si="30"/>
        <v xml:space="preserve"> </v>
      </c>
      <c r="M144" s="1" t="str">
        <f>"122扣除金额 基金代码：940018"</f>
        <v>122扣除金额 基金代码：940018</v>
      </c>
    </row>
    <row r="145" spans="1:13" x14ac:dyDescent="0.2">
      <c r="A145" s="3" t="str">
        <f>"3906"</f>
        <v>3906</v>
      </c>
      <c r="B145" s="4">
        <v>42878</v>
      </c>
      <c r="C145" s="1" t="str">
        <f>"500ETF"</f>
        <v>500ETF</v>
      </c>
      <c r="D145" s="11" t="str">
        <f>"510500"</f>
        <v>510500</v>
      </c>
      <c r="E145" s="1" t="str">
        <f>"买入"</f>
        <v>买入</v>
      </c>
      <c r="F145" s="1" t="str">
        <f>"证券买入"</f>
        <v>证券买入</v>
      </c>
      <c r="G145" s="13">
        <v>6.0780000000000003</v>
      </c>
      <c r="H145" s="1">
        <v>600</v>
      </c>
      <c r="I145" s="5">
        <v>-3647.53</v>
      </c>
      <c r="J145" s="5">
        <v>-17637.54</v>
      </c>
      <c r="K145" s="1">
        <v>0.73</v>
      </c>
      <c r="L145" s="1" t="str">
        <f>"A280737240"</f>
        <v>A280737240</v>
      </c>
      <c r="M145" s="1" t="str">
        <f>"证券买入"</f>
        <v>证券买入</v>
      </c>
    </row>
    <row r="146" spans="1:13" x14ac:dyDescent="0.2">
      <c r="A146" s="3" t="str">
        <f>"3907"</f>
        <v>3907</v>
      </c>
      <c r="B146" s="4">
        <v>42878</v>
      </c>
      <c r="C146" s="1" t="str">
        <f>"银华日利"</f>
        <v>银华日利</v>
      </c>
      <c r="D146" s="11" t="str">
        <f>"511880"</f>
        <v>511880</v>
      </c>
      <c r="E146" s="1" t="str">
        <f>"卖出"</f>
        <v>卖出</v>
      </c>
      <c r="F146" s="1" t="str">
        <f>"证券卖出"</f>
        <v>证券卖出</v>
      </c>
      <c r="G146" s="13">
        <v>101.352</v>
      </c>
      <c r="H146" s="1">
        <v>-100</v>
      </c>
      <c r="I146" s="5">
        <v>10135.200000000001</v>
      </c>
      <c r="J146" s="5">
        <v>-7502.34</v>
      </c>
      <c r="K146" s="1">
        <v>0</v>
      </c>
      <c r="L146" s="1" t="str">
        <f>"A280737240"</f>
        <v>A280737240</v>
      </c>
      <c r="M146" s="1" t="str">
        <f>"证券卖出"</f>
        <v>证券卖出</v>
      </c>
    </row>
    <row r="147" spans="1:13" x14ac:dyDescent="0.2">
      <c r="A147" s="3" t="str">
        <f>"3908"</f>
        <v>3908</v>
      </c>
      <c r="B147" s="4">
        <v>42878</v>
      </c>
      <c r="C147" s="1" t="str">
        <f>"H股ETF"</f>
        <v>H股ETF</v>
      </c>
      <c r="D147" s="11" t="str">
        <f>"510900"</f>
        <v>510900</v>
      </c>
      <c r="E147" s="1" t="str">
        <f>"卖出"</f>
        <v>卖出</v>
      </c>
      <c r="F147" s="1" t="str">
        <f>"证券卖出"</f>
        <v>证券卖出</v>
      </c>
      <c r="G147" s="13">
        <v>1.1399999999999999</v>
      </c>
      <c r="H147" s="1">
        <v>-10000</v>
      </c>
      <c r="I147" s="5">
        <v>11397.72</v>
      </c>
      <c r="J147" s="5">
        <v>3895.38</v>
      </c>
      <c r="K147" s="1">
        <v>2.2799999999999998</v>
      </c>
      <c r="L147" s="1" t="str">
        <f>"A280737240"</f>
        <v>A280737240</v>
      </c>
      <c r="M147" s="1" t="str">
        <f>"证券卖出"</f>
        <v>证券卖出</v>
      </c>
    </row>
    <row r="148" spans="1:13" x14ac:dyDescent="0.2">
      <c r="A148" s="3" t="str">
        <f>"6442"</f>
        <v>6442</v>
      </c>
      <c r="B148" s="4">
        <v>42878</v>
      </c>
      <c r="C148" s="1" t="str">
        <f>"广发医药"</f>
        <v>广发医药</v>
      </c>
      <c r="D148" s="11" t="str">
        <f>"159938"</f>
        <v>159938</v>
      </c>
      <c r="E148" s="1" t="str">
        <f>"买入"</f>
        <v>买入</v>
      </c>
      <c r="F148" s="1" t="str">
        <f>"证券买入"</f>
        <v>证券买入</v>
      </c>
      <c r="G148" s="13">
        <v>1.256</v>
      </c>
      <c r="H148" s="1">
        <v>3100</v>
      </c>
      <c r="I148" s="5">
        <v>-3894.38</v>
      </c>
      <c r="J148" s="5">
        <v>1</v>
      </c>
      <c r="K148" s="1">
        <v>0.78</v>
      </c>
      <c r="L148" s="1" t="str">
        <f>"0184500716"</f>
        <v>0184500716</v>
      </c>
      <c r="M148" s="1" t="str">
        <f>"证券买入"</f>
        <v>证券买入</v>
      </c>
    </row>
    <row r="149" spans="1:13" x14ac:dyDescent="0.2">
      <c r="A149" s="3" t="str">
        <f>"422"</f>
        <v>422</v>
      </c>
      <c r="B149" s="4">
        <v>42879</v>
      </c>
      <c r="C149" s="4" t="s">
        <v>34</v>
      </c>
      <c r="D149" s="11">
        <v>940018</v>
      </c>
      <c r="E149" s="1" t="str">
        <f>"卖出"</f>
        <v>卖出</v>
      </c>
      <c r="F149" s="1" t="str">
        <f>"资管转让资金上账"</f>
        <v>资管转让资金上账</v>
      </c>
      <c r="G149" s="13">
        <v>0</v>
      </c>
      <c r="H149" s="1">
        <v>0</v>
      </c>
      <c r="I149" s="5">
        <v>11999</v>
      </c>
      <c r="J149" s="5">
        <v>12000</v>
      </c>
      <c r="K149" s="1">
        <v>0</v>
      </c>
      <c r="L149" s="1" t="str">
        <f t="shared" ref="C149:L151" si="31">" "</f>
        <v xml:space="preserve"> </v>
      </c>
      <c r="M149" s="1" t="str">
        <f>"快速取现退出资金拨入,产品代码940018,对方资产账户40000545correct_balance=0"</f>
        <v>快速取现退出资金拨入,产品代码940018,对方资产账户40000545correct_balance=0</v>
      </c>
    </row>
    <row r="150" spans="1:13" x14ac:dyDescent="0.2">
      <c r="A150" s="3" t="str">
        <f>"425"</f>
        <v>425</v>
      </c>
      <c r="B150" s="4">
        <v>42879</v>
      </c>
      <c r="C150" s="1" t="str">
        <f t="shared" si="31"/>
        <v xml:space="preserve"> </v>
      </c>
      <c r="D150" s="11"/>
      <c r="E150" s="1" t="str">
        <f>"卖出"</f>
        <v>卖出</v>
      </c>
      <c r="F150" s="1" t="str">
        <f>"银行转取"</f>
        <v>银行转取</v>
      </c>
      <c r="G150" s="13">
        <v>0</v>
      </c>
      <c r="H150" s="1">
        <v>0</v>
      </c>
      <c r="I150" s="5">
        <v>-12000</v>
      </c>
      <c r="J150" s="5">
        <v>0</v>
      </c>
      <c r="K150" s="1">
        <v>0</v>
      </c>
      <c r="L150" s="1" t="str">
        <f t="shared" si="31"/>
        <v xml:space="preserve"> </v>
      </c>
      <c r="M150" s="1" t="str">
        <f>"银行返回码[ ]返回信息[0000 交易成功]|转账成功correct_balance=12000"</f>
        <v>银行返回码[ ]返回信息[0000 交易成功]|转账成功correct_balance=12000</v>
      </c>
    </row>
    <row r="151" spans="1:13" x14ac:dyDescent="0.2">
      <c r="A151" s="3" t="str">
        <f>"1913"</f>
        <v>1913</v>
      </c>
      <c r="B151" s="4">
        <v>42880</v>
      </c>
      <c r="C151" s="4" t="s">
        <v>34</v>
      </c>
      <c r="D151" s="11">
        <v>940018</v>
      </c>
      <c r="E151" s="1" t="str">
        <f>"卖出"</f>
        <v>卖出</v>
      </c>
      <c r="F151" s="1" t="str">
        <f>"基金资金拨出"</f>
        <v>基金资金拨出</v>
      </c>
      <c r="G151" s="13">
        <v>0</v>
      </c>
      <c r="H151" s="1">
        <v>0</v>
      </c>
      <c r="I151" s="5">
        <v>-49251.95</v>
      </c>
      <c r="J151" s="5">
        <v>-49251.95</v>
      </c>
      <c r="K151" s="1">
        <v>0</v>
      </c>
      <c r="L151" s="1" t="str">
        <f t="shared" si="31"/>
        <v xml:space="preserve"> </v>
      </c>
      <c r="M151" s="1" t="str">
        <f>"122扣除金额 基金代码：940018"</f>
        <v>122扣除金额 基金代码：940018</v>
      </c>
    </row>
    <row r="152" spans="1:13" x14ac:dyDescent="0.2">
      <c r="A152" s="3" t="str">
        <f>"4433"</f>
        <v>4433</v>
      </c>
      <c r="B152" s="4">
        <v>42880</v>
      </c>
      <c r="C152" s="1" t="str">
        <f>"H股ETF"</f>
        <v>H股ETF</v>
      </c>
      <c r="D152" s="11" t="str">
        <f>"510900"</f>
        <v>510900</v>
      </c>
      <c r="E152" s="1" t="str">
        <f>"卖出"</f>
        <v>卖出</v>
      </c>
      <c r="F152" s="1" t="str">
        <f>"证券卖出"</f>
        <v>证券卖出</v>
      </c>
      <c r="G152" s="13">
        <v>1.151</v>
      </c>
      <c r="H152" s="1">
        <v>-42800</v>
      </c>
      <c r="I152" s="5">
        <v>49252.95</v>
      </c>
      <c r="J152" s="5">
        <v>1</v>
      </c>
      <c r="K152" s="1">
        <v>9.85</v>
      </c>
      <c r="L152" s="1" t="str">
        <f>"A280737240"</f>
        <v>A280737240</v>
      </c>
      <c r="M152" s="1" t="str">
        <f>"证券卖出"</f>
        <v>证券卖出</v>
      </c>
    </row>
    <row r="153" spans="1:13" x14ac:dyDescent="0.2">
      <c r="A153" s="3" t="str">
        <f>"2548"</f>
        <v>2548</v>
      </c>
      <c r="B153" s="4">
        <v>42881</v>
      </c>
      <c r="C153" s="4" t="s">
        <v>34</v>
      </c>
      <c r="D153" s="11">
        <v>940018</v>
      </c>
      <c r="E153" s="1" t="str">
        <f>"卖出"</f>
        <v>卖出</v>
      </c>
      <c r="F153" s="1" t="str">
        <f>"基金资金拨出"</f>
        <v>基金资金拨出</v>
      </c>
      <c r="G153" s="13">
        <v>0</v>
      </c>
      <c r="H153" s="1">
        <v>0</v>
      </c>
      <c r="I153" s="5">
        <v>-1</v>
      </c>
      <c r="J153" s="5">
        <v>0</v>
      </c>
      <c r="K153" s="1">
        <v>0</v>
      </c>
      <c r="L153" s="1" t="str">
        <f>" "</f>
        <v xml:space="preserve"> </v>
      </c>
      <c r="M153" s="1" t="str">
        <f>"122扣除金额 基金代码：940018"</f>
        <v>122扣除金额 基金代码：940018</v>
      </c>
    </row>
    <row r="154" spans="1:13" x14ac:dyDescent="0.2">
      <c r="A154" s="3" t="str">
        <f>"4859"</f>
        <v>4859</v>
      </c>
      <c r="B154" s="4">
        <v>42886</v>
      </c>
      <c r="C154" s="1" t="str">
        <f>"华宝油气"</f>
        <v>华宝油气</v>
      </c>
      <c r="D154" s="11" t="str">
        <f>"162411"</f>
        <v>162411</v>
      </c>
      <c r="E154" s="1" t="str">
        <f>"买入"</f>
        <v>买入</v>
      </c>
      <c r="F154" s="1" t="str">
        <f>"证券买入"</f>
        <v>证券买入</v>
      </c>
      <c r="G154" s="13">
        <v>0.57499999999999996</v>
      </c>
      <c r="H154" s="1">
        <v>88000</v>
      </c>
      <c r="I154" s="5">
        <v>-50610.12</v>
      </c>
      <c r="J154" s="5">
        <v>-50610.12</v>
      </c>
      <c r="K154" s="1">
        <v>10.119999999999999</v>
      </c>
      <c r="L154" s="1" t="str">
        <f>"0184500716"</f>
        <v>0184500716</v>
      </c>
      <c r="M154" s="1" t="str">
        <f>"证券买入"</f>
        <v>证券买入</v>
      </c>
    </row>
    <row r="155" spans="1:13" x14ac:dyDescent="0.2">
      <c r="A155" s="3" t="str">
        <f>"7506"</f>
        <v>7506</v>
      </c>
      <c r="B155" s="4">
        <v>42886</v>
      </c>
      <c r="C155" s="4" t="s">
        <v>34</v>
      </c>
      <c r="D155" s="11">
        <v>940018</v>
      </c>
      <c r="E155" s="1" t="str">
        <f t="shared" ref="E155:E163" si="32">"卖出"</f>
        <v>卖出</v>
      </c>
      <c r="F155" s="1" t="str">
        <f>"基金资金拨出"</f>
        <v>基金资金拨出</v>
      </c>
      <c r="G155" s="13">
        <v>0</v>
      </c>
      <c r="H155" s="1">
        <v>0</v>
      </c>
      <c r="I155" s="5">
        <v>-694.94</v>
      </c>
      <c r="J155" s="5">
        <v>-51305.06</v>
      </c>
      <c r="K155" s="1">
        <v>0</v>
      </c>
      <c r="L155" s="1" t="str">
        <f t="shared" ref="C155:L163" si="33">" "</f>
        <v xml:space="preserve"> </v>
      </c>
      <c r="M155" s="1" t="str">
        <f>"122扣除金额 基金代码：940018"</f>
        <v>122扣除金额 基金代码：940018</v>
      </c>
    </row>
    <row r="156" spans="1:13" x14ac:dyDescent="0.2">
      <c r="A156" s="3" t="str">
        <f>"7508"</f>
        <v>7508</v>
      </c>
      <c r="B156" s="4">
        <v>42886</v>
      </c>
      <c r="C156" s="4" t="s">
        <v>34</v>
      </c>
      <c r="D156" s="11">
        <v>940018</v>
      </c>
      <c r="E156" s="1" t="str">
        <f t="shared" si="32"/>
        <v>卖出</v>
      </c>
      <c r="F156" s="1" t="str">
        <f>"基金资金拨入"</f>
        <v>基金资金拨入</v>
      </c>
      <c r="G156" s="13">
        <v>0</v>
      </c>
      <c r="H156" s="1">
        <v>0</v>
      </c>
      <c r="I156" s="5">
        <v>51306.06</v>
      </c>
      <c r="J156" s="5">
        <v>1</v>
      </c>
      <c r="K156" s="1">
        <v>0</v>
      </c>
      <c r="L156" s="1" t="str">
        <f t="shared" si="33"/>
        <v xml:space="preserve"> </v>
      </c>
      <c r="M156" s="1" t="str">
        <f>"124增加金额 基金代码：940018,发生份额：51306.06"</f>
        <v>124增加金额 基金代码：940018,发生份额：51306.06</v>
      </c>
    </row>
    <row r="157" spans="1:13" x14ac:dyDescent="0.2">
      <c r="A157" s="3" t="str">
        <f>"2437"</f>
        <v>2437</v>
      </c>
      <c r="B157" s="4">
        <v>42887</v>
      </c>
      <c r="C157" s="4" t="s">
        <v>34</v>
      </c>
      <c r="D157" s="11">
        <v>940018</v>
      </c>
      <c r="E157" s="1" t="str">
        <f t="shared" si="32"/>
        <v>卖出</v>
      </c>
      <c r="F157" s="1" t="str">
        <f>"基金资金拨出"</f>
        <v>基金资金拨出</v>
      </c>
      <c r="G157" s="13">
        <v>0</v>
      </c>
      <c r="H157" s="1">
        <v>0</v>
      </c>
      <c r="I157" s="5">
        <v>-1</v>
      </c>
      <c r="J157" s="5">
        <v>0</v>
      </c>
      <c r="K157" s="1">
        <v>0</v>
      </c>
      <c r="L157" s="1" t="str">
        <f t="shared" si="33"/>
        <v xml:space="preserve"> </v>
      </c>
      <c r="M157" s="1" t="str">
        <f>"122扣除金额 基金代码：940018"</f>
        <v>122扣除金额 基金代码：940018</v>
      </c>
    </row>
    <row r="158" spans="1:13" x14ac:dyDescent="0.2">
      <c r="A158" s="3" t="str">
        <f>"2437"</f>
        <v>2437</v>
      </c>
      <c r="B158" s="4">
        <v>42887</v>
      </c>
      <c r="C158" s="4" t="s">
        <v>34</v>
      </c>
      <c r="D158" s="11">
        <v>940018</v>
      </c>
      <c r="E158" s="1" t="str">
        <f t="shared" si="32"/>
        <v>卖出</v>
      </c>
      <c r="F158" s="1" t="str">
        <f>"基金资金拨出"</f>
        <v>基金资金拨出</v>
      </c>
      <c r="G158" s="13">
        <v>0</v>
      </c>
      <c r="H158" s="1">
        <v>0</v>
      </c>
      <c r="I158" s="5">
        <v>-1</v>
      </c>
      <c r="J158" s="5">
        <v>0</v>
      </c>
      <c r="K158" s="1">
        <v>0</v>
      </c>
      <c r="L158" s="1" t="str">
        <f t="shared" si="33"/>
        <v xml:space="preserve"> </v>
      </c>
      <c r="M158" s="1" t="str">
        <f>"122扣除金额 基金代码：940018"</f>
        <v>122扣除金额 基金代码：940018</v>
      </c>
    </row>
    <row r="159" spans="1:13" x14ac:dyDescent="0.2">
      <c r="A159" s="3" t="str">
        <f>"6461"</f>
        <v>6461</v>
      </c>
      <c r="B159" s="4">
        <v>42907</v>
      </c>
      <c r="C159" s="1" t="str">
        <f t="shared" si="33"/>
        <v xml:space="preserve"> </v>
      </c>
      <c r="D159" s="11"/>
      <c r="E159" s="1" t="str">
        <f t="shared" si="32"/>
        <v>卖出</v>
      </c>
      <c r="F159" s="1" t="str">
        <f>"利息归本"</f>
        <v>利息归本</v>
      </c>
      <c r="G159" s="13">
        <v>0</v>
      </c>
      <c r="H159" s="1">
        <v>0</v>
      </c>
      <c r="I159" s="5">
        <v>1.18</v>
      </c>
      <c r="J159" s="5">
        <v>1.18</v>
      </c>
      <c r="K159" s="1">
        <v>0</v>
      </c>
      <c r="L159" s="1" t="str">
        <f t="shared" si="33"/>
        <v xml:space="preserve"> </v>
      </c>
      <c r="M159" s="1" t="str">
        <f>" 利息归本: 归本利息为 1.18correct_balance=0"</f>
        <v xml:space="preserve"> 利息归本: 归本利息为 1.18correct_balance=0</v>
      </c>
    </row>
    <row r="160" spans="1:13" x14ac:dyDescent="0.2">
      <c r="A160" s="3" t="str">
        <f>"3557"</f>
        <v>3557</v>
      </c>
      <c r="B160" s="4">
        <v>42908</v>
      </c>
      <c r="C160" s="4" t="s">
        <v>34</v>
      </c>
      <c r="D160" s="11">
        <v>940018</v>
      </c>
      <c r="E160" s="1" t="str">
        <f t="shared" si="32"/>
        <v>卖出</v>
      </c>
      <c r="F160" s="1" t="str">
        <f>"基金资金拨出"</f>
        <v>基金资金拨出</v>
      </c>
      <c r="G160" s="13">
        <v>0</v>
      </c>
      <c r="H160" s="1">
        <v>0</v>
      </c>
      <c r="I160" s="5">
        <v>-1.18</v>
      </c>
      <c r="J160" s="5">
        <v>0</v>
      </c>
      <c r="K160" s="1">
        <v>0</v>
      </c>
      <c r="L160" s="1" t="str">
        <f t="shared" si="33"/>
        <v xml:space="preserve"> </v>
      </c>
      <c r="M160" s="1" t="str">
        <f>"122扣除金额 基金代码：940018"</f>
        <v>122扣除金额 基金代码：940018</v>
      </c>
    </row>
    <row r="161" spans="1:13" x14ac:dyDescent="0.2">
      <c r="A161" s="3" t="str">
        <f>"666"</f>
        <v>666</v>
      </c>
      <c r="B161" s="4">
        <v>42951</v>
      </c>
      <c r="C161" s="1" t="str">
        <f t="shared" si="33"/>
        <v xml:space="preserve"> </v>
      </c>
      <c r="D161" s="11"/>
      <c r="E161" s="1" t="str">
        <f t="shared" si="32"/>
        <v>卖出</v>
      </c>
      <c r="F161" s="1" t="str">
        <f>"银行转存"</f>
        <v>银行转存</v>
      </c>
      <c r="G161" s="13">
        <v>0</v>
      </c>
      <c r="H161" s="1">
        <v>0</v>
      </c>
      <c r="I161" s="5">
        <v>25000</v>
      </c>
      <c r="J161" s="5">
        <v>25000</v>
      </c>
      <c r="K161" s="1">
        <v>0</v>
      </c>
      <c r="L161" s="1" t="str">
        <f t="shared" si="33"/>
        <v xml:space="preserve"> </v>
      </c>
      <c r="M161" s="1" t="str">
        <f>"银行返回码[ ]返回信息[0000 交易成功]|转账成功correct_balance=0"</f>
        <v>银行返回码[ ]返回信息[0000 交易成功]|转账成功correct_balance=0</v>
      </c>
    </row>
    <row r="162" spans="1:13" x14ac:dyDescent="0.2">
      <c r="A162" s="3" t="str">
        <f>"2591"</f>
        <v>2591</v>
      </c>
      <c r="B162" s="4">
        <v>42951</v>
      </c>
      <c r="C162" s="4" t="s">
        <v>34</v>
      </c>
      <c r="D162" s="11">
        <v>940018</v>
      </c>
      <c r="E162" s="1" t="str">
        <f t="shared" si="32"/>
        <v>卖出</v>
      </c>
      <c r="F162" s="1" t="str">
        <f>"基金资金拨出"</f>
        <v>基金资金拨出</v>
      </c>
      <c r="G162" s="13">
        <v>0</v>
      </c>
      <c r="H162" s="1">
        <v>0</v>
      </c>
      <c r="I162" s="5">
        <v>-507.1</v>
      </c>
      <c r="J162" s="5">
        <v>24492.9</v>
      </c>
      <c r="K162" s="1">
        <v>0</v>
      </c>
      <c r="L162" s="1" t="str">
        <f t="shared" si="33"/>
        <v xml:space="preserve"> </v>
      </c>
      <c r="M162" s="1" t="str">
        <f>"122扣除金额 基金代码：940018"</f>
        <v>122扣除金额 基金代码：940018</v>
      </c>
    </row>
    <row r="163" spans="1:13" x14ac:dyDescent="0.2">
      <c r="A163" s="3" t="str">
        <f>"2592"</f>
        <v>2592</v>
      </c>
      <c r="B163" s="4">
        <v>42951</v>
      </c>
      <c r="C163" s="4" t="s">
        <v>34</v>
      </c>
      <c r="D163" s="11">
        <v>940018</v>
      </c>
      <c r="E163" s="1" t="str">
        <f t="shared" si="32"/>
        <v>卖出</v>
      </c>
      <c r="F163" s="1" t="str">
        <f>"基金资金拨入"</f>
        <v>基金资金拨入</v>
      </c>
      <c r="G163" s="13">
        <v>0</v>
      </c>
      <c r="H163" s="1">
        <v>0</v>
      </c>
      <c r="I163" s="5">
        <v>713.14</v>
      </c>
      <c r="J163" s="5">
        <v>25206.04</v>
      </c>
      <c r="K163" s="1">
        <v>0</v>
      </c>
      <c r="L163" s="1" t="str">
        <f t="shared" si="33"/>
        <v xml:space="preserve"> </v>
      </c>
      <c r="M163" s="1" t="str">
        <f>"124增加金额 基金代码：940018,发生份额：713.14"</f>
        <v>124增加金额 基金代码：940018,发生份额：713.14</v>
      </c>
    </row>
    <row r="164" spans="1:13" x14ac:dyDescent="0.2">
      <c r="A164" s="3" t="str">
        <f>"7303"</f>
        <v>7303</v>
      </c>
      <c r="B164" s="4">
        <v>42951</v>
      </c>
      <c r="C164" s="1" t="str">
        <f>"华宝油气"</f>
        <v>华宝油气</v>
      </c>
      <c r="D164" s="11" t="str">
        <f>"162411"</f>
        <v>162411</v>
      </c>
      <c r="E164" s="1" t="str">
        <f>"买入"</f>
        <v>买入</v>
      </c>
      <c r="F164" s="1" t="str">
        <f>"证券买入"</f>
        <v>证券买入</v>
      </c>
      <c r="G164" s="13">
        <v>0.52500000000000002</v>
      </c>
      <c r="H164" s="1">
        <v>48000</v>
      </c>
      <c r="I164" s="5">
        <v>-25205.040000000001</v>
      </c>
      <c r="J164" s="5">
        <v>1</v>
      </c>
      <c r="K164" s="1">
        <v>5.04</v>
      </c>
      <c r="L164" s="1" t="str">
        <f>"0184500716"</f>
        <v>0184500716</v>
      </c>
      <c r="M164" s="1" t="str">
        <f>"证券买入"</f>
        <v>证券买入</v>
      </c>
    </row>
    <row r="165" spans="1:13" x14ac:dyDescent="0.2">
      <c r="A165" s="3" t="str">
        <f>"2550"</f>
        <v>2550</v>
      </c>
      <c r="B165" s="4">
        <v>42954</v>
      </c>
      <c r="C165" s="4" t="s">
        <v>34</v>
      </c>
      <c r="D165" s="11">
        <v>940018</v>
      </c>
      <c r="E165" s="1" t="str">
        <f>"卖出"</f>
        <v>卖出</v>
      </c>
      <c r="F165" s="1" t="str">
        <f>"基金资金拨出"</f>
        <v>基金资金拨出</v>
      </c>
      <c r="G165" s="13">
        <v>0</v>
      </c>
      <c r="H165" s="1">
        <v>0</v>
      </c>
      <c r="I165" s="5">
        <v>-1</v>
      </c>
      <c r="J165" s="5">
        <v>0</v>
      </c>
      <c r="K165" s="1">
        <v>0</v>
      </c>
      <c r="L165" s="1" t="str">
        <f t="shared" ref="C165:L168" si="34">" "</f>
        <v xml:space="preserve"> </v>
      </c>
      <c r="M165" s="1" t="str">
        <f>"122扣除金额 基金代码：940018"</f>
        <v>122扣除金额 基金代码：940018</v>
      </c>
    </row>
    <row r="166" spans="1:13" x14ac:dyDescent="0.2">
      <c r="A166" s="3" t="str">
        <f>"375"</f>
        <v>375</v>
      </c>
      <c r="B166" s="4">
        <v>43063</v>
      </c>
      <c r="C166" s="1" t="str">
        <f t="shared" si="34"/>
        <v xml:space="preserve"> </v>
      </c>
      <c r="D166" s="11"/>
      <c r="E166" s="1" t="str">
        <f>"卖出"</f>
        <v>卖出</v>
      </c>
      <c r="F166" s="1" t="str">
        <f>"银行转存"</f>
        <v>银行转存</v>
      </c>
      <c r="G166" s="13">
        <v>0</v>
      </c>
      <c r="H166" s="1">
        <v>0</v>
      </c>
      <c r="I166" s="5">
        <v>7600</v>
      </c>
      <c r="J166" s="5">
        <v>7600</v>
      </c>
      <c r="K166" s="1">
        <v>0</v>
      </c>
      <c r="L166" s="1" t="str">
        <f t="shared" si="34"/>
        <v xml:space="preserve"> </v>
      </c>
      <c r="M166" s="1" t="str">
        <f>"银行返回码[ ]返回信息[0000 交易成功]|转账成功correct_balance=0"</f>
        <v>银行返回码[ ]返回信息[0000 交易成功]|转账成功correct_balance=0</v>
      </c>
    </row>
    <row r="167" spans="1:13" x14ac:dyDescent="0.2">
      <c r="A167" s="3" t="str">
        <f>"2561"</f>
        <v>2561</v>
      </c>
      <c r="B167" s="4">
        <v>43063</v>
      </c>
      <c r="C167" s="4" t="s">
        <v>34</v>
      </c>
      <c r="D167" s="11">
        <v>940018</v>
      </c>
      <c r="E167" s="1" t="str">
        <f>"卖出"</f>
        <v>卖出</v>
      </c>
      <c r="F167" s="1" t="str">
        <f>"基金资金拨出"</f>
        <v>基金资金拨出</v>
      </c>
      <c r="G167" s="13">
        <v>0</v>
      </c>
      <c r="H167" s="1">
        <v>0</v>
      </c>
      <c r="I167" s="5">
        <v>-366.69</v>
      </c>
      <c r="J167" s="5">
        <v>7233.31</v>
      </c>
      <c r="K167" s="1">
        <v>0</v>
      </c>
      <c r="L167" s="1" t="str">
        <f t="shared" si="34"/>
        <v xml:space="preserve"> </v>
      </c>
      <c r="M167" s="1" t="str">
        <f>"122扣除金额 基金代码：940018"</f>
        <v>122扣除金额 基金代码：940018</v>
      </c>
    </row>
    <row r="168" spans="1:13" x14ac:dyDescent="0.2">
      <c r="A168" s="3" t="str">
        <f>"2565"</f>
        <v>2565</v>
      </c>
      <c r="B168" s="4">
        <v>43063</v>
      </c>
      <c r="C168" s="4" t="s">
        <v>34</v>
      </c>
      <c r="D168" s="11">
        <v>940018</v>
      </c>
      <c r="E168" s="1" t="str">
        <f>"卖出"</f>
        <v>卖出</v>
      </c>
      <c r="F168" s="1" t="str">
        <f>"基金资金拨入"</f>
        <v>基金资金拨入</v>
      </c>
      <c r="G168" s="13">
        <v>0</v>
      </c>
      <c r="H168" s="1">
        <v>0</v>
      </c>
      <c r="I168" s="5">
        <v>511.17</v>
      </c>
      <c r="J168" s="5">
        <v>7744.48</v>
      </c>
      <c r="K168" s="1">
        <v>0</v>
      </c>
      <c r="L168" s="1" t="str">
        <f t="shared" si="34"/>
        <v xml:space="preserve"> </v>
      </c>
      <c r="M168" s="1" t="str">
        <f>"124增加金额 基金代码：940018,发生份额：511.17"</f>
        <v>124增加金额 基金代码：940018,发生份额：511.17</v>
      </c>
    </row>
    <row r="169" spans="1:13" x14ac:dyDescent="0.2">
      <c r="A169" s="3" t="str">
        <f>"4150"</f>
        <v>4150</v>
      </c>
      <c r="B169" s="4">
        <v>43063</v>
      </c>
      <c r="C169" s="1" t="str">
        <f>"500ETF"</f>
        <v>500ETF</v>
      </c>
      <c r="D169" s="11" t="str">
        <f>"510500"</f>
        <v>510500</v>
      </c>
      <c r="E169" s="1" t="str">
        <f>"买入"</f>
        <v>买入</v>
      </c>
      <c r="F169" s="1" t="str">
        <f>"证券买入"</f>
        <v>证券买入</v>
      </c>
      <c r="G169" s="13">
        <v>6.585</v>
      </c>
      <c r="H169" s="1">
        <v>1200</v>
      </c>
      <c r="I169" s="5">
        <v>-7903.58</v>
      </c>
      <c r="J169" s="5">
        <v>-159.1</v>
      </c>
      <c r="K169" s="1">
        <v>1.58</v>
      </c>
      <c r="L169" s="1" t="str">
        <f>"A280737240"</f>
        <v>A280737240</v>
      </c>
      <c r="M169" s="1" t="str">
        <f>"证券买入"</f>
        <v>证券买入</v>
      </c>
    </row>
    <row r="170" spans="1:13" x14ac:dyDescent="0.2">
      <c r="A170" s="3" t="str">
        <f>"6529"</f>
        <v>6529</v>
      </c>
      <c r="B170" s="4">
        <v>43063</v>
      </c>
      <c r="C170" s="1" t="str">
        <f>"恒生ETF"</f>
        <v>恒生ETF</v>
      </c>
      <c r="D170" s="11" t="str">
        <f>"159920"</f>
        <v>159920</v>
      </c>
      <c r="E170" s="1" t="str">
        <f>"卖出"</f>
        <v>卖出</v>
      </c>
      <c r="F170" s="1" t="str">
        <f>"证券卖出"</f>
        <v>证券卖出</v>
      </c>
      <c r="G170" s="13">
        <v>1.6020000000000001</v>
      </c>
      <c r="H170" s="1">
        <v>-100</v>
      </c>
      <c r="I170" s="5">
        <v>160.1</v>
      </c>
      <c r="J170" s="5">
        <v>1</v>
      </c>
      <c r="K170" s="1">
        <v>0.1</v>
      </c>
      <c r="L170" s="1" t="str">
        <f>"0184500716"</f>
        <v>0184500716</v>
      </c>
      <c r="M170" s="1" t="str">
        <f>"证券卖出"</f>
        <v>证券卖出</v>
      </c>
    </row>
    <row r="171" spans="1:13" x14ac:dyDescent="0.2">
      <c r="A171" s="3" t="str">
        <f>"2515"</f>
        <v>2515</v>
      </c>
      <c r="B171" s="4">
        <v>43066</v>
      </c>
      <c r="C171" s="4" t="s">
        <v>34</v>
      </c>
      <c r="D171" s="11">
        <v>940018</v>
      </c>
      <c r="E171" s="1" t="str">
        <f>"卖出"</f>
        <v>卖出</v>
      </c>
      <c r="F171" s="1" t="str">
        <f>"基金资金拨出"</f>
        <v>基金资金拨出</v>
      </c>
      <c r="G171" s="13">
        <v>0</v>
      </c>
      <c r="H171" s="1">
        <v>0</v>
      </c>
      <c r="I171" s="5">
        <v>-1</v>
      </c>
      <c r="J171" s="5">
        <v>0</v>
      </c>
      <c r="K171" s="1">
        <v>0</v>
      </c>
      <c r="L171" s="1" t="str">
        <f t="shared" ref="C171:L173" si="35">" "</f>
        <v xml:space="preserve"> </v>
      </c>
      <c r="M171" s="1" t="str">
        <f>"122扣除金额 基金代码：940018"</f>
        <v>122扣除金额 基金代码：940018</v>
      </c>
    </row>
    <row r="172" spans="1:13" x14ac:dyDescent="0.2">
      <c r="A172" s="3" t="str">
        <f>"842"</f>
        <v>842</v>
      </c>
      <c r="B172" s="4">
        <v>43074</v>
      </c>
      <c r="C172" s="1" t="str">
        <f t="shared" si="35"/>
        <v xml:space="preserve"> </v>
      </c>
      <c r="D172" s="11"/>
      <c r="E172" s="1" t="str">
        <f>"卖出"</f>
        <v>卖出</v>
      </c>
      <c r="F172" s="1" t="str">
        <f>"银行转存"</f>
        <v>银行转存</v>
      </c>
      <c r="G172" s="13">
        <v>0</v>
      </c>
      <c r="H172" s="1">
        <v>0</v>
      </c>
      <c r="I172" s="5">
        <v>4000</v>
      </c>
      <c r="J172" s="5">
        <v>4000</v>
      </c>
      <c r="K172" s="1">
        <v>0</v>
      </c>
      <c r="L172" s="1" t="str">
        <f t="shared" si="35"/>
        <v xml:space="preserve"> </v>
      </c>
      <c r="M172" s="1" t="str">
        <f>"银行返回码[ ]返回信息[0000 交易成功]|转账成功correct_balance=0"</f>
        <v>银行返回码[ ]返回信息[0000 交易成功]|转账成功correct_balance=0</v>
      </c>
    </row>
    <row r="173" spans="1:13" x14ac:dyDescent="0.2">
      <c r="A173" s="3" t="str">
        <f>"2235"</f>
        <v>2235</v>
      </c>
      <c r="B173" s="4">
        <v>43074</v>
      </c>
      <c r="C173" s="4" t="s">
        <v>34</v>
      </c>
      <c r="D173" s="11">
        <v>940018</v>
      </c>
      <c r="E173" s="1" t="str">
        <f>"卖出"</f>
        <v>卖出</v>
      </c>
      <c r="F173" s="1" t="str">
        <f>"基金资金拨出"</f>
        <v>基金资金拨出</v>
      </c>
      <c r="G173" s="13">
        <v>0</v>
      </c>
      <c r="H173" s="1">
        <v>0</v>
      </c>
      <c r="I173" s="5">
        <v>-134.22999999999999</v>
      </c>
      <c r="J173" s="5">
        <v>3865.77</v>
      </c>
      <c r="K173" s="1">
        <v>0</v>
      </c>
      <c r="L173" s="1" t="str">
        <f t="shared" si="35"/>
        <v xml:space="preserve"> </v>
      </c>
      <c r="M173" s="1" t="str">
        <f>"122扣除金额 基金代码：940018"</f>
        <v>122扣除金额 基金代码：940018</v>
      </c>
    </row>
    <row r="174" spans="1:13" x14ac:dyDescent="0.2">
      <c r="A174" s="3" t="str">
        <f>"4320"</f>
        <v>4320</v>
      </c>
      <c r="B174" s="4">
        <v>43074</v>
      </c>
      <c r="C174" s="1" t="str">
        <f>"500ETF"</f>
        <v>500ETF</v>
      </c>
      <c r="D174" s="11" t="str">
        <f>"510500"</f>
        <v>510500</v>
      </c>
      <c r="E174" s="1" t="str">
        <f>"买入"</f>
        <v>买入</v>
      </c>
      <c r="F174" s="1" t="str">
        <f>"证券买入"</f>
        <v>证券买入</v>
      </c>
      <c r="G174" s="13">
        <v>6.44</v>
      </c>
      <c r="H174" s="1">
        <v>600</v>
      </c>
      <c r="I174" s="5">
        <v>-3864.77</v>
      </c>
      <c r="J174" s="5">
        <v>1</v>
      </c>
      <c r="K174" s="1">
        <v>0.77</v>
      </c>
      <c r="L174" s="1" t="str">
        <f>"A280737240"</f>
        <v>A280737240</v>
      </c>
      <c r="M174" s="1" t="str">
        <f>"证券买入"</f>
        <v>证券买入</v>
      </c>
    </row>
    <row r="175" spans="1:13" x14ac:dyDescent="0.2">
      <c r="A175" s="3" t="str">
        <f>"2231"</f>
        <v>2231</v>
      </c>
      <c r="B175" s="4">
        <v>43075</v>
      </c>
      <c r="C175" s="4" t="s">
        <v>34</v>
      </c>
      <c r="D175" s="11">
        <v>940018</v>
      </c>
      <c r="E175" s="1" t="str">
        <f t="shared" ref="E175:E180" si="36">"卖出"</f>
        <v>卖出</v>
      </c>
      <c r="F175" s="1" t="str">
        <f>"基金资金拨出"</f>
        <v>基金资金拨出</v>
      </c>
      <c r="G175" s="13">
        <v>0</v>
      </c>
      <c r="H175" s="1">
        <v>0</v>
      </c>
      <c r="I175" s="5">
        <v>-1</v>
      </c>
      <c r="J175" s="5">
        <v>0</v>
      </c>
      <c r="K175" s="1">
        <v>0</v>
      </c>
      <c r="L175" s="1" t="str">
        <f t="shared" ref="C175:L180" si="37">" "</f>
        <v xml:space="preserve"> </v>
      </c>
      <c r="M175" s="1" t="str">
        <f>"122扣除金额 基金代码：940018"</f>
        <v>122扣除金额 基金代码：940018</v>
      </c>
    </row>
    <row r="176" spans="1:13" x14ac:dyDescent="0.2">
      <c r="A176" s="3" t="str">
        <f>"572"</f>
        <v>572</v>
      </c>
      <c r="B176" s="4">
        <v>43095</v>
      </c>
      <c r="C176" s="1" t="str">
        <f t="shared" si="37"/>
        <v xml:space="preserve"> </v>
      </c>
      <c r="D176" s="11"/>
      <c r="E176" s="1" t="str">
        <f t="shared" si="36"/>
        <v>卖出</v>
      </c>
      <c r="F176" s="1" t="str">
        <f>"银行转存"</f>
        <v>银行转存</v>
      </c>
      <c r="G176" s="13">
        <v>0</v>
      </c>
      <c r="H176" s="1">
        <v>0</v>
      </c>
      <c r="I176" s="5">
        <v>500</v>
      </c>
      <c r="J176" s="5">
        <v>500</v>
      </c>
      <c r="K176" s="1">
        <v>0</v>
      </c>
      <c r="L176" s="1" t="str">
        <f t="shared" si="37"/>
        <v xml:space="preserve"> </v>
      </c>
      <c r="M176" s="1" t="str">
        <f>"银行返回码[ ]返回信息[0000 交易成功]|转账成功correct_balance=0"</f>
        <v>银行返回码[ ]返回信息[0000 交易成功]|转账成功correct_balance=0</v>
      </c>
    </row>
    <row r="177" spans="1:13" x14ac:dyDescent="0.2">
      <c r="A177" s="3" t="str">
        <f>"5536"</f>
        <v>5536</v>
      </c>
      <c r="B177" s="4">
        <v>43095</v>
      </c>
      <c r="C177" s="4" t="s">
        <v>34</v>
      </c>
      <c r="D177" s="11">
        <v>940018</v>
      </c>
      <c r="E177" s="1" t="str">
        <f t="shared" si="36"/>
        <v>卖出</v>
      </c>
      <c r="F177" s="1" t="str">
        <f>"基金资金拨出"</f>
        <v>基金资金拨出</v>
      </c>
      <c r="G177" s="13">
        <v>0</v>
      </c>
      <c r="H177" s="1">
        <v>0</v>
      </c>
      <c r="I177" s="5">
        <v>-3.95</v>
      </c>
      <c r="J177" s="5">
        <v>496.05</v>
      </c>
      <c r="K177" s="1">
        <v>0</v>
      </c>
      <c r="L177" s="1" t="str">
        <f t="shared" si="37"/>
        <v xml:space="preserve"> </v>
      </c>
      <c r="M177" s="1" t="str">
        <f>"122扣除金额 基金代码：940018"</f>
        <v>122扣除金额 基金代码：940018</v>
      </c>
    </row>
    <row r="178" spans="1:13" x14ac:dyDescent="0.2">
      <c r="A178" s="3" t="str">
        <f>"5537"</f>
        <v>5537</v>
      </c>
      <c r="B178" s="4">
        <v>43095</v>
      </c>
      <c r="C178" s="4" t="s">
        <v>34</v>
      </c>
      <c r="D178" s="11">
        <v>940018</v>
      </c>
      <c r="E178" s="1" t="str">
        <f t="shared" si="36"/>
        <v>卖出</v>
      </c>
      <c r="F178" s="1" t="str">
        <f>"基金资金拨入"</f>
        <v>基金资金拨入</v>
      </c>
      <c r="G178" s="13">
        <v>0</v>
      </c>
      <c r="H178" s="1">
        <v>0</v>
      </c>
      <c r="I178" s="5">
        <v>503.95</v>
      </c>
      <c r="J178" s="5">
        <v>1000</v>
      </c>
      <c r="K178" s="1">
        <v>0</v>
      </c>
      <c r="L178" s="1" t="str">
        <f t="shared" si="37"/>
        <v xml:space="preserve"> </v>
      </c>
      <c r="M178" s="1" t="str">
        <f>"124增加金额 基金代码：940018,发生份额：503.95"</f>
        <v>124增加金额 基金代码：940018,发生份额：503.95</v>
      </c>
    </row>
    <row r="179" spans="1:13" x14ac:dyDescent="0.2">
      <c r="A179" s="3" t="str">
        <f>"2378"</f>
        <v>2378</v>
      </c>
      <c r="B179" s="4">
        <v>43096</v>
      </c>
      <c r="C179" s="4" t="s">
        <v>34</v>
      </c>
      <c r="D179" s="11">
        <v>940018</v>
      </c>
      <c r="E179" s="1" t="str">
        <f t="shared" si="36"/>
        <v>卖出</v>
      </c>
      <c r="F179" s="1" t="str">
        <f>"基金资金拨出"</f>
        <v>基金资金拨出</v>
      </c>
      <c r="G179" s="13">
        <v>0</v>
      </c>
      <c r="H179" s="1">
        <v>0</v>
      </c>
      <c r="I179" s="5">
        <v>-6293.26</v>
      </c>
      <c r="J179" s="5">
        <v>-5293.26</v>
      </c>
      <c r="K179" s="1">
        <v>0</v>
      </c>
      <c r="L179" s="1" t="str">
        <f t="shared" si="37"/>
        <v xml:space="preserve"> </v>
      </c>
      <c r="M179" s="1" t="str">
        <f>"122扣除金额 基金代码：940018"</f>
        <v>122扣除金额 基金代码：940018</v>
      </c>
    </row>
    <row r="180" spans="1:13" x14ac:dyDescent="0.2">
      <c r="A180" s="3" t="str">
        <f>"2985"</f>
        <v>2985</v>
      </c>
      <c r="B180" s="4">
        <v>43096</v>
      </c>
      <c r="C180" s="4" t="s">
        <v>34</v>
      </c>
      <c r="D180" s="11">
        <v>940018</v>
      </c>
      <c r="E180" s="1" t="str">
        <f t="shared" si="36"/>
        <v>卖出</v>
      </c>
      <c r="F180" s="1" t="str">
        <f>"基金资金拨出"</f>
        <v>基金资金拨出</v>
      </c>
      <c r="G180" s="13">
        <v>0</v>
      </c>
      <c r="H180" s="1">
        <v>0</v>
      </c>
      <c r="I180" s="5">
        <v>-1000</v>
      </c>
      <c r="J180" s="5">
        <v>-6293.26</v>
      </c>
      <c r="K180" s="1">
        <v>0</v>
      </c>
      <c r="L180" s="1" t="str">
        <f t="shared" si="37"/>
        <v xml:space="preserve"> </v>
      </c>
      <c r="M180" s="1" t="str">
        <f>"122扣除金额 基金代码：004749"</f>
        <v>122扣除金额 基金代码：004749</v>
      </c>
    </row>
    <row r="181" spans="1:13" x14ac:dyDescent="0.2">
      <c r="A181" s="3" t="str">
        <f>"4476"</f>
        <v>4476</v>
      </c>
      <c r="B181" s="4">
        <v>43096</v>
      </c>
      <c r="C181" s="1" t="str">
        <f>"银华日利"</f>
        <v>银华日利</v>
      </c>
      <c r="D181" s="11" t="str">
        <f>"511880"</f>
        <v>511880</v>
      </c>
      <c r="E181" s="1" t="str">
        <f>"买入"</f>
        <v>买入</v>
      </c>
      <c r="F181" s="1" t="str">
        <f>"证券买入"</f>
        <v>证券买入</v>
      </c>
      <c r="G181" s="13">
        <v>103.619</v>
      </c>
      <c r="H181" s="1">
        <v>1900</v>
      </c>
      <c r="I181" s="5">
        <v>-196876.1</v>
      </c>
      <c r="J181" s="5">
        <v>-203169.36</v>
      </c>
      <c r="K181" s="1">
        <v>0</v>
      </c>
      <c r="L181" s="1" t="str">
        <f>"A280737240"</f>
        <v>A280737240</v>
      </c>
      <c r="M181" s="1" t="str">
        <f>"证券买入"</f>
        <v>证券买入</v>
      </c>
    </row>
    <row r="182" spans="1:13" x14ac:dyDescent="0.2">
      <c r="A182" s="3" t="str">
        <f>"6599"</f>
        <v>6599</v>
      </c>
      <c r="B182" s="4">
        <v>43096</v>
      </c>
      <c r="C182" s="1" t="str">
        <f>"华宝油气"</f>
        <v>华宝油气</v>
      </c>
      <c r="D182" s="11" t="str">
        <f>"162411"</f>
        <v>162411</v>
      </c>
      <c r="E182" s="1" t="str">
        <f t="shared" ref="E182:E190" si="38">"卖出"</f>
        <v>卖出</v>
      </c>
      <c r="F182" s="1" t="str">
        <f>"证券卖出"</f>
        <v>证券卖出</v>
      </c>
      <c r="G182" s="13">
        <v>0.60299999999999998</v>
      </c>
      <c r="H182" s="1">
        <v>-337000</v>
      </c>
      <c r="I182" s="5">
        <v>203170.36</v>
      </c>
      <c r="J182" s="5">
        <v>1</v>
      </c>
      <c r="K182" s="1">
        <v>40.64</v>
      </c>
      <c r="L182" s="1" t="str">
        <f>"0184500716"</f>
        <v>0184500716</v>
      </c>
      <c r="M182" s="1" t="str">
        <f>"证券卖出"</f>
        <v>证券卖出</v>
      </c>
    </row>
    <row r="183" spans="1:13" x14ac:dyDescent="0.2">
      <c r="A183" s="3" t="str">
        <f>"5161"</f>
        <v>5161</v>
      </c>
      <c r="B183" s="4">
        <v>43097</v>
      </c>
      <c r="C183" s="4" t="s">
        <v>34</v>
      </c>
      <c r="D183" s="11">
        <v>940018</v>
      </c>
      <c r="E183" s="1" t="str">
        <f t="shared" si="38"/>
        <v>卖出</v>
      </c>
      <c r="F183" s="1" t="str">
        <f>"基金资金拨出"</f>
        <v>基金资金拨出</v>
      </c>
      <c r="G183" s="13">
        <v>0</v>
      </c>
      <c r="H183" s="1">
        <v>0</v>
      </c>
      <c r="I183" s="5">
        <v>-297.99</v>
      </c>
      <c r="J183" s="5">
        <v>-296.99</v>
      </c>
      <c r="K183" s="1">
        <v>0</v>
      </c>
      <c r="L183" s="1" t="str">
        <f t="shared" ref="L183:L184" si="39">" "</f>
        <v xml:space="preserve"> </v>
      </c>
      <c r="M183" s="1" t="str">
        <f>"122扣除金额 基金代码：940018"</f>
        <v>122扣除金额 基金代码：940018</v>
      </c>
    </row>
    <row r="184" spans="1:13" x14ac:dyDescent="0.2">
      <c r="A184" s="3" t="str">
        <f>"5162"</f>
        <v>5162</v>
      </c>
      <c r="B184" s="4">
        <v>43097</v>
      </c>
      <c r="C184" s="4" t="s">
        <v>34</v>
      </c>
      <c r="D184" s="11">
        <v>940018</v>
      </c>
      <c r="E184" s="1" t="str">
        <f t="shared" si="38"/>
        <v>卖出</v>
      </c>
      <c r="F184" s="1" t="str">
        <f>"基金资金拨入"</f>
        <v>基金资金拨入</v>
      </c>
      <c r="G184" s="13">
        <v>0</v>
      </c>
      <c r="H184" s="1">
        <v>0</v>
      </c>
      <c r="I184" s="5">
        <v>6298.05</v>
      </c>
      <c r="J184" s="5">
        <v>6001.06</v>
      </c>
      <c r="K184" s="1">
        <v>0</v>
      </c>
      <c r="L184" s="1" t="str">
        <f t="shared" si="39"/>
        <v xml:space="preserve"> </v>
      </c>
      <c r="M184" s="1" t="str">
        <f>"124增加金额 基金代码：940018,发生份额：6298.05"</f>
        <v>124增加金额 基金代码：940018,发生份额：6298.05</v>
      </c>
    </row>
    <row r="185" spans="1:13" x14ac:dyDescent="0.2">
      <c r="A185" s="3" t="str">
        <f>"5996"</f>
        <v>5996</v>
      </c>
      <c r="B185" s="4">
        <v>43097</v>
      </c>
      <c r="C185" s="1" t="str">
        <f>"Ｒ-001"</f>
        <v>Ｒ-001</v>
      </c>
      <c r="D185" s="11" t="str">
        <f>"131810"</f>
        <v>131810</v>
      </c>
      <c r="E185" s="1" t="str">
        <f t="shared" si="38"/>
        <v>卖出</v>
      </c>
      <c r="F185" s="1" t="str">
        <f>"质押回购拆出"</f>
        <v>质押回购拆出</v>
      </c>
      <c r="G185" s="13">
        <v>14</v>
      </c>
      <c r="H185" s="1">
        <v>60</v>
      </c>
      <c r="I185" s="5">
        <v>-6000.06</v>
      </c>
      <c r="J185" s="5">
        <v>1</v>
      </c>
      <c r="K185" s="1">
        <v>0.06</v>
      </c>
      <c r="L185" s="1" t="str">
        <f>"0184500716"</f>
        <v>0184500716</v>
      </c>
      <c r="M185" s="1" t="str">
        <f>"融券回购购回日:20171229预计利息:9.21参考占款天数：4-131990"</f>
        <v>融券回购购回日:20171229预计利息:9.21参考占款天数：4-131990</v>
      </c>
    </row>
    <row r="186" spans="1:13" x14ac:dyDescent="0.2">
      <c r="A186" s="3" t="str">
        <f>"2468"</f>
        <v>2468</v>
      </c>
      <c r="B186" s="4">
        <v>43098</v>
      </c>
      <c r="C186" s="4" t="s">
        <v>34</v>
      </c>
      <c r="D186" s="11">
        <v>940018</v>
      </c>
      <c r="E186" s="1" t="str">
        <f t="shared" si="38"/>
        <v>卖出</v>
      </c>
      <c r="F186" s="1" t="str">
        <f>"基金资金拨出"</f>
        <v>基金资金拨出</v>
      </c>
      <c r="G186" s="13">
        <v>0</v>
      </c>
      <c r="H186" s="1">
        <v>0</v>
      </c>
      <c r="I186" s="5">
        <v>-6010.21</v>
      </c>
      <c r="J186" s="5">
        <v>-6009.21</v>
      </c>
      <c r="K186" s="1">
        <v>0</v>
      </c>
      <c r="L186" s="1" t="str">
        <f t="shared" ref="C186:L187" si="40">" "</f>
        <v xml:space="preserve"> </v>
      </c>
      <c r="M186" s="1" t="str">
        <f>"122扣除金额 基金代码：940018"</f>
        <v>122扣除金额 基金代码：940018</v>
      </c>
    </row>
    <row r="187" spans="1:13" x14ac:dyDescent="0.2">
      <c r="A187" s="3" t="str">
        <f>"3356"</f>
        <v>3356</v>
      </c>
      <c r="B187" s="4">
        <v>43098</v>
      </c>
      <c r="C187" s="1" t="str">
        <f t="shared" si="40"/>
        <v xml:space="preserve"> </v>
      </c>
      <c r="D187" s="11">
        <v>4749</v>
      </c>
      <c r="E187" s="1" t="str">
        <f t="shared" si="38"/>
        <v>卖出</v>
      </c>
      <c r="F187" s="1" t="str">
        <f>"基金资金拨入"</f>
        <v>基金资金拨入</v>
      </c>
      <c r="G187" s="13">
        <v>0</v>
      </c>
      <c r="H187" s="1">
        <v>0</v>
      </c>
      <c r="I187" s="5">
        <v>1000</v>
      </c>
      <c r="J187" s="5">
        <v>-5009.21</v>
      </c>
      <c r="K187" s="1">
        <v>0</v>
      </c>
      <c r="L187" s="1" t="str">
        <f t="shared" si="40"/>
        <v xml:space="preserve"> </v>
      </c>
      <c r="M187" s="1" t="str">
        <f>"124增加金额 基金代码：004749,发生份额：1000"</f>
        <v>124增加金额 基金代码：004749,发生份额：1000</v>
      </c>
    </row>
    <row r="188" spans="1:13" x14ac:dyDescent="0.2">
      <c r="A188" s="3" t="str">
        <f>"7084"</f>
        <v>7084</v>
      </c>
      <c r="B188" s="4">
        <v>43098</v>
      </c>
      <c r="C188" s="1" t="str">
        <f>"Ｒ-001"</f>
        <v>Ｒ-001</v>
      </c>
      <c r="D188" s="11" t="str">
        <f>"131810"</f>
        <v>131810</v>
      </c>
      <c r="E188" s="1" t="str">
        <f t="shared" si="38"/>
        <v>卖出</v>
      </c>
      <c r="F188" s="1" t="str">
        <f>"拆出质押购回"</f>
        <v>拆出质押购回</v>
      </c>
      <c r="G188" s="13">
        <v>14</v>
      </c>
      <c r="H188" s="1">
        <v>-60</v>
      </c>
      <c r="I188" s="5">
        <v>6009.21</v>
      </c>
      <c r="J188" s="5">
        <v>1000</v>
      </c>
      <c r="K188" s="1">
        <v>0</v>
      </c>
      <c r="L188" s="1" t="str">
        <f>"0184500716"</f>
        <v>0184500716</v>
      </c>
      <c r="M188" s="1" t="str">
        <f>"融券购回:9.21实际占款天数：4-131990"</f>
        <v>融券购回:9.21实际占款天数：4-131990</v>
      </c>
    </row>
    <row r="189" spans="1:13" x14ac:dyDescent="0.2">
      <c r="A189" s="3" t="str">
        <f>"7164"</f>
        <v>7164</v>
      </c>
      <c r="B189" s="4">
        <v>43102</v>
      </c>
      <c r="C189" s="4" t="s">
        <v>34</v>
      </c>
      <c r="D189" s="11">
        <v>940018</v>
      </c>
      <c r="E189" s="1" t="str">
        <f t="shared" si="38"/>
        <v>卖出</v>
      </c>
      <c r="F189" s="1" t="str">
        <f>"基金资金拨出"</f>
        <v>基金资金拨出</v>
      </c>
      <c r="G189" s="13">
        <v>0</v>
      </c>
      <c r="H189" s="1">
        <v>0</v>
      </c>
      <c r="I189" s="5">
        <v>-1000</v>
      </c>
      <c r="J189" s="5">
        <v>0</v>
      </c>
      <c r="K189" s="1">
        <v>0</v>
      </c>
      <c r="L189" s="1" t="str">
        <f>" "</f>
        <v xml:space="preserve"> </v>
      </c>
      <c r="M189" s="1" t="str">
        <f>"122扣除金额 基金代码：940018,发生份额：1000"</f>
        <v>122扣除金额 基金代码：940018,发生份额：1000</v>
      </c>
    </row>
    <row r="190" spans="1:13" x14ac:dyDescent="0.2">
      <c r="A190" s="3" t="str">
        <f>"5293"</f>
        <v>5293</v>
      </c>
      <c r="B190" s="4">
        <v>43103</v>
      </c>
      <c r="C190" s="1" t="str">
        <f>"银华日利"</f>
        <v>银华日利</v>
      </c>
      <c r="D190" s="11" t="str">
        <f>"511880"</f>
        <v>511880</v>
      </c>
      <c r="E190" s="1" t="str">
        <f t="shared" si="38"/>
        <v>卖出</v>
      </c>
      <c r="F190" s="1" t="str">
        <f>"股息入帐"</f>
        <v>股息入帐</v>
      </c>
      <c r="G190" s="13">
        <v>100.196</v>
      </c>
      <c r="H190" s="1">
        <v>0</v>
      </c>
      <c r="I190" s="5">
        <v>6798.2</v>
      </c>
      <c r="J190" s="5">
        <v>6798.2</v>
      </c>
      <c r="K190" s="1">
        <v>0</v>
      </c>
      <c r="L190" s="1" t="str">
        <f>"A280737240"</f>
        <v>A280737240</v>
      </c>
      <c r="M190" s="1" t="str">
        <f>"股息入账:银华日利511880; 权益股数:1900;股东账号：A280737240;"</f>
        <v>股息入账:银华日利511880; 权益股数:1900;股东账号：A280737240;</v>
      </c>
    </row>
    <row r="191" spans="1:13" x14ac:dyDescent="0.2">
      <c r="A191" s="3" t="str">
        <f>"2681"</f>
        <v>2681</v>
      </c>
      <c r="B191" s="4">
        <v>43104</v>
      </c>
      <c r="C191" s="1" t="str">
        <f>"银华日利"</f>
        <v>银华日利</v>
      </c>
      <c r="D191" s="11" t="str">
        <f>"511880"</f>
        <v>511880</v>
      </c>
      <c r="E191" s="1" t="str">
        <f>"买入"</f>
        <v>买入</v>
      </c>
      <c r="F191" s="1" t="str">
        <f>"证券买入"</f>
        <v>证券买入</v>
      </c>
      <c r="G191" s="13">
        <v>100.203</v>
      </c>
      <c r="H191" s="1">
        <v>100</v>
      </c>
      <c r="I191" s="5">
        <v>-10020.299999999999</v>
      </c>
      <c r="J191" s="5">
        <v>-3222.1</v>
      </c>
      <c r="K191" s="1">
        <v>0</v>
      </c>
      <c r="L191" s="1" t="str">
        <f>"A280737240"</f>
        <v>A280737240</v>
      </c>
      <c r="M191" s="1" t="str">
        <f>"证券买入"</f>
        <v>证券买入</v>
      </c>
    </row>
    <row r="192" spans="1:13" x14ac:dyDescent="0.2">
      <c r="A192" s="3" t="str">
        <f>"7140"</f>
        <v>7140</v>
      </c>
      <c r="B192" s="4">
        <v>43104</v>
      </c>
      <c r="C192" s="4" t="s">
        <v>34</v>
      </c>
      <c r="D192" s="11">
        <v>940018</v>
      </c>
      <c r="E192" s="1" t="str">
        <f>"卖出"</f>
        <v>卖出</v>
      </c>
      <c r="F192" s="1" t="str">
        <f>"基金资金拨出"</f>
        <v>基金资金拨出</v>
      </c>
      <c r="G192" s="13">
        <v>0</v>
      </c>
      <c r="H192" s="1">
        <v>0</v>
      </c>
      <c r="I192" s="5">
        <v>-4085.1</v>
      </c>
      <c r="J192" s="5">
        <v>-7307.2</v>
      </c>
      <c r="K192" s="1">
        <v>0</v>
      </c>
      <c r="L192" s="1" t="str">
        <f t="shared" ref="L192:L195" si="41">" "</f>
        <v xml:space="preserve"> </v>
      </c>
      <c r="M192" s="1" t="str">
        <f>"122扣除金额 基金代码：940018,发生份额：4085.1"</f>
        <v>122扣除金额 基金代码：940018,发生份额：4085.1</v>
      </c>
    </row>
    <row r="193" spans="1:13" x14ac:dyDescent="0.2">
      <c r="A193" s="3" t="str">
        <f>"7141"</f>
        <v>7141</v>
      </c>
      <c r="B193" s="4">
        <v>43104</v>
      </c>
      <c r="C193" s="4" t="s">
        <v>34</v>
      </c>
      <c r="D193" s="11">
        <v>940018</v>
      </c>
      <c r="E193" s="1" t="str">
        <f>"卖出"</f>
        <v>卖出</v>
      </c>
      <c r="F193" s="1" t="str">
        <f>"基金资金拨入"</f>
        <v>基金资金拨入</v>
      </c>
      <c r="G193" s="13">
        <v>0</v>
      </c>
      <c r="H193" s="1">
        <v>0</v>
      </c>
      <c r="I193" s="5">
        <v>7308.2</v>
      </c>
      <c r="J193" s="5">
        <v>1</v>
      </c>
      <c r="K193" s="1">
        <v>0</v>
      </c>
      <c r="L193" s="1" t="str">
        <f t="shared" si="41"/>
        <v xml:space="preserve"> </v>
      </c>
      <c r="M193" s="1" t="str">
        <f>"124增加金额 基金代码：940018,发生份额：7308.2"</f>
        <v>124增加金额 基金代码：940018,发生份额：7308.2</v>
      </c>
    </row>
    <row r="194" spans="1:13" x14ac:dyDescent="0.2">
      <c r="A194" s="3" t="str">
        <f>"2179"</f>
        <v>2179</v>
      </c>
      <c r="B194" s="4">
        <v>43105</v>
      </c>
      <c r="C194" s="4" t="s">
        <v>34</v>
      </c>
      <c r="D194" s="11">
        <v>940018</v>
      </c>
      <c r="E194" s="1" t="str">
        <f>"卖出"</f>
        <v>卖出</v>
      </c>
      <c r="F194" s="1" t="str">
        <f>"基金资金拨出"</f>
        <v>基金资金拨出</v>
      </c>
      <c r="G194" s="13">
        <v>0</v>
      </c>
      <c r="H194" s="1">
        <v>0</v>
      </c>
      <c r="I194" s="5">
        <v>-1</v>
      </c>
      <c r="J194" s="5">
        <v>0</v>
      </c>
      <c r="K194" s="1">
        <v>0</v>
      </c>
      <c r="L194" s="1" t="str">
        <f t="shared" si="41"/>
        <v xml:space="preserve"> </v>
      </c>
      <c r="M194" s="1" t="str">
        <f>"122扣除金额 基金代码：940018,发生份额：1"</f>
        <v>122扣除金额 基金代码：940018,发生份额：1</v>
      </c>
    </row>
    <row r="195" spans="1:13" x14ac:dyDescent="0.2">
      <c r="A195" s="3" t="str">
        <f>"2467"</f>
        <v>2467</v>
      </c>
      <c r="B195" s="4">
        <v>43108</v>
      </c>
      <c r="C195" s="4" t="s">
        <v>34</v>
      </c>
      <c r="D195" s="11">
        <v>940018</v>
      </c>
      <c r="E195" s="1" t="str">
        <f>"卖出"</f>
        <v>卖出</v>
      </c>
      <c r="F195" s="1" t="str">
        <f>"基金资金拨出"</f>
        <v>基金资金拨出</v>
      </c>
      <c r="G195" s="13">
        <v>0</v>
      </c>
      <c r="H195" s="1">
        <v>0</v>
      </c>
      <c r="I195" s="5">
        <v>-657</v>
      </c>
      <c r="J195" s="5">
        <v>-657</v>
      </c>
      <c r="K195" s="1">
        <v>0</v>
      </c>
      <c r="L195" s="1" t="str">
        <f t="shared" si="41"/>
        <v xml:space="preserve"> </v>
      </c>
      <c r="M195" s="1" t="str">
        <f>"122扣除金额 基金代码：940018,发生份额：657"</f>
        <v>122扣除金额 基金代码：940018,发生份额：657</v>
      </c>
    </row>
    <row r="196" spans="1:13" x14ac:dyDescent="0.2">
      <c r="A196" s="3" t="str">
        <f>"4398"</f>
        <v>4398</v>
      </c>
      <c r="B196" s="4">
        <v>43108</v>
      </c>
      <c r="C196" s="1" t="str">
        <f>"银华日利"</f>
        <v>银华日利</v>
      </c>
      <c r="D196" s="11" t="str">
        <f>"511880"</f>
        <v>511880</v>
      </c>
      <c r="E196" s="1" t="str">
        <f>"卖出"</f>
        <v>卖出</v>
      </c>
      <c r="F196" s="1" t="str">
        <f>"证券卖出"</f>
        <v>证券卖出</v>
      </c>
      <c r="G196" s="13">
        <v>100.33</v>
      </c>
      <c r="H196" s="1">
        <v>-2000</v>
      </c>
      <c r="I196" s="5">
        <v>200660</v>
      </c>
      <c r="J196" s="5">
        <v>200003</v>
      </c>
      <c r="K196" s="1">
        <v>0</v>
      </c>
      <c r="L196" s="1" t="str">
        <f>"A280737240"</f>
        <v>A280737240</v>
      </c>
      <c r="M196" s="1" t="str">
        <f>"证券卖出"</f>
        <v>证券卖出</v>
      </c>
    </row>
    <row r="197" spans="1:13" x14ac:dyDescent="0.2">
      <c r="A197" s="3" t="str">
        <f>"4400"</f>
        <v>4400</v>
      </c>
      <c r="B197" s="4">
        <v>43108</v>
      </c>
      <c r="C197" s="1" t="str">
        <f>"现金添富"</f>
        <v>现金添富</v>
      </c>
      <c r="D197" s="11" t="str">
        <f>"511980"</f>
        <v>511980</v>
      </c>
      <c r="E197" s="1" t="str">
        <f>"买入"</f>
        <v>买入</v>
      </c>
      <c r="F197" s="1" t="str">
        <f>"证券买入"</f>
        <v>证券买入</v>
      </c>
      <c r="G197" s="13">
        <v>100.001</v>
      </c>
      <c r="H197" s="1">
        <v>2000</v>
      </c>
      <c r="I197" s="5">
        <v>-200002</v>
      </c>
      <c r="J197" s="5">
        <v>1</v>
      </c>
      <c r="K197" s="1">
        <v>0</v>
      </c>
      <c r="L197" s="1" t="str">
        <f>"A280737240"</f>
        <v>A280737240</v>
      </c>
      <c r="M197" s="1" t="str">
        <f>"证券买入"</f>
        <v>证券买入</v>
      </c>
    </row>
    <row r="198" spans="1:13" x14ac:dyDescent="0.2">
      <c r="A198" s="3" t="str">
        <f>"2417"</f>
        <v>2417</v>
      </c>
      <c r="B198" s="4">
        <v>43109</v>
      </c>
      <c r="C198" s="1" t="str">
        <f>"现金添富"</f>
        <v>现金添富</v>
      </c>
      <c r="D198" s="11" t="str">
        <f>"511980"</f>
        <v>511980</v>
      </c>
      <c r="E198" s="1" t="str">
        <f>"卖出"</f>
        <v>卖出</v>
      </c>
      <c r="F198" s="1" t="str">
        <f>"证券卖出"</f>
        <v>证券卖出</v>
      </c>
      <c r="G198" s="13">
        <v>99.998999999999995</v>
      </c>
      <c r="H198" s="1">
        <v>-2000</v>
      </c>
      <c r="I198" s="5">
        <v>199998</v>
      </c>
      <c r="J198" s="5">
        <v>199999</v>
      </c>
      <c r="K198" s="1">
        <v>0</v>
      </c>
      <c r="L198" s="1" t="str">
        <f>"A280737240"</f>
        <v>A280737240</v>
      </c>
      <c r="M198" s="1" t="str">
        <f>"证券卖出"</f>
        <v>证券卖出</v>
      </c>
    </row>
    <row r="199" spans="1:13" x14ac:dyDescent="0.2">
      <c r="A199" s="3" t="str">
        <f>"2418"</f>
        <v>2418</v>
      </c>
      <c r="B199" s="4">
        <v>43109</v>
      </c>
      <c r="C199" s="1" t="str">
        <f>"银华日利"</f>
        <v>银华日利</v>
      </c>
      <c r="D199" s="11" t="str">
        <f>"511880"</f>
        <v>511880</v>
      </c>
      <c r="E199" s="1" t="str">
        <f>"买入"</f>
        <v>买入</v>
      </c>
      <c r="F199" s="1" t="str">
        <f>"证券买入"</f>
        <v>证券买入</v>
      </c>
      <c r="G199" s="13">
        <v>100.27200000000001</v>
      </c>
      <c r="H199" s="1">
        <v>2000</v>
      </c>
      <c r="I199" s="5">
        <v>-200544</v>
      </c>
      <c r="J199" s="5">
        <v>-545</v>
      </c>
      <c r="K199" s="1">
        <v>0</v>
      </c>
      <c r="L199" s="1" t="str">
        <f>"A280737240"</f>
        <v>A280737240</v>
      </c>
      <c r="M199" s="1" t="str">
        <f>"证券买入"</f>
        <v>证券买入</v>
      </c>
    </row>
    <row r="200" spans="1:13" x14ac:dyDescent="0.2">
      <c r="A200" s="3" t="str">
        <f>"5313"</f>
        <v>5313</v>
      </c>
      <c r="B200" s="4">
        <v>43109</v>
      </c>
      <c r="C200" s="4" t="s">
        <v>34</v>
      </c>
      <c r="D200" s="11">
        <v>940018</v>
      </c>
      <c r="E200" s="1" t="str">
        <f t="shared" ref="E200:E207" si="42">"卖出"</f>
        <v>卖出</v>
      </c>
      <c r="F200" s="1" t="str">
        <f>"基金资金拨出"</f>
        <v>基金资金拨出</v>
      </c>
      <c r="G200" s="13">
        <v>0</v>
      </c>
      <c r="H200" s="1">
        <v>0</v>
      </c>
      <c r="I200" s="5">
        <v>-4197.1000000000004</v>
      </c>
      <c r="J200" s="5">
        <v>-4742.1000000000004</v>
      </c>
      <c r="K200" s="1">
        <v>0</v>
      </c>
      <c r="L200" s="1" t="str">
        <f t="shared" ref="L200:L203" si="43">" "</f>
        <v xml:space="preserve"> </v>
      </c>
      <c r="M200" s="1" t="str">
        <f>"122扣除金额 基金代码：940018,发生份额：4197.1"</f>
        <v>122扣除金额 基金代码：940018,发生份额：4197.1</v>
      </c>
    </row>
    <row r="201" spans="1:13" x14ac:dyDescent="0.2">
      <c r="A201" s="3" t="str">
        <f>"5314"</f>
        <v>5314</v>
      </c>
      <c r="B201" s="4">
        <v>43109</v>
      </c>
      <c r="C201" s="4" t="s">
        <v>34</v>
      </c>
      <c r="D201" s="11">
        <v>940018</v>
      </c>
      <c r="E201" s="1" t="str">
        <f t="shared" si="42"/>
        <v>卖出</v>
      </c>
      <c r="F201" s="1" t="str">
        <f>"基金资金拨入"</f>
        <v>基金资金拨入</v>
      </c>
      <c r="G201" s="13">
        <v>0</v>
      </c>
      <c r="H201" s="1">
        <v>0</v>
      </c>
      <c r="I201" s="5">
        <v>4743.1000000000004</v>
      </c>
      <c r="J201" s="5">
        <v>1</v>
      </c>
      <c r="K201" s="1">
        <v>0</v>
      </c>
      <c r="L201" s="1" t="str">
        <f t="shared" si="43"/>
        <v xml:space="preserve"> </v>
      </c>
      <c r="M201" s="1" t="str">
        <f>"124增加金额 基金代码：940018,发生份额：4743.1"</f>
        <v>124增加金额 基金代码：940018,发生份额：4743.1</v>
      </c>
    </row>
    <row r="202" spans="1:13" x14ac:dyDescent="0.2">
      <c r="A202" s="3" t="str">
        <f>"1876"</f>
        <v>1876</v>
      </c>
      <c r="B202" s="4">
        <v>43110</v>
      </c>
      <c r="C202" s="4" t="s">
        <v>34</v>
      </c>
      <c r="D202" s="11">
        <v>940018</v>
      </c>
      <c r="E202" s="1" t="str">
        <f t="shared" si="42"/>
        <v>卖出</v>
      </c>
      <c r="F202" s="1" t="str">
        <f>"基金资金拨出"</f>
        <v>基金资金拨出</v>
      </c>
      <c r="G202" s="13">
        <v>0</v>
      </c>
      <c r="H202" s="1">
        <v>0</v>
      </c>
      <c r="I202" s="5">
        <v>-197.06</v>
      </c>
      <c r="J202" s="5">
        <v>-196.06</v>
      </c>
      <c r="K202" s="1">
        <v>0</v>
      </c>
      <c r="L202" s="1" t="str">
        <f t="shared" si="43"/>
        <v xml:space="preserve"> </v>
      </c>
      <c r="M202" s="1" t="str">
        <f>"122扣除金额 基金代码：940018,发生份额：197.06"</f>
        <v>122扣除金额 基金代码：940018,发生份额：197.06</v>
      </c>
    </row>
    <row r="203" spans="1:13" x14ac:dyDescent="0.2">
      <c r="A203" s="3" t="str">
        <f>"1878"</f>
        <v>1878</v>
      </c>
      <c r="B203" s="4">
        <v>43110</v>
      </c>
      <c r="C203" s="4" t="s">
        <v>34</v>
      </c>
      <c r="D203" s="11">
        <v>940018</v>
      </c>
      <c r="E203" s="1" t="str">
        <f t="shared" si="42"/>
        <v>卖出</v>
      </c>
      <c r="F203" s="1" t="str">
        <f>"基金资金拨入"</f>
        <v>基金资金拨入</v>
      </c>
      <c r="G203" s="13">
        <v>0</v>
      </c>
      <c r="H203" s="1">
        <v>0</v>
      </c>
      <c r="I203" s="5">
        <v>4197.1000000000004</v>
      </c>
      <c r="J203" s="5">
        <v>4001.04</v>
      </c>
      <c r="K203" s="1">
        <v>0</v>
      </c>
      <c r="L203" s="1" t="str">
        <f t="shared" si="43"/>
        <v xml:space="preserve"> </v>
      </c>
      <c r="M203" s="1" t="str">
        <f>"124增加金额 基金代码：940018,发生份额：4197.1"</f>
        <v>124增加金额 基金代码：940018,发生份额：4197.1</v>
      </c>
    </row>
    <row r="204" spans="1:13" x14ac:dyDescent="0.2">
      <c r="A204" s="3" t="str">
        <f>"6289"</f>
        <v>6289</v>
      </c>
      <c r="B204" s="4">
        <v>43110</v>
      </c>
      <c r="C204" s="1" t="str">
        <f>"Ｒ-001"</f>
        <v>Ｒ-001</v>
      </c>
      <c r="D204" s="11" t="str">
        <f>"131810"</f>
        <v>131810</v>
      </c>
      <c r="E204" s="1" t="str">
        <f t="shared" si="42"/>
        <v>卖出</v>
      </c>
      <c r="F204" s="1" t="str">
        <f>"质押回购拆出"</f>
        <v>质押回购拆出</v>
      </c>
      <c r="G204" s="13">
        <v>2.681</v>
      </c>
      <c r="H204" s="1">
        <v>40</v>
      </c>
      <c r="I204" s="5">
        <v>-4000.04</v>
      </c>
      <c r="J204" s="5">
        <v>1</v>
      </c>
      <c r="K204" s="1">
        <v>0.04</v>
      </c>
      <c r="L204" s="1" t="str">
        <f>"0184500716"</f>
        <v>0184500716</v>
      </c>
      <c r="M204" s="1" t="str">
        <f>"融券回购购回日:20180111预计利息:.29参考占款天数：1-131990"</f>
        <v>融券回购购回日:20180111预计利息:.29参考占款天数：1-131990</v>
      </c>
    </row>
    <row r="205" spans="1:13" x14ac:dyDescent="0.2">
      <c r="A205" s="3" t="str">
        <f>"6770"</f>
        <v>6770</v>
      </c>
      <c r="B205" s="4">
        <v>43110</v>
      </c>
      <c r="C205" s="1" t="str">
        <f>"现金添富"</f>
        <v>现金添富</v>
      </c>
      <c r="D205" s="11" t="str">
        <f>"511980"</f>
        <v>511980</v>
      </c>
      <c r="E205" s="1" t="str">
        <f t="shared" si="42"/>
        <v>卖出</v>
      </c>
      <c r="F205" s="1" t="str">
        <f>"ETF现金替代退款"</f>
        <v>ETF现金替代退款</v>
      </c>
      <c r="G205" s="13">
        <v>100.001</v>
      </c>
      <c r="H205" s="1">
        <v>0</v>
      </c>
      <c r="I205" s="5">
        <v>21.25</v>
      </c>
      <c r="J205" s="5">
        <v>22.25</v>
      </c>
      <c r="K205" s="1">
        <v>0</v>
      </c>
      <c r="L205" s="1" t="str">
        <f>"A280737240"</f>
        <v>A280737240</v>
      </c>
      <c r="M205" s="1" t="str">
        <f>"ETF现金替代退款,证券代码:511980,委托时间:20180109,成交编号:2"</f>
        <v>ETF现金替代退款,证券代码:511980,委托时间:20180109,成交编号:2</v>
      </c>
    </row>
    <row r="206" spans="1:13" x14ac:dyDescent="0.2">
      <c r="A206" s="3" t="str">
        <f>"4646"</f>
        <v>4646</v>
      </c>
      <c r="B206" s="4">
        <v>43111</v>
      </c>
      <c r="C206" s="1" t="str">
        <f>"Ｒ-001"</f>
        <v>Ｒ-001</v>
      </c>
      <c r="D206" s="11" t="str">
        <f>"131810"</f>
        <v>131810</v>
      </c>
      <c r="E206" s="1" t="str">
        <f t="shared" si="42"/>
        <v>卖出</v>
      </c>
      <c r="F206" s="1" t="str">
        <f>"拆出质押购回"</f>
        <v>拆出质押购回</v>
      </c>
      <c r="G206" s="13">
        <v>2.681</v>
      </c>
      <c r="H206" s="1">
        <v>-40</v>
      </c>
      <c r="I206" s="5">
        <v>4000.29</v>
      </c>
      <c r="J206" s="5">
        <v>4022.54</v>
      </c>
      <c r="K206" s="1">
        <v>0</v>
      </c>
      <c r="L206" s="1" t="str">
        <f>"0184500716"</f>
        <v>0184500716</v>
      </c>
      <c r="M206" s="1" t="str">
        <f>"融券购回:.29实际占款天数：1-131990"</f>
        <v>融券购回:.29实际占款天数：1-131990</v>
      </c>
    </row>
    <row r="207" spans="1:13" x14ac:dyDescent="0.2">
      <c r="A207" s="3" t="str">
        <f>"6216"</f>
        <v>6216</v>
      </c>
      <c r="B207" s="4">
        <v>43111</v>
      </c>
      <c r="C207" s="4" t="s">
        <v>34</v>
      </c>
      <c r="D207" s="11">
        <v>940018</v>
      </c>
      <c r="E207" s="1" t="str">
        <f t="shared" si="42"/>
        <v>卖出</v>
      </c>
      <c r="F207" s="1" t="str">
        <f>"基金资金拨出"</f>
        <v>基金资金拨出</v>
      </c>
      <c r="G207" s="13">
        <v>0</v>
      </c>
      <c r="H207" s="1">
        <v>0</v>
      </c>
      <c r="I207" s="5">
        <v>-4022.54</v>
      </c>
      <c r="J207" s="5">
        <v>0</v>
      </c>
      <c r="K207" s="1">
        <v>0</v>
      </c>
      <c r="L207" s="1" t="str">
        <f>" "</f>
        <v xml:space="preserve"> </v>
      </c>
      <c r="M207" s="1" t="str">
        <f>"122扣除金额 基金代码：940018,发生份额：4022.54"</f>
        <v>122扣除金额 基金代码：940018,发生份额：4022.54</v>
      </c>
    </row>
    <row r="208" spans="1:13" x14ac:dyDescent="0.2">
      <c r="A208" s="3" t="str">
        <f>"2878"</f>
        <v>2878</v>
      </c>
      <c r="B208" s="4">
        <v>43115</v>
      </c>
      <c r="C208" s="1" t="str">
        <f>"500ETF"</f>
        <v>500ETF</v>
      </c>
      <c r="D208" s="11" t="str">
        <f>"510500"</f>
        <v>510500</v>
      </c>
      <c r="E208" s="1" t="str">
        <f>"买入"</f>
        <v>买入</v>
      </c>
      <c r="F208" s="1" t="str">
        <f>"证券买入"</f>
        <v>证券买入</v>
      </c>
      <c r="G208" s="13">
        <v>6.5739999999999998</v>
      </c>
      <c r="H208" s="1">
        <v>600</v>
      </c>
      <c r="I208" s="5">
        <v>-3945.19</v>
      </c>
      <c r="J208" s="5">
        <v>-3945.19</v>
      </c>
      <c r="K208" s="1">
        <v>0.79</v>
      </c>
      <c r="L208" s="1" t="str">
        <f>"A280737240"</f>
        <v>A280737240</v>
      </c>
      <c r="M208" s="1" t="str">
        <f>"证券买入"</f>
        <v>证券买入</v>
      </c>
    </row>
    <row r="209" spans="1:13" x14ac:dyDescent="0.2">
      <c r="A209" s="3" t="str">
        <f>"5176"</f>
        <v>5176</v>
      </c>
      <c r="B209" s="4">
        <v>43115</v>
      </c>
      <c r="C209" s="4" t="s">
        <v>34</v>
      </c>
      <c r="D209" s="11">
        <v>940018</v>
      </c>
      <c r="E209" s="1" t="str">
        <f>"卖出"</f>
        <v>卖出</v>
      </c>
      <c r="F209" s="1" t="str">
        <f>"基金资金拨出"</f>
        <v>基金资金拨出</v>
      </c>
      <c r="G209" s="13">
        <v>0</v>
      </c>
      <c r="H209" s="1">
        <v>0</v>
      </c>
      <c r="I209" s="5">
        <v>-273.41000000000003</v>
      </c>
      <c r="J209" s="5">
        <v>-4218.6000000000004</v>
      </c>
      <c r="K209" s="1">
        <v>0</v>
      </c>
      <c r="L209" s="1" t="str">
        <f t="shared" ref="L209:L212" si="44">" "</f>
        <v xml:space="preserve"> </v>
      </c>
      <c r="M209" s="1" t="str">
        <f>"122扣除金额 基金代码：940018,发生份额：273.41"</f>
        <v>122扣除金额 基金代码：940018,发生份额：273.41</v>
      </c>
    </row>
    <row r="210" spans="1:13" x14ac:dyDescent="0.2">
      <c r="A210" s="3" t="str">
        <f>"5177"</f>
        <v>5177</v>
      </c>
      <c r="B210" s="4">
        <v>43115</v>
      </c>
      <c r="C210" s="4" t="s">
        <v>34</v>
      </c>
      <c r="D210" s="11">
        <v>940018</v>
      </c>
      <c r="E210" s="1" t="str">
        <f>"卖出"</f>
        <v>卖出</v>
      </c>
      <c r="F210" s="1" t="str">
        <f>"基金资金拨入"</f>
        <v>基金资金拨入</v>
      </c>
      <c r="G210" s="13">
        <v>0</v>
      </c>
      <c r="H210" s="1">
        <v>0</v>
      </c>
      <c r="I210" s="5">
        <v>4219.6000000000004</v>
      </c>
      <c r="J210" s="5">
        <v>1</v>
      </c>
      <c r="K210" s="1">
        <v>0</v>
      </c>
      <c r="L210" s="1" t="str">
        <f t="shared" si="44"/>
        <v xml:space="preserve"> </v>
      </c>
      <c r="M210" s="1" t="str">
        <f>"124增加金额 基金代码：940018,发生份额：4219.6"</f>
        <v>124增加金额 基金代码：940018,发生份额：4219.6</v>
      </c>
    </row>
    <row r="211" spans="1:13" x14ac:dyDescent="0.2">
      <c r="A211" s="3" t="str">
        <f>"6158"</f>
        <v>6158</v>
      </c>
      <c r="B211" s="4">
        <v>43116</v>
      </c>
      <c r="C211" s="4" t="s">
        <v>34</v>
      </c>
      <c r="D211" s="11">
        <v>940018</v>
      </c>
      <c r="E211" s="1" t="str">
        <f>"卖出"</f>
        <v>卖出</v>
      </c>
      <c r="F211" s="1" t="str">
        <f>"基金资金拨出"</f>
        <v>基金资金拨出</v>
      </c>
      <c r="G211" s="13">
        <v>0</v>
      </c>
      <c r="H211" s="1">
        <v>0</v>
      </c>
      <c r="I211" s="5">
        <v>-1</v>
      </c>
      <c r="J211" s="5">
        <v>0</v>
      </c>
      <c r="K211" s="1">
        <v>0</v>
      </c>
      <c r="L211" s="1" t="str">
        <f t="shared" si="44"/>
        <v xml:space="preserve"> </v>
      </c>
      <c r="M211" s="1" t="str">
        <f>"122扣除金额 基金代码：940018,发生份额：1"</f>
        <v>122扣除金额 基金代码：940018,发生份额：1</v>
      </c>
    </row>
    <row r="212" spans="1:13" x14ac:dyDescent="0.2">
      <c r="A212" s="3" t="str">
        <f>"2461"</f>
        <v>2461</v>
      </c>
      <c r="B212" s="4">
        <v>43119</v>
      </c>
      <c r="C212" s="4" t="s">
        <v>34</v>
      </c>
      <c r="D212" s="11">
        <v>940018</v>
      </c>
      <c r="E212" s="1" t="str">
        <f>"卖出"</f>
        <v>卖出</v>
      </c>
      <c r="F212" s="1" t="str">
        <f>"基金资金拨出"</f>
        <v>基金资金拨出</v>
      </c>
      <c r="G212" s="13">
        <v>0</v>
      </c>
      <c r="H212" s="1">
        <v>0</v>
      </c>
      <c r="I212" s="5">
        <v>-6034.8</v>
      </c>
      <c r="J212" s="5">
        <v>-6034.8</v>
      </c>
      <c r="K212" s="1">
        <v>0</v>
      </c>
      <c r="L212" s="1" t="str">
        <f t="shared" si="44"/>
        <v xml:space="preserve"> </v>
      </c>
      <c r="M212" s="1" t="str">
        <f>"122扣除金额 基金代码：940018,发生份额：6034.8"</f>
        <v>122扣除金额 基金代码：940018,发生份额：6034.8</v>
      </c>
    </row>
    <row r="213" spans="1:13" x14ac:dyDescent="0.2">
      <c r="A213" s="3" t="str">
        <f>"4456"</f>
        <v>4456</v>
      </c>
      <c r="B213" s="4">
        <v>43119</v>
      </c>
      <c r="C213" s="1" t="str">
        <f>"银华日利"</f>
        <v>银华日利</v>
      </c>
      <c r="D213" s="11" t="str">
        <f>"511880"</f>
        <v>511880</v>
      </c>
      <c r="E213" s="1" t="str">
        <f>"卖出"</f>
        <v>卖出</v>
      </c>
      <c r="F213" s="1" t="str">
        <f>"证券卖出"</f>
        <v>证券卖出</v>
      </c>
      <c r="G213" s="13">
        <v>100.366</v>
      </c>
      <c r="H213" s="1">
        <v>-100</v>
      </c>
      <c r="I213" s="5">
        <v>10036.6</v>
      </c>
      <c r="J213" s="5">
        <v>4001.8</v>
      </c>
      <c r="K213" s="1">
        <v>0</v>
      </c>
      <c r="L213" s="1" t="str">
        <f>"A280737240"</f>
        <v>A280737240</v>
      </c>
      <c r="M213" s="1" t="str">
        <f>"证券卖出"</f>
        <v>证券卖出</v>
      </c>
    </row>
    <row r="214" spans="1:13" x14ac:dyDescent="0.2">
      <c r="A214" s="3" t="str">
        <f>"4457"</f>
        <v>4457</v>
      </c>
      <c r="B214" s="4">
        <v>43119</v>
      </c>
      <c r="C214" s="1" t="str">
        <f>"N传媒ETF"</f>
        <v>N传媒ETF</v>
      </c>
      <c r="D214" s="11" t="str">
        <f>"512980"</f>
        <v>512980</v>
      </c>
      <c r="E214" s="1" t="str">
        <f>"买入"</f>
        <v>买入</v>
      </c>
      <c r="F214" s="1" t="str">
        <f>"证券买入"</f>
        <v>证券买入</v>
      </c>
      <c r="G214" s="13">
        <v>1</v>
      </c>
      <c r="H214" s="1">
        <v>4000</v>
      </c>
      <c r="I214" s="5">
        <v>-4000.8</v>
      </c>
      <c r="J214" s="5">
        <v>1</v>
      </c>
      <c r="K214" s="1">
        <v>0.8</v>
      </c>
      <c r="L214" s="1" t="str">
        <f>"A280737240"</f>
        <v>A280737240</v>
      </c>
      <c r="M214" s="1" t="str">
        <f>"证券买入"</f>
        <v>证券买入</v>
      </c>
    </row>
    <row r="215" spans="1:13" x14ac:dyDescent="0.2">
      <c r="A215" s="3" t="str">
        <f>"6909"</f>
        <v>6909</v>
      </c>
      <c r="B215" s="4">
        <v>43122</v>
      </c>
      <c r="C215" s="4" t="s">
        <v>34</v>
      </c>
      <c r="D215" s="11">
        <v>940018</v>
      </c>
      <c r="E215" s="1" t="str">
        <f>"卖出"</f>
        <v>卖出</v>
      </c>
      <c r="F215" s="1" t="str">
        <f>"基金资金拨出"</f>
        <v>基金资金拨出</v>
      </c>
      <c r="G215" s="13">
        <v>0</v>
      </c>
      <c r="H215" s="1">
        <v>0</v>
      </c>
      <c r="I215" s="5">
        <v>-1</v>
      </c>
      <c r="J215" s="5">
        <v>0</v>
      </c>
      <c r="K215" s="1">
        <v>0</v>
      </c>
      <c r="L215" s="1" t="str">
        <f t="shared" ref="L215:L217" si="45">" "</f>
        <v xml:space="preserve"> </v>
      </c>
      <c r="M215" s="1" t="str">
        <f>"122扣除金额 基金代码：940018,发生份额：1"</f>
        <v>122扣除金额 基金代码：940018,发生份额：1</v>
      </c>
    </row>
    <row r="216" spans="1:13" x14ac:dyDescent="0.2">
      <c r="A216" s="3" t="str">
        <f>"2447"</f>
        <v>2447</v>
      </c>
      <c r="B216" s="4">
        <v>43130</v>
      </c>
      <c r="C216" s="4" t="s">
        <v>34</v>
      </c>
      <c r="D216" s="11">
        <v>940018</v>
      </c>
      <c r="E216" s="1" t="str">
        <f>"卖出"</f>
        <v>卖出</v>
      </c>
      <c r="F216" s="1" t="str">
        <f>"基金资金拨出"</f>
        <v>基金资金拨出</v>
      </c>
      <c r="G216" s="13">
        <v>0</v>
      </c>
      <c r="H216" s="1">
        <v>0</v>
      </c>
      <c r="I216" s="5">
        <v>-895.88</v>
      </c>
      <c r="J216" s="5">
        <v>-895.88</v>
      </c>
      <c r="K216" s="1">
        <v>0</v>
      </c>
      <c r="L216" s="1" t="str">
        <f t="shared" si="45"/>
        <v xml:space="preserve"> </v>
      </c>
      <c r="M216" s="1" t="str">
        <f>"122扣除金额 基金代码：940018,发生份额：895.88"</f>
        <v>122扣除金额 基金代码：940018,发生份额：895.88</v>
      </c>
    </row>
    <row r="217" spans="1:13" x14ac:dyDescent="0.2">
      <c r="A217" s="3" t="str">
        <f>"2448"</f>
        <v>2448</v>
      </c>
      <c r="B217" s="4">
        <v>43130</v>
      </c>
      <c r="C217" s="4" t="s">
        <v>34</v>
      </c>
      <c r="D217" s="11">
        <v>940018</v>
      </c>
      <c r="E217" s="1" t="str">
        <f>"卖出"</f>
        <v>卖出</v>
      </c>
      <c r="F217" s="1" t="str">
        <f>"基金资金拨入"</f>
        <v>基金资金拨入</v>
      </c>
      <c r="G217" s="13">
        <v>0</v>
      </c>
      <c r="H217" s="1">
        <v>0</v>
      </c>
      <c r="I217" s="5">
        <v>6315.96</v>
      </c>
      <c r="J217" s="5">
        <v>5420.08</v>
      </c>
      <c r="K217" s="1">
        <v>0</v>
      </c>
      <c r="L217" s="1" t="str">
        <f t="shared" si="45"/>
        <v xml:space="preserve"> </v>
      </c>
      <c r="M217" s="1" t="str">
        <f>"124增加金额 基金代码：940018,发生份额：6315.96"</f>
        <v>124增加金额 基金代码：940018,发生份额：6315.96</v>
      </c>
    </row>
    <row r="218" spans="1:13" x14ac:dyDescent="0.2">
      <c r="A218" s="3" t="str">
        <f>"5633"</f>
        <v>5633</v>
      </c>
      <c r="B218" s="4">
        <v>43130</v>
      </c>
      <c r="C218" s="1" t="str">
        <f>"华宝油气"</f>
        <v>华宝油气</v>
      </c>
      <c r="D218" s="11" t="str">
        <f>"162411"</f>
        <v>162411</v>
      </c>
      <c r="E218" s="1" t="str">
        <f>"买入"</f>
        <v>买入</v>
      </c>
      <c r="F218" s="1" t="str">
        <f>"证券买入"</f>
        <v>证券买入</v>
      </c>
      <c r="G218" s="13">
        <v>0.60299999999999998</v>
      </c>
      <c r="H218" s="1">
        <v>4500</v>
      </c>
      <c r="I218" s="5">
        <v>-2714.04</v>
      </c>
      <c r="J218" s="5">
        <v>2706.04</v>
      </c>
      <c r="K218" s="1">
        <v>0.54</v>
      </c>
      <c r="L218" s="1" t="str">
        <f>"0184500716"</f>
        <v>0184500716</v>
      </c>
      <c r="M218" s="1" t="str">
        <f>"证券买入"</f>
        <v>证券买入</v>
      </c>
    </row>
    <row r="219" spans="1:13" x14ac:dyDescent="0.2">
      <c r="A219" s="3" t="str">
        <f>"5635"</f>
        <v>5635</v>
      </c>
      <c r="B219" s="4">
        <v>43130</v>
      </c>
      <c r="C219" s="1" t="str">
        <f>"华宝油气"</f>
        <v>华宝油气</v>
      </c>
      <c r="D219" s="11" t="str">
        <f>"162411"</f>
        <v>162411</v>
      </c>
      <c r="E219" s="1" t="str">
        <f>"买入"</f>
        <v>买入</v>
      </c>
      <c r="F219" s="1" t="str">
        <f>"证券买入"</f>
        <v>证券买入</v>
      </c>
      <c r="G219" s="13">
        <v>0.60099999999999998</v>
      </c>
      <c r="H219" s="1">
        <v>4500</v>
      </c>
      <c r="I219" s="5">
        <v>-2705.04</v>
      </c>
      <c r="J219" s="5">
        <v>1</v>
      </c>
      <c r="K219" s="1">
        <v>0.54</v>
      </c>
      <c r="L219" s="1" t="str">
        <f>"0184500716"</f>
        <v>0184500716</v>
      </c>
      <c r="M219" s="1" t="str">
        <f>"证券买入"</f>
        <v>证券买入</v>
      </c>
    </row>
    <row r="220" spans="1:13" x14ac:dyDescent="0.2">
      <c r="A220" s="3" t="str">
        <f>"991"</f>
        <v>991</v>
      </c>
      <c r="B220" s="4">
        <v>43131</v>
      </c>
      <c r="C220" s="1" t="str">
        <f t="shared" ref="C220:L221" si="46">" "</f>
        <v xml:space="preserve"> </v>
      </c>
      <c r="D220" s="11"/>
      <c r="E220" s="1" t="str">
        <f t="shared" ref="E220:E227" si="47">"卖出"</f>
        <v>卖出</v>
      </c>
      <c r="F220" s="1" t="str">
        <f>"银行转存"</f>
        <v>银行转存</v>
      </c>
      <c r="G220" s="13">
        <v>0</v>
      </c>
      <c r="H220" s="1">
        <v>0</v>
      </c>
      <c r="I220" s="5">
        <v>110000</v>
      </c>
      <c r="J220" s="5">
        <v>110001</v>
      </c>
      <c r="K220" s="1">
        <v>0</v>
      </c>
      <c r="L220" s="1" t="str">
        <f t="shared" si="46"/>
        <v xml:space="preserve"> </v>
      </c>
      <c r="M220" s="1" t="str">
        <f>"银行返回码[ ]返回信息[0000 交易成功]|转账成功correct_balance=0"</f>
        <v>银行返回码[ ]返回信息[0000 交易成功]|转账成功correct_balance=0</v>
      </c>
    </row>
    <row r="221" spans="1:13" x14ac:dyDescent="0.2">
      <c r="A221" s="3" t="str">
        <f>"2011"</f>
        <v>2011</v>
      </c>
      <c r="B221" s="4">
        <v>43131</v>
      </c>
      <c r="C221" s="4" t="s">
        <v>34</v>
      </c>
      <c r="D221" s="11">
        <v>940018</v>
      </c>
      <c r="E221" s="1" t="str">
        <f t="shared" si="47"/>
        <v>卖出</v>
      </c>
      <c r="F221" s="1" t="str">
        <f>"基金资金拨出"</f>
        <v>基金资金拨出</v>
      </c>
      <c r="G221" s="13">
        <v>0</v>
      </c>
      <c r="H221" s="1">
        <v>0</v>
      </c>
      <c r="I221" s="5">
        <v>-110018.49</v>
      </c>
      <c r="J221" s="5">
        <v>-17.489999999999998</v>
      </c>
      <c r="K221" s="1">
        <v>0</v>
      </c>
      <c r="L221" s="1" t="str">
        <f t="shared" si="46"/>
        <v xml:space="preserve"> </v>
      </c>
      <c r="M221" s="1" t="str">
        <f>"122扣除金额 基金代码：940018,发生份额：110018.49"</f>
        <v>122扣除金额 基金代码：940018,发生份额：110018.49</v>
      </c>
    </row>
    <row r="222" spans="1:13" x14ac:dyDescent="0.2">
      <c r="A222" s="3" t="str">
        <f>"4064"</f>
        <v>4064</v>
      </c>
      <c r="B222" s="4">
        <v>43131</v>
      </c>
      <c r="C222" s="1" t="str">
        <f>"银华日利"</f>
        <v>银华日利</v>
      </c>
      <c r="D222" s="11" t="str">
        <f>"511880"</f>
        <v>511880</v>
      </c>
      <c r="E222" s="1" t="str">
        <f t="shared" si="47"/>
        <v>卖出</v>
      </c>
      <c r="F222" s="1" t="str">
        <f>"证券卖出"</f>
        <v>证券卖出</v>
      </c>
      <c r="G222" s="13">
        <v>100.52</v>
      </c>
      <c r="H222" s="1">
        <v>-100</v>
      </c>
      <c r="I222" s="5">
        <v>10052</v>
      </c>
      <c r="J222" s="5">
        <v>10034.51</v>
      </c>
      <c r="K222" s="1">
        <v>0</v>
      </c>
      <c r="L222" s="1" t="str">
        <f>"A280737240"</f>
        <v>A280737240</v>
      </c>
      <c r="M222" s="1" t="str">
        <f>"证券卖出"</f>
        <v>证券卖出</v>
      </c>
    </row>
    <row r="223" spans="1:13" x14ac:dyDescent="0.2">
      <c r="A223" s="3" t="str">
        <f>"4065"</f>
        <v>4065</v>
      </c>
      <c r="B223" s="4">
        <v>43131</v>
      </c>
      <c r="C223" s="1" t="str">
        <f>"银华日利"</f>
        <v>银华日利</v>
      </c>
      <c r="D223" s="11" t="str">
        <f>"511880"</f>
        <v>511880</v>
      </c>
      <c r="E223" s="1" t="str">
        <f t="shared" si="47"/>
        <v>卖出</v>
      </c>
      <c r="F223" s="1" t="str">
        <f>"证券卖出"</f>
        <v>证券卖出</v>
      </c>
      <c r="G223" s="13">
        <v>100.538</v>
      </c>
      <c r="H223" s="1">
        <v>-1800</v>
      </c>
      <c r="I223" s="5">
        <v>180968.4</v>
      </c>
      <c r="J223" s="5">
        <v>191002.91</v>
      </c>
      <c r="K223" s="1">
        <v>0</v>
      </c>
      <c r="L223" s="1" t="str">
        <f>"A280737240"</f>
        <v>A280737240</v>
      </c>
      <c r="M223" s="1" t="str">
        <f>"证券卖出"</f>
        <v>证券卖出</v>
      </c>
    </row>
    <row r="224" spans="1:13" x14ac:dyDescent="0.2">
      <c r="A224" s="3" t="str">
        <f>"6078"</f>
        <v>6078</v>
      </c>
      <c r="B224" s="4">
        <v>43131</v>
      </c>
      <c r="C224" s="1" t="str">
        <f>"Ｒ-001"</f>
        <v>Ｒ-001</v>
      </c>
      <c r="D224" s="11" t="str">
        <f>"131810"</f>
        <v>131810</v>
      </c>
      <c r="E224" s="1" t="str">
        <f t="shared" si="47"/>
        <v>卖出</v>
      </c>
      <c r="F224" s="1" t="str">
        <f>"质押回购拆出"</f>
        <v>质押回购拆出</v>
      </c>
      <c r="G224" s="13">
        <v>3.0009999999999999</v>
      </c>
      <c r="H224" s="1">
        <v>100</v>
      </c>
      <c r="I224" s="5">
        <v>-10000.1</v>
      </c>
      <c r="J224" s="5">
        <v>181002.81</v>
      </c>
      <c r="K224" s="1">
        <v>0.1</v>
      </c>
      <c r="L224" s="1" t="str">
        <f>"0184500716"</f>
        <v>0184500716</v>
      </c>
      <c r="M224" s="1" t="str">
        <f>"融券回购购回日:20180201预计利息:.82参考占款天数：1-131990"</f>
        <v>融券回购购回日:20180201预计利息:.82参考占款天数：1-131990</v>
      </c>
    </row>
    <row r="225" spans="1:13" x14ac:dyDescent="0.2">
      <c r="A225" s="3" t="str">
        <f>"6079"</f>
        <v>6079</v>
      </c>
      <c r="B225" s="4">
        <v>43131</v>
      </c>
      <c r="C225" s="1" t="str">
        <f>"Ｒ-001"</f>
        <v>Ｒ-001</v>
      </c>
      <c r="D225" s="11" t="str">
        <f>"131810"</f>
        <v>131810</v>
      </c>
      <c r="E225" s="1" t="str">
        <f t="shared" si="47"/>
        <v>卖出</v>
      </c>
      <c r="F225" s="1" t="str">
        <f>"质押回购拆出"</f>
        <v>质押回购拆出</v>
      </c>
      <c r="G225" s="13">
        <v>2.83</v>
      </c>
      <c r="H225" s="1">
        <v>1810</v>
      </c>
      <c r="I225" s="5">
        <v>-181001.81</v>
      </c>
      <c r="J225" s="5">
        <v>1</v>
      </c>
      <c r="K225" s="1">
        <v>1.81</v>
      </c>
      <c r="L225" s="1" t="str">
        <f>"0184500716"</f>
        <v>0184500716</v>
      </c>
      <c r="M225" s="1" t="str">
        <f>"融券回购购回日:20180201预计利息:14.03参考占款天数：1-131990"</f>
        <v>融券回购购回日:20180201预计利息:14.03参考占款天数：1-131990</v>
      </c>
    </row>
    <row r="226" spans="1:13" x14ac:dyDescent="0.2">
      <c r="A226" s="3" t="str">
        <f>"2676"</f>
        <v>2676</v>
      </c>
      <c r="B226" s="4">
        <v>43132</v>
      </c>
      <c r="C226" s="4" t="s">
        <v>34</v>
      </c>
      <c r="D226" s="11">
        <v>940018</v>
      </c>
      <c r="E226" s="1" t="str">
        <f t="shared" si="47"/>
        <v>卖出</v>
      </c>
      <c r="F226" s="1" t="str">
        <f>"基金资金拨出"</f>
        <v>基金资金拨出</v>
      </c>
      <c r="G226" s="13">
        <v>0</v>
      </c>
      <c r="H226" s="1">
        <v>0</v>
      </c>
      <c r="I226" s="5">
        <v>-2608.06</v>
      </c>
      <c r="J226" s="5">
        <v>-2607.06</v>
      </c>
      <c r="K226" s="1">
        <v>0</v>
      </c>
      <c r="L226" s="1" t="str">
        <f t="shared" ref="L226:L227" si="48">" "</f>
        <v xml:space="preserve"> </v>
      </c>
      <c r="M226" s="1" t="str">
        <f>"122扣除金额 基金代码：940018,发生份额：2608.06"</f>
        <v>122扣除金额 基金代码：940018,发生份额：2608.06</v>
      </c>
    </row>
    <row r="227" spans="1:13" x14ac:dyDescent="0.2">
      <c r="A227" s="3" t="str">
        <f>"2677"</f>
        <v>2677</v>
      </c>
      <c r="B227" s="4">
        <v>43132</v>
      </c>
      <c r="C227" s="4" t="s">
        <v>34</v>
      </c>
      <c r="D227" s="11">
        <v>940018</v>
      </c>
      <c r="E227" s="1" t="str">
        <f t="shared" si="47"/>
        <v>卖出</v>
      </c>
      <c r="F227" s="1" t="str">
        <f>"基金资金拨入"</f>
        <v>基金资金拨入</v>
      </c>
      <c r="G227" s="13">
        <v>0</v>
      </c>
      <c r="H227" s="1">
        <v>0</v>
      </c>
      <c r="I227" s="5">
        <v>110914.37</v>
      </c>
      <c r="J227" s="5">
        <v>108307.31</v>
      </c>
      <c r="K227" s="1">
        <v>0</v>
      </c>
      <c r="L227" s="1" t="str">
        <f t="shared" si="48"/>
        <v xml:space="preserve"> </v>
      </c>
      <c r="M227" s="1" t="str">
        <f>"124增加金额 基金代码：940018,发生份额：110914.37"</f>
        <v>124增加金额 基金代码：940018,发生份额：110914.37</v>
      </c>
    </row>
    <row r="228" spans="1:13" x14ac:dyDescent="0.2">
      <c r="A228" s="3" t="str">
        <f>"4711"</f>
        <v>4711</v>
      </c>
      <c r="B228" s="4">
        <v>43132</v>
      </c>
      <c r="C228" s="1" t="str">
        <f>"华宝添益"</f>
        <v>华宝添益</v>
      </c>
      <c r="D228" s="11" t="str">
        <f>"511990"</f>
        <v>511990</v>
      </c>
      <c r="E228" s="1" t="str">
        <f>"买入"</f>
        <v>买入</v>
      </c>
      <c r="F228" s="1" t="str">
        <f>"证券买入"</f>
        <v>证券买入</v>
      </c>
      <c r="G228" s="13">
        <v>100.002</v>
      </c>
      <c r="H228" s="1">
        <v>2900</v>
      </c>
      <c r="I228" s="5">
        <v>-290005.8</v>
      </c>
      <c r="J228" s="5">
        <v>-181698.49</v>
      </c>
      <c r="K228" s="1">
        <v>0</v>
      </c>
      <c r="L228" s="1" t="str">
        <f>"A280737240"</f>
        <v>A280737240</v>
      </c>
      <c r="M228" s="1" t="str">
        <f>"证券买入"</f>
        <v>证券买入</v>
      </c>
    </row>
    <row r="229" spans="1:13" x14ac:dyDescent="0.2">
      <c r="A229" s="3" t="str">
        <f>"4712"</f>
        <v>4712</v>
      </c>
      <c r="B229" s="4">
        <v>43132</v>
      </c>
      <c r="C229" s="1" t="str">
        <f>"500ETF"</f>
        <v>500ETF</v>
      </c>
      <c r="D229" s="11" t="str">
        <f>"510500"</f>
        <v>510500</v>
      </c>
      <c r="E229" s="1" t="str">
        <f>"买入"</f>
        <v>买入</v>
      </c>
      <c r="F229" s="1" t="str">
        <f>"证券买入"</f>
        <v>证券买入</v>
      </c>
      <c r="G229" s="13">
        <v>6.45</v>
      </c>
      <c r="H229" s="1">
        <v>600</v>
      </c>
      <c r="I229" s="5">
        <v>-3870.77</v>
      </c>
      <c r="J229" s="5">
        <v>-185569.26</v>
      </c>
      <c r="K229" s="1">
        <v>0.77</v>
      </c>
      <c r="L229" s="1" t="str">
        <f>"A280737240"</f>
        <v>A280737240</v>
      </c>
      <c r="M229" s="1" t="str">
        <f>"证券买入"</f>
        <v>证券买入</v>
      </c>
    </row>
    <row r="230" spans="1:13" x14ac:dyDescent="0.2">
      <c r="A230" s="3" t="str">
        <f>"7925"</f>
        <v>7925</v>
      </c>
      <c r="B230" s="4">
        <v>43132</v>
      </c>
      <c r="C230" s="1" t="str">
        <f>"Ｒ-001"</f>
        <v>Ｒ-001</v>
      </c>
      <c r="D230" s="11" t="str">
        <f>"131810"</f>
        <v>131810</v>
      </c>
      <c r="E230" s="1" t="str">
        <f>"卖出"</f>
        <v>卖出</v>
      </c>
      <c r="F230" s="1" t="str">
        <f>"拆出质押购回"</f>
        <v>拆出质押购回</v>
      </c>
      <c r="G230" s="13">
        <v>3.0009999999999999</v>
      </c>
      <c r="H230" s="1">
        <v>-100</v>
      </c>
      <c r="I230" s="5">
        <v>10000.82</v>
      </c>
      <c r="J230" s="5">
        <v>-175568.44</v>
      </c>
      <c r="K230" s="1">
        <v>0</v>
      </c>
      <c r="L230" s="1" t="str">
        <f>"0184500716"</f>
        <v>0184500716</v>
      </c>
      <c r="M230" s="1" t="str">
        <f>"融券购回:.82实际占款天数：1-131990"</f>
        <v>融券购回:.82实际占款天数：1-131990</v>
      </c>
    </row>
    <row r="231" spans="1:13" x14ac:dyDescent="0.2">
      <c r="A231" s="3" t="str">
        <f>"7926"</f>
        <v>7926</v>
      </c>
      <c r="B231" s="4">
        <v>43132</v>
      </c>
      <c r="C231" s="1" t="str">
        <f>"Ｒ-001"</f>
        <v>Ｒ-001</v>
      </c>
      <c r="D231" s="11" t="str">
        <f>"131810"</f>
        <v>131810</v>
      </c>
      <c r="E231" s="1" t="str">
        <f>"卖出"</f>
        <v>卖出</v>
      </c>
      <c r="F231" s="1" t="str">
        <f>"拆出质押购回"</f>
        <v>拆出质押购回</v>
      </c>
      <c r="G231" s="13">
        <v>2.83</v>
      </c>
      <c r="H231" s="1">
        <v>-1810</v>
      </c>
      <c r="I231" s="5">
        <v>181014.03</v>
      </c>
      <c r="J231" s="5">
        <v>5445.59</v>
      </c>
      <c r="K231" s="1">
        <v>0</v>
      </c>
      <c r="L231" s="1" t="str">
        <f>"0184500716"</f>
        <v>0184500716</v>
      </c>
      <c r="M231" s="1" t="str">
        <f>"融券购回:14.03实际占款天数：1-131990"</f>
        <v>融券购回:14.03实际占款天数：1-131990</v>
      </c>
    </row>
    <row r="232" spans="1:13" x14ac:dyDescent="0.2">
      <c r="A232" s="3" t="str">
        <f>"2482"</f>
        <v>2482</v>
      </c>
      <c r="B232" s="4">
        <v>43133</v>
      </c>
      <c r="C232" s="4" t="s">
        <v>34</v>
      </c>
      <c r="D232" s="11">
        <v>940018</v>
      </c>
      <c r="E232" s="1" t="str">
        <f>"卖出"</f>
        <v>卖出</v>
      </c>
      <c r="F232" s="1" t="str">
        <f>"基金资金拨出"</f>
        <v>基金资金拨出</v>
      </c>
      <c r="G232" s="13">
        <v>0</v>
      </c>
      <c r="H232" s="1">
        <v>0</v>
      </c>
      <c r="I232" s="5">
        <v>-5445.59</v>
      </c>
      <c r="J232" s="5">
        <v>0</v>
      </c>
      <c r="K232" s="1">
        <v>0</v>
      </c>
      <c r="L232" s="1" t="str">
        <f t="shared" ref="L232:L234" si="49">" "</f>
        <v xml:space="preserve"> </v>
      </c>
      <c r="M232" s="1" t="str">
        <f>"122扣除金额 基金代码：940018,发生份额：5445.59"</f>
        <v>122扣除金额 基金代码：940018,发生份额：5445.59</v>
      </c>
    </row>
    <row r="233" spans="1:13" x14ac:dyDescent="0.2">
      <c r="A233" s="3" t="str">
        <f>"2137"</f>
        <v>2137</v>
      </c>
      <c r="B233" s="4">
        <v>43136</v>
      </c>
      <c r="C233" s="4" t="s">
        <v>34</v>
      </c>
      <c r="D233" s="11">
        <v>940018</v>
      </c>
      <c r="E233" s="1" t="str">
        <f>"卖出"</f>
        <v>卖出</v>
      </c>
      <c r="F233" s="1" t="str">
        <f>"基金资金拨出"</f>
        <v>基金资金拨出</v>
      </c>
      <c r="G233" s="13">
        <v>0</v>
      </c>
      <c r="H233" s="1">
        <v>0</v>
      </c>
      <c r="I233" s="5">
        <v>-3038.65</v>
      </c>
      <c r="J233" s="5">
        <v>-3038.65</v>
      </c>
      <c r="K233" s="1">
        <v>0</v>
      </c>
      <c r="L233" s="1" t="str">
        <f t="shared" si="49"/>
        <v xml:space="preserve"> </v>
      </c>
      <c r="M233" s="1" t="str">
        <f>"122扣除金额 基金代码：940018,发生份额：3038.65"</f>
        <v>122扣除金额 基金代码：940018,发生份额：3038.65</v>
      </c>
    </row>
    <row r="234" spans="1:13" x14ac:dyDescent="0.2">
      <c r="A234" s="3" t="str">
        <f>"2138"</f>
        <v>2138</v>
      </c>
      <c r="B234" s="4">
        <v>43136</v>
      </c>
      <c r="C234" s="4" t="s">
        <v>34</v>
      </c>
      <c r="D234" s="11">
        <v>940018</v>
      </c>
      <c r="E234" s="1" t="str">
        <f>"卖出"</f>
        <v>卖出</v>
      </c>
      <c r="F234" s="1" t="str">
        <f>"基金资金拨入"</f>
        <v>基金资金拨入</v>
      </c>
      <c r="G234" s="13">
        <v>0</v>
      </c>
      <c r="H234" s="1">
        <v>0</v>
      </c>
      <c r="I234" s="5">
        <v>8053.65</v>
      </c>
      <c r="J234" s="5">
        <v>5015</v>
      </c>
      <c r="K234" s="1">
        <v>0</v>
      </c>
      <c r="L234" s="1" t="str">
        <f t="shared" si="49"/>
        <v xml:space="preserve"> </v>
      </c>
      <c r="M234" s="1" t="str">
        <f>"124增加金额 基金代码：940018,发生份额：8053.65"</f>
        <v>124增加金额 基金代码：940018,发生份额：8053.65</v>
      </c>
    </row>
    <row r="235" spans="1:13" x14ac:dyDescent="0.2">
      <c r="A235" s="3" t="str">
        <f>"5681"</f>
        <v>5681</v>
      </c>
      <c r="B235" s="4">
        <v>43136</v>
      </c>
      <c r="C235" s="1" t="str">
        <f>"华宝油气"</f>
        <v>华宝油气</v>
      </c>
      <c r="D235" s="11" t="str">
        <f>"162411"</f>
        <v>162411</v>
      </c>
      <c r="E235" s="1" t="str">
        <f>"买入"</f>
        <v>买入</v>
      </c>
      <c r="F235" s="1" t="str">
        <f>"证券买入"</f>
        <v>证券买入</v>
      </c>
      <c r="G235" s="13">
        <v>0.55700000000000005</v>
      </c>
      <c r="H235" s="1">
        <v>9000</v>
      </c>
      <c r="I235" s="5">
        <v>-5014</v>
      </c>
      <c r="J235" s="5">
        <v>1</v>
      </c>
      <c r="K235" s="1">
        <v>1</v>
      </c>
      <c r="L235" s="1" t="str">
        <f>"0184500716"</f>
        <v>0184500716</v>
      </c>
      <c r="M235" s="1" t="str">
        <f>"证券买入"</f>
        <v>证券买入</v>
      </c>
    </row>
    <row r="236" spans="1:13" x14ac:dyDescent="0.2">
      <c r="A236" s="3" t="str">
        <f>"6112"</f>
        <v>6112</v>
      </c>
      <c r="B236" s="4">
        <v>43136</v>
      </c>
      <c r="C236" s="1" t="str">
        <f>"华宝添益"</f>
        <v>华宝添益</v>
      </c>
      <c r="D236" s="11" t="str">
        <f>"511990"</f>
        <v>511990</v>
      </c>
      <c r="E236" s="1" t="str">
        <f>"买入"</f>
        <v>买入</v>
      </c>
      <c r="F236" s="1" t="str">
        <f>"红股入帐"</f>
        <v>红股入帐</v>
      </c>
      <c r="G236" s="13">
        <v>100.023</v>
      </c>
      <c r="H236" s="1">
        <v>1</v>
      </c>
      <c r="I236" s="5">
        <v>0</v>
      </c>
      <c r="J236" s="5">
        <v>1</v>
      </c>
      <c r="K236" s="1">
        <v>0</v>
      </c>
      <c r="L236" s="1" t="str">
        <f>"A280737240"</f>
        <v>A280737240</v>
      </c>
      <c r="M236" s="1" t="str">
        <f>"红股入账"</f>
        <v>红股入账</v>
      </c>
    </row>
    <row r="237" spans="1:13" x14ac:dyDescent="0.2">
      <c r="A237" s="3" t="str">
        <f>"352"</f>
        <v>352</v>
      </c>
      <c r="B237" s="4">
        <v>43137</v>
      </c>
      <c r="C237" s="1" t="str">
        <f t="shared" ref="C237:L239" si="50">" "</f>
        <v xml:space="preserve"> </v>
      </c>
      <c r="D237" s="11"/>
      <c r="E237" s="1" t="str">
        <f>"卖出"</f>
        <v>卖出</v>
      </c>
      <c r="F237" s="1" t="str">
        <f>"银行转存"</f>
        <v>银行转存</v>
      </c>
      <c r="G237" s="13">
        <v>0</v>
      </c>
      <c r="H237" s="1">
        <v>0</v>
      </c>
      <c r="I237" s="5">
        <v>2000</v>
      </c>
      <c r="J237" s="5">
        <v>2001</v>
      </c>
      <c r="K237" s="1">
        <v>0</v>
      </c>
      <c r="L237" s="1" t="str">
        <f t="shared" si="50"/>
        <v xml:space="preserve"> </v>
      </c>
      <c r="M237" s="1" t="str">
        <f>"银行返回码[ ]返回信息[0000 交易成功]|转账成功correct_balance=0"</f>
        <v>银行返回码[ ]返回信息[0000 交易成功]|转账成功correct_balance=0</v>
      </c>
    </row>
    <row r="238" spans="1:13" x14ac:dyDescent="0.2">
      <c r="A238" s="3" t="str">
        <f>"2617"</f>
        <v>2617</v>
      </c>
      <c r="B238" s="4">
        <v>43137</v>
      </c>
      <c r="C238" s="4" t="s">
        <v>34</v>
      </c>
      <c r="D238" s="11">
        <v>940018</v>
      </c>
      <c r="E238" s="1" t="str">
        <f>"卖出"</f>
        <v>卖出</v>
      </c>
      <c r="F238" s="1" t="str">
        <f>"基金资金拨出"</f>
        <v>基金资金拨出</v>
      </c>
      <c r="G238" s="13">
        <v>0</v>
      </c>
      <c r="H238" s="1">
        <v>0</v>
      </c>
      <c r="I238" s="5">
        <v>-2195.08</v>
      </c>
      <c r="J238" s="5">
        <v>-194.08</v>
      </c>
      <c r="K238" s="1">
        <v>0</v>
      </c>
      <c r="L238" s="1" t="str">
        <f t="shared" si="50"/>
        <v xml:space="preserve"> </v>
      </c>
      <c r="M238" s="1" t="str">
        <f>"122扣除金额 基金代码：940018,发生份额：2195.08"</f>
        <v>122扣除金额 基金代码：940018,发生份额：2195.08</v>
      </c>
    </row>
    <row r="239" spans="1:13" x14ac:dyDescent="0.2">
      <c r="A239" s="3" t="str">
        <f>"2618"</f>
        <v>2618</v>
      </c>
      <c r="B239" s="4">
        <v>43137</v>
      </c>
      <c r="C239" s="4" t="s">
        <v>34</v>
      </c>
      <c r="D239" s="11">
        <v>940018</v>
      </c>
      <c r="E239" s="1" t="str">
        <f>"卖出"</f>
        <v>卖出</v>
      </c>
      <c r="F239" s="1" t="str">
        <f>"基金资金拨入"</f>
        <v>基金资金拨入</v>
      </c>
      <c r="G239" s="13">
        <v>0</v>
      </c>
      <c r="H239" s="1">
        <v>0</v>
      </c>
      <c r="I239" s="5">
        <v>3038.65</v>
      </c>
      <c r="J239" s="5">
        <v>2844.57</v>
      </c>
      <c r="K239" s="1">
        <v>0</v>
      </c>
      <c r="L239" s="1" t="str">
        <f t="shared" si="50"/>
        <v xml:space="preserve"> </v>
      </c>
      <c r="M239" s="1" t="str">
        <f>"124增加金额 基金代码：940018,发生份额：3038.65"</f>
        <v>124增加金额 基金代码：940018,发生份额：3038.65</v>
      </c>
    </row>
    <row r="240" spans="1:13" x14ac:dyDescent="0.2">
      <c r="A240" s="3" t="str">
        <f>"4355"</f>
        <v>4355</v>
      </c>
      <c r="B240" s="4">
        <v>43137</v>
      </c>
      <c r="C240" s="1" t="str">
        <f>"华宝添益"</f>
        <v>华宝添益</v>
      </c>
      <c r="D240" s="11" t="str">
        <f>"511990"</f>
        <v>511990</v>
      </c>
      <c r="E240" s="1" t="str">
        <f>"卖出"</f>
        <v>卖出</v>
      </c>
      <c r="F240" s="1" t="str">
        <f>"证券卖出"</f>
        <v>证券卖出</v>
      </c>
      <c r="G240" s="13">
        <v>100.01300000000001</v>
      </c>
      <c r="H240" s="1">
        <v>-100</v>
      </c>
      <c r="I240" s="5">
        <v>10001.299999999999</v>
      </c>
      <c r="J240" s="5">
        <v>12845.87</v>
      </c>
      <c r="K240" s="1">
        <v>0</v>
      </c>
      <c r="L240" s="1" t="str">
        <f>"A280737240"</f>
        <v>A280737240</v>
      </c>
      <c r="M240" s="1" t="str">
        <f>"证券卖出"</f>
        <v>证券卖出</v>
      </c>
    </row>
    <row r="241" spans="1:13" x14ac:dyDescent="0.2">
      <c r="A241" s="3" t="str">
        <f>"4358"</f>
        <v>4358</v>
      </c>
      <c r="B241" s="4">
        <v>43137</v>
      </c>
      <c r="C241" s="1" t="str">
        <f>"500ETF"</f>
        <v>500ETF</v>
      </c>
      <c r="D241" s="11" t="str">
        <f>"510500"</f>
        <v>510500</v>
      </c>
      <c r="E241" s="1" t="str">
        <f>"买入"</f>
        <v>买入</v>
      </c>
      <c r="F241" s="1" t="str">
        <f>"证券买入"</f>
        <v>证券买入</v>
      </c>
      <c r="G241" s="13">
        <v>6.0430000000000001</v>
      </c>
      <c r="H241" s="1">
        <v>1300</v>
      </c>
      <c r="I241" s="5">
        <v>-7857.47</v>
      </c>
      <c r="J241" s="5">
        <v>4988.3999999999996</v>
      </c>
      <c r="K241" s="1">
        <v>1.57</v>
      </c>
      <c r="L241" s="1" t="str">
        <f>"A280737240"</f>
        <v>A280737240</v>
      </c>
      <c r="M241" s="1" t="str">
        <f>"证券买入"</f>
        <v>证券买入</v>
      </c>
    </row>
    <row r="242" spans="1:13" x14ac:dyDescent="0.2">
      <c r="A242" s="3" t="str">
        <f>"6741"</f>
        <v>6741</v>
      </c>
      <c r="B242" s="4">
        <v>43137</v>
      </c>
      <c r="C242" s="1" t="str">
        <f>"华宝油气"</f>
        <v>华宝油气</v>
      </c>
      <c r="D242" s="11" t="str">
        <f>"162411"</f>
        <v>162411</v>
      </c>
      <c r="E242" s="1" t="str">
        <f>"买入"</f>
        <v>买入</v>
      </c>
      <c r="F242" s="1" t="str">
        <f>"证券买入"</f>
        <v>证券买入</v>
      </c>
      <c r="G242" s="13">
        <v>0.54200000000000004</v>
      </c>
      <c r="H242" s="1">
        <v>9200</v>
      </c>
      <c r="I242" s="5">
        <v>-4987.3999999999996</v>
      </c>
      <c r="J242" s="5">
        <v>1</v>
      </c>
      <c r="K242" s="1">
        <v>1</v>
      </c>
      <c r="L242" s="1" t="str">
        <f>"0184500716"</f>
        <v>0184500716</v>
      </c>
      <c r="M242" s="1" t="str">
        <f>"证券买入"</f>
        <v>证券买入</v>
      </c>
    </row>
    <row r="243" spans="1:13" x14ac:dyDescent="0.2">
      <c r="A243" s="3" t="str">
        <f>"2354"</f>
        <v>2354</v>
      </c>
      <c r="B243" s="4">
        <v>43138</v>
      </c>
      <c r="C243" s="4" t="s">
        <v>34</v>
      </c>
      <c r="D243" s="11">
        <v>940018</v>
      </c>
      <c r="E243" s="1" t="str">
        <f>"卖出"</f>
        <v>卖出</v>
      </c>
      <c r="F243" s="1" t="str">
        <f>"基金资金拨出"</f>
        <v>基金资金拨出</v>
      </c>
      <c r="G243" s="13">
        <v>0</v>
      </c>
      <c r="H243" s="1">
        <v>0</v>
      </c>
      <c r="I243" s="5">
        <v>-70.02</v>
      </c>
      <c r="J243" s="5">
        <v>-69.02</v>
      </c>
      <c r="K243" s="1">
        <v>0</v>
      </c>
      <c r="L243" s="1" t="str">
        <f>" "</f>
        <v xml:space="preserve"> </v>
      </c>
      <c r="M243" s="1" t="str">
        <f>"122扣除金额 基金代码：940018,发生份额：70.02"</f>
        <v>122扣除金额 基金代码：940018,发生份额：70.02</v>
      </c>
    </row>
    <row r="244" spans="1:13" x14ac:dyDescent="0.2">
      <c r="A244" s="3" t="str">
        <f>"4377"</f>
        <v>4377</v>
      </c>
      <c r="B244" s="4">
        <v>43138</v>
      </c>
      <c r="C244" s="1" t="str">
        <f>"华宝添益"</f>
        <v>华宝添益</v>
      </c>
      <c r="D244" s="11" t="str">
        <f>"511990"</f>
        <v>511990</v>
      </c>
      <c r="E244" s="1" t="str">
        <f>"卖出"</f>
        <v>卖出</v>
      </c>
      <c r="F244" s="1" t="str">
        <f>"证券卖出"</f>
        <v>证券卖出</v>
      </c>
      <c r="G244" s="13">
        <v>100.009</v>
      </c>
      <c r="H244" s="1">
        <v>-500</v>
      </c>
      <c r="I244" s="5">
        <v>50004.5</v>
      </c>
      <c r="J244" s="5">
        <v>49935.48</v>
      </c>
      <c r="K244" s="1">
        <v>0</v>
      </c>
      <c r="L244" s="1" t="str">
        <f>"A280737240"</f>
        <v>A280737240</v>
      </c>
      <c r="M244" s="1" t="str">
        <f>"证券卖出"</f>
        <v>证券卖出</v>
      </c>
    </row>
    <row r="245" spans="1:13" x14ac:dyDescent="0.2">
      <c r="A245" s="3" t="str">
        <f>"4379"</f>
        <v>4379</v>
      </c>
      <c r="B245" s="4">
        <v>43138</v>
      </c>
      <c r="C245" s="1" t="str">
        <f>"500ETF"</f>
        <v>500ETF</v>
      </c>
      <c r="D245" s="11" t="str">
        <f>"510500"</f>
        <v>510500</v>
      </c>
      <c r="E245" s="1" t="str">
        <f>"买入"</f>
        <v>买入</v>
      </c>
      <c r="F245" s="1" t="str">
        <f>"证券买入"</f>
        <v>证券买入</v>
      </c>
      <c r="G245" s="13">
        <v>6.0149999999999997</v>
      </c>
      <c r="H245" s="1">
        <v>8300</v>
      </c>
      <c r="I245" s="5">
        <v>-49934.48</v>
      </c>
      <c r="J245" s="5">
        <v>1</v>
      </c>
      <c r="K245" s="1">
        <v>9.98</v>
      </c>
      <c r="L245" s="1" t="str">
        <f>"A280737240"</f>
        <v>A280737240</v>
      </c>
      <c r="M245" s="1" t="str">
        <f>"证券买入"</f>
        <v>证券买入</v>
      </c>
    </row>
    <row r="246" spans="1:13" x14ac:dyDescent="0.2">
      <c r="A246" s="3" t="str">
        <f>"5487"</f>
        <v>5487</v>
      </c>
      <c r="B246" s="4">
        <v>43139</v>
      </c>
      <c r="C246" s="4" t="s">
        <v>34</v>
      </c>
      <c r="D246" s="11">
        <v>940018</v>
      </c>
      <c r="E246" s="1" t="str">
        <f>"卖出"</f>
        <v>卖出</v>
      </c>
      <c r="F246" s="1" t="str">
        <f>"基金资金拨出"</f>
        <v>基金资金拨出</v>
      </c>
      <c r="G246" s="13">
        <v>0</v>
      </c>
      <c r="H246" s="1">
        <v>0</v>
      </c>
      <c r="I246" s="5">
        <v>-1</v>
      </c>
      <c r="J246" s="5">
        <v>0</v>
      </c>
      <c r="K246" s="1">
        <v>0</v>
      </c>
      <c r="L246" s="1" t="str">
        <f>" "</f>
        <v xml:space="preserve"> </v>
      </c>
      <c r="M246" s="1" t="str">
        <f>"122扣除金额 基金代码：940018,发生份额：1"</f>
        <v>122扣除金额 基金代码：940018,发生份额：1</v>
      </c>
    </row>
    <row r="247" spans="1:13" x14ac:dyDescent="0.2">
      <c r="A247" s="3" t="str">
        <f>"5967"</f>
        <v>5967</v>
      </c>
      <c r="B247" s="4">
        <v>43139</v>
      </c>
      <c r="C247" s="1" t="str">
        <f>"华宝添益"</f>
        <v>华宝添益</v>
      </c>
      <c r="D247" s="11" t="str">
        <f>"511990"</f>
        <v>511990</v>
      </c>
      <c r="E247" s="1" t="str">
        <f>"买入"</f>
        <v>买入</v>
      </c>
      <c r="F247" s="1" t="str">
        <f>"红股入帐"</f>
        <v>红股入帐</v>
      </c>
      <c r="G247" s="13">
        <v>100.01</v>
      </c>
      <c r="H247" s="1">
        <v>1</v>
      </c>
      <c r="I247" s="5">
        <v>0</v>
      </c>
      <c r="J247" s="5">
        <v>0</v>
      </c>
      <c r="K247" s="1">
        <v>0</v>
      </c>
      <c r="L247" s="1" t="str">
        <f>"A280737240"</f>
        <v>A280737240</v>
      </c>
      <c r="M247" s="1" t="str">
        <f>"红股入账"</f>
        <v>红股入账</v>
      </c>
    </row>
    <row r="248" spans="1:13" x14ac:dyDescent="0.2">
      <c r="A248" s="3" t="str">
        <f>"305"</f>
        <v>305</v>
      </c>
      <c r="B248" s="4">
        <v>43140</v>
      </c>
      <c r="C248" s="1" t="str">
        <f t="shared" ref="C248:L250" si="51">" "</f>
        <v xml:space="preserve"> </v>
      </c>
      <c r="D248" s="11"/>
      <c r="E248" s="1" t="str">
        <f>"卖出"</f>
        <v>卖出</v>
      </c>
      <c r="F248" s="1" t="str">
        <f>"银行转存"</f>
        <v>银行转存</v>
      </c>
      <c r="G248" s="13">
        <v>0</v>
      </c>
      <c r="H248" s="1">
        <v>0</v>
      </c>
      <c r="I248" s="5">
        <v>8000</v>
      </c>
      <c r="J248" s="5">
        <v>8000</v>
      </c>
      <c r="K248" s="1">
        <v>0</v>
      </c>
      <c r="L248" s="1" t="str">
        <f t="shared" si="51"/>
        <v xml:space="preserve"> </v>
      </c>
      <c r="M248" s="1" t="str">
        <f>"银行返回码[ ]返回信息[0000 交易成功]|转账成功correct_balance=0"</f>
        <v>银行返回码[ ]返回信息[0000 交易成功]|转账成功correct_balance=0</v>
      </c>
    </row>
    <row r="249" spans="1:13" x14ac:dyDescent="0.2">
      <c r="A249" s="3" t="str">
        <f>"2769"</f>
        <v>2769</v>
      </c>
      <c r="B249" s="4">
        <v>43140</v>
      </c>
      <c r="C249" s="4" t="s">
        <v>34</v>
      </c>
      <c r="D249" s="11">
        <v>940018</v>
      </c>
      <c r="E249" s="1" t="str">
        <f>"卖出"</f>
        <v>卖出</v>
      </c>
      <c r="F249" s="1" t="str">
        <f>"基金资金拨出"</f>
        <v>基金资金拨出</v>
      </c>
      <c r="G249" s="13">
        <v>0</v>
      </c>
      <c r="H249" s="1">
        <v>0</v>
      </c>
      <c r="I249" s="5">
        <v>-2256.5</v>
      </c>
      <c r="J249" s="5">
        <v>5743.5</v>
      </c>
      <c r="K249" s="1">
        <v>0</v>
      </c>
      <c r="L249" s="1" t="str">
        <f t="shared" si="51"/>
        <v xml:space="preserve"> </v>
      </c>
      <c r="M249" s="1" t="str">
        <f>"122扣除金额 基金代码：940018,发生份额：2256.5"</f>
        <v>122扣除金额 基金代码：940018,发生份额：2256.5</v>
      </c>
    </row>
    <row r="250" spans="1:13" x14ac:dyDescent="0.2">
      <c r="A250" s="3" t="str">
        <f>"2770"</f>
        <v>2770</v>
      </c>
      <c r="B250" s="4">
        <v>43140</v>
      </c>
      <c r="C250" s="4" t="s">
        <v>34</v>
      </c>
      <c r="D250" s="11">
        <v>940018</v>
      </c>
      <c r="E250" s="1" t="str">
        <f>"卖出"</f>
        <v>卖出</v>
      </c>
      <c r="F250" s="1" t="str">
        <f>"基金资金拨入"</f>
        <v>基金资金拨入</v>
      </c>
      <c r="G250" s="13">
        <v>0</v>
      </c>
      <c r="H250" s="1">
        <v>0</v>
      </c>
      <c r="I250" s="5">
        <v>2266.1</v>
      </c>
      <c r="J250" s="5">
        <v>8009.6</v>
      </c>
      <c r="K250" s="1">
        <v>0</v>
      </c>
      <c r="L250" s="1" t="str">
        <f t="shared" si="51"/>
        <v xml:space="preserve"> </v>
      </c>
      <c r="M250" s="1" t="str">
        <f>"124增加金额 基金代码：940018,发生份额：2266.1"</f>
        <v>124增加金额 基金代码：940018,发生份额：2266.1</v>
      </c>
    </row>
    <row r="251" spans="1:13" x14ac:dyDescent="0.2">
      <c r="A251" s="3" t="str">
        <f>"6783"</f>
        <v>6783</v>
      </c>
      <c r="B251" s="4">
        <v>43140</v>
      </c>
      <c r="C251" s="1" t="str">
        <f>"华宝油气"</f>
        <v>华宝油气</v>
      </c>
      <c r="D251" s="11" t="str">
        <f>"162411"</f>
        <v>162411</v>
      </c>
      <c r="E251" s="1" t="str">
        <f>"买入"</f>
        <v>买入</v>
      </c>
      <c r="F251" s="1" t="str">
        <f>"证券买入"</f>
        <v>证券买入</v>
      </c>
      <c r="G251" s="13">
        <v>0.51</v>
      </c>
      <c r="H251" s="1">
        <v>15700</v>
      </c>
      <c r="I251" s="5">
        <v>-8008.6</v>
      </c>
      <c r="J251" s="5">
        <v>1</v>
      </c>
      <c r="K251" s="1">
        <v>1.6</v>
      </c>
      <c r="L251" s="1" t="str">
        <f>"0184500716"</f>
        <v>0184500716</v>
      </c>
      <c r="M251" s="1" t="str">
        <f>"证券买入"</f>
        <v>证券买入</v>
      </c>
    </row>
    <row r="252" spans="1:13" x14ac:dyDescent="0.2">
      <c r="A252" s="3" t="str">
        <f>"2657"</f>
        <v>2657</v>
      </c>
      <c r="B252" s="4">
        <v>43143</v>
      </c>
      <c r="C252" s="4" t="s">
        <v>34</v>
      </c>
      <c r="D252" s="11">
        <v>940018</v>
      </c>
      <c r="E252" s="1" t="str">
        <f>"卖出"</f>
        <v>卖出</v>
      </c>
      <c r="F252" s="1" t="str">
        <f>"基金资金拨出"</f>
        <v>基金资金拨出</v>
      </c>
      <c r="G252" s="13">
        <v>0</v>
      </c>
      <c r="H252" s="1">
        <v>0</v>
      </c>
      <c r="I252" s="5">
        <v>-256.48</v>
      </c>
      <c r="J252" s="5">
        <v>-255.48</v>
      </c>
      <c r="K252" s="1">
        <v>0</v>
      </c>
      <c r="L252" s="1" t="str">
        <f t="shared" ref="L252:L253" si="52">" "</f>
        <v xml:space="preserve"> </v>
      </c>
      <c r="M252" s="1" t="str">
        <f>"122扣除金额 基金代码：940018,发生份额：256.48"</f>
        <v>122扣除金额 基金代码：940018,发生份额：256.48</v>
      </c>
    </row>
    <row r="253" spans="1:13" x14ac:dyDescent="0.2">
      <c r="A253" s="3" t="str">
        <f>"2659"</f>
        <v>2659</v>
      </c>
      <c r="B253" s="4">
        <v>43143</v>
      </c>
      <c r="C253" s="4" t="s">
        <v>34</v>
      </c>
      <c r="D253" s="11">
        <v>940018</v>
      </c>
      <c r="E253" s="1" t="str">
        <f>"卖出"</f>
        <v>卖出</v>
      </c>
      <c r="F253" s="1" t="str">
        <f>"基金资金拨入"</f>
        <v>基金资金拨入</v>
      </c>
      <c r="G253" s="13">
        <v>0</v>
      </c>
      <c r="H253" s="1">
        <v>0</v>
      </c>
      <c r="I253" s="5">
        <v>2256.5</v>
      </c>
      <c r="J253" s="5">
        <v>2001.02</v>
      </c>
      <c r="K253" s="1">
        <v>0</v>
      </c>
      <c r="L253" s="1" t="str">
        <f t="shared" si="52"/>
        <v xml:space="preserve"> </v>
      </c>
      <c r="M253" s="1" t="str">
        <f>"124增加金额 基金代码：940018,发生份额：2256.5"</f>
        <v>124增加金额 基金代码：940018,发生份额：2256.5</v>
      </c>
    </row>
    <row r="254" spans="1:13" x14ac:dyDescent="0.2">
      <c r="A254" s="3" t="str">
        <f>"5471"</f>
        <v>5471</v>
      </c>
      <c r="B254" s="4">
        <v>43143</v>
      </c>
      <c r="C254" s="1" t="str">
        <f>"Ｒ-001"</f>
        <v>Ｒ-001</v>
      </c>
      <c r="D254" s="11" t="str">
        <f>"131810"</f>
        <v>131810</v>
      </c>
      <c r="E254" s="1" t="str">
        <f>"卖出"</f>
        <v>卖出</v>
      </c>
      <c r="F254" s="1" t="str">
        <f>"质押回购拆出"</f>
        <v>质押回购拆出</v>
      </c>
      <c r="G254" s="13">
        <v>4.2770000000000001</v>
      </c>
      <c r="H254" s="1">
        <v>20</v>
      </c>
      <c r="I254" s="5">
        <v>-2000.02</v>
      </c>
      <c r="J254" s="5">
        <v>1</v>
      </c>
      <c r="K254" s="1">
        <v>0.02</v>
      </c>
      <c r="L254" s="1" t="str">
        <f>"0184500716"</f>
        <v>0184500716</v>
      </c>
      <c r="M254" s="1" t="str">
        <f>"融券回购购回日:20180213预计利息:.23参考占款天数：1-131990"</f>
        <v>融券回购购回日:20180213预计利息:.23参考占款天数：1-131990</v>
      </c>
    </row>
    <row r="255" spans="1:13" x14ac:dyDescent="0.2">
      <c r="A255" s="3" t="str">
        <f>"5916"</f>
        <v>5916</v>
      </c>
      <c r="B255" s="4">
        <v>43143</v>
      </c>
      <c r="C255" s="1" t="str">
        <f>"华宝添益"</f>
        <v>华宝添益</v>
      </c>
      <c r="D255" s="11" t="str">
        <f>"511990"</f>
        <v>511990</v>
      </c>
      <c r="E255" s="1" t="str">
        <f>"买入"</f>
        <v>买入</v>
      </c>
      <c r="F255" s="1" t="str">
        <f>"红股入帐"</f>
        <v>红股入帐</v>
      </c>
      <c r="G255" s="13">
        <v>100.023</v>
      </c>
      <c r="H255" s="1">
        <v>1</v>
      </c>
      <c r="I255" s="5">
        <v>0</v>
      </c>
      <c r="J255" s="5">
        <v>1</v>
      </c>
      <c r="K255" s="1">
        <v>0</v>
      </c>
      <c r="L255" s="1" t="str">
        <f>"A280737240"</f>
        <v>A280737240</v>
      </c>
      <c r="M255" s="1" t="str">
        <f>"红股入账"</f>
        <v>红股入账</v>
      </c>
    </row>
    <row r="256" spans="1:13" x14ac:dyDescent="0.2">
      <c r="A256" s="3" t="str">
        <f>"1951"</f>
        <v>1951</v>
      </c>
      <c r="B256" s="4">
        <v>43144</v>
      </c>
      <c r="C256" s="4" t="s">
        <v>34</v>
      </c>
      <c r="D256" s="11">
        <v>940018</v>
      </c>
      <c r="E256" s="1" t="str">
        <f t="shared" ref="E256:E267" si="53">"卖出"</f>
        <v>卖出</v>
      </c>
      <c r="F256" s="1" t="str">
        <f>"基金资金拨出"</f>
        <v>基金资金拨出</v>
      </c>
      <c r="G256" s="13">
        <v>0</v>
      </c>
      <c r="H256" s="1">
        <v>0</v>
      </c>
      <c r="I256" s="5">
        <v>-2001.23</v>
      </c>
      <c r="J256" s="5">
        <v>-2000.23</v>
      </c>
      <c r="K256" s="1">
        <v>0</v>
      </c>
      <c r="L256" s="1" t="str">
        <f>" "</f>
        <v xml:space="preserve"> </v>
      </c>
      <c r="M256" s="1" t="str">
        <f>"122扣除金额 基金代码：940018,发生份额：2001.23"</f>
        <v>122扣除金额 基金代码：940018,发生份额：2001.23</v>
      </c>
    </row>
    <row r="257" spans="1:13" x14ac:dyDescent="0.2">
      <c r="A257" s="3" t="str">
        <f>"5626"</f>
        <v>5626</v>
      </c>
      <c r="B257" s="4">
        <v>43144</v>
      </c>
      <c r="C257" s="1" t="str">
        <f>"Ｒ-001"</f>
        <v>Ｒ-001</v>
      </c>
      <c r="D257" s="11" t="str">
        <f>"131810"</f>
        <v>131810</v>
      </c>
      <c r="E257" s="1" t="str">
        <f t="shared" si="53"/>
        <v>卖出</v>
      </c>
      <c r="F257" s="1" t="str">
        <f>"拆出质押购回"</f>
        <v>拆出质押购回</v>
      </c>
      <c r="G257" s="13">
        <v>4.2770000000000001</v>
      </c>
      <c r="H257" s="1">
        <v>-20</v>
      </c>
      <c r="I257" s="5">
        <v>2000.23</v>
      </c>
      <c r="J257" s="5">
        <v>0</v>
      </c>
      <c r="K257" s="1">
        <v>0</v>
      </c>
      <c r="L257" s="1" t="str">
        <f>"0184500716"</f>
        <v>0184500716</v>
      </c>
      <c r="M257" s="1" t="str">
        <f>"融券购回:.23实际占款天数：1-131990"</f>
        <v>融券购回:.23实际占款天数：1-131990</v>
      </c>
    </row>
    <row r="258" spans="1:13" x14ac:dyDescent="0.2">
      <c r="A258" s="3" t="str">
        <f>"2280"</f>
        <v>2280</v>
      </c>
      <c r="B258" s="4">
        <v>43145</v>
      </c>
      <c r="C258" s="4" t="s">
        <v>34</v>
      </c>
      <c r="D258" s="11">
        <v>940018</v>
      </c>
      <c r="E258" s="1" t="str">
        <f t="shared" si="53"/>
        <v>卖出</v>
      </c>
      <c r="F258" s="1" t="str">
        <f>"基金资金拨出"</f>
        <v>基金资金拨出</v>
      </c>
      <c r="G258" s="13">
        <v>0</v>
      </c>
      <c r="H258" s="1">
        <v>0</v>
      </c>
      <c r="I258" s="5">
        <v>-798.5</v>
      </c>
      <c r="J258" s="5">
        <v>-798.5</v>
      </c>
      <c r="K258" s="1">
        <v>0</v>
      </c>
      <c r="L258" s="1" t="str">
        <f t="shared" ref="L258:L259" si="54">" "</f>
        <v xml:space="preserve"> </v>
      </c>
      <c r="M258" s="1" t="str">
        <f>"122扣除金额 基金代码：940018,发生份额：798.5"</f>
        <v>122扣除金额 基金代码：940018,发生份额：798.5</v>
      </c>
    </row>
    <row r="259" spans="1:13" x14ac:dyDescent="0.2">
      <c r="A259" s="3" t="str">
        <f>"2281"</f>
        <v>2281</v>
      </c>
      <c r="B259" s="4">
        <v>43145</v>
      </c>
      <c r="C259" s="4" t="s">
        <v>34</v>
      </c>
      <c r="D259" s="11">
        <v>940018</v>
      </c>
      <c r="E259" s="1" t="str">
        <f t="shared" si="53"/>
        <v>卖出</v>
      </c>
      <c r="F259" s="1" t="str">
        <f>"基金资金拨入"</f>
        <v>基金资金拨入</v>
      </c>
      <c r="G259" s="13">
        <v>0</v>
      </c>
      <c r="H259" s="1">
        <v>0</v>
      </c>
      <c r="I259" s="5">
        <v>2257.71</v>
      </c>
      <c r="J259" s="5">
        <v>1459.21</v>
      </c>
      <c r="K259" s="1">
        <v>0</v>
      </c>
      <c r="L259" s="1" t="str">
        <f t="shared" si="54"/>
        <v xml:space="preserve"> </v>
      </c>
      <c r="M259" s="1" t="str">
        <f>"124增加金额 基金代码：940018,发生份额：2257.71"</f>
        <v>124增加金额 基金代码：940018,发生份额：2257.71</v>
      </c>
    </row>
    <row r="260" spans="1:13" x14ac:dyDescent="0.2">
      <c r="A260" s="3" t="str">
        <f>"3449"</f>
        <v>3449</v>
      </c>
      <c r="B260" s="4">
        <v>43145</v>
      </c>
      <c r="C260" s="1" t="str">
        <f>"华宝添益"</f>
        <v>华宝添益</v>
      </c>
      <c r="D260" s="11" t="str">
        <f>"511990"</f>
        <v>511990</v>
      </c>
      <c r="E260" s="1" t="str">
        <f t="shared" si="53"/>
        <v>卖出</v>
      </c>
      <c r="F260" s="1" t="str">
        <f>"证券卖出"</f>
        <v>证券卖出</v>
      </c>
      <c r="G260" s="13">
        <v>100.10599999999999</v>
      </c>
      <c r="H260" s="1">
        <v>-2303</v>
      </c>
      <c r="I260" s="5">
        <v>230544.11</v>
      </c>
      <c r="J260" s="5">
        <v>232003.32</v>
      </c>
      <c r="K260" s="1">
        <v>0</v>
      </c>
      <c r="L260" s="1" t="str">
        <f>"A280737240"</f>
        <v>A280737240</v>
      </c>
      <c r="M260" s="1" t="str">
        <f>"证券卖出"</f>
        <v>证券卖出</v>
      </c>
    </row>
    <row r="261" spans="1:13" x14ac:dyDescent="0.2">
      <c r="A261" s="3" t="str">
        <f>"4560"</f>
        <v>4560</v>
      </c>
      <c r="B261" s="4">
        <v>43145</v>
      </c>
      <c r="C261" s="1" t="str">
        <f>"Ｒ-001"</f>
        <v>Ｒ-001</v>
      </c>
      <c r="D261" s="11" t="str">
        <f>"131810"</f>
        <v>131810</v>
      </c>
      <c r="E261" s="1" t="str">
        <f t="shared" si="53"/>
        <v>卖出</v>
      </c>
      <c r="F261" s="1" t="str">
        <f>"质押回购拆出"</f>
        <v>质押回购拆出</v>
      </c>
      <c r="G261" s="13">
        <v>2.5</v>
      </c>
      <c r="H261" s="1">
        <v>2320</v>
      </c>
      <c r="I261" s="5">
        <v>-232002.32</v>
      </c>
      <c r="J261" s="5">
        <v>1</v>
      </c>
      <c r="K261" s="1">
        <v>2.3199999999999998</v>
      </c>
      <c r="L261" s="1" t="str">
        <f>"0184500716"</f>
        <v>0184500716</v>
      </c>
      <c r="M261" s="1" t="str">
        <f>"融券回购购回日:20180215预计利息:15.89参考占款天数：1-131990"</f>
        <v>融券回购购回日:20180215预计利息:15.89参考占款天数：1-131990</v>
      </c>
    </row>
    <row r="262" spans="1:13" x14ac:dyDescent="0.2">
      <c r="A262" s="3" t="str">
        <f>"1963"</f>
        <v>1963</v>
      </c>
      <c r="B262" s="4">
        <v>43153</v>
      </c>
      <c r="C262" s="1" t="str">
        <f>"GC001"</f>
        <v>GC001</v>
      </c>
      <c r="D262" s="11" t="str">
        <f>"204001"</f>
        <v>204001</v>
      </c>
      <c r="E262" s="1" t="str">
        <f t="shared" si="53"/>
        <v>卖出</v>
      </c>
      <c r="F262" s="1" t="str">
        <f>"质押回购拆出"</f>
        <v>质押回购拆出</v>
      </c>
      <c r="G262" s="13">
        <v>3.75</v>
      </c>
      <c r="H262" s="1">
        <v>200</v>
      </c>
      <c r="I262" s="5">
        <v>-200002</v>
      </c>
      <c r="J262" s="5">
        <v>-200001</v>
      </c>
      <c r="K262" s="1">
        <v>2</v>
      </c>
      <c r="L262" s="1" t="str">
        <f>"A280737240"</f>
        <v>A280737240</v>
      </c>
      <c r="M262" s="1" t="str">
        <f>"融券回购购回日:20180223预计利息:61.64参考占款天数：3-888880"</f>
        <v>融券回购购回日:20180223预计利息:61.64参考占款天数：3-888880</v>
      </c>
    </row>
    <row r="263" spans="1:13" x14ac:dyDescent="0.2">
      <c r="A263" s="3" t="str">
        <f>"3620"</f>
        <v>3620</v>
      </c>
      <c r="B263" s="4">
        <v>43153</v>
      </c>
      <c r="C263" s="1" t="str">
        <f>"华宝添益"</f>
        <v>华宝添益</v>
      </c>
      <c r="D263" s="11" t="str">
        <f>"511990"</f>
        <v>511990</v>
      </c>
      <c r="E263" s="1" t="str">
        <f t="shared" si="53"/>
        <v>卖出</v>
      </c>
      <c r="F263" s="1" t="str">
        <f>"ETF现金替代退款"</f>
        <v>ETF现金替代退款</v>
      </c>
      <c r="G263" s="13">
        <v>100.024</v>
      </c>
      <c r="H263" s="1">
        <v>0</v>
      </c>
      <c r="I263" s="5">
        <v>79.47</v>
      </c>
      <c r="J263" s="5">
        <v>-199921.53</v>
      </c>
      <c r="K263" s="1">
        <v>0</v>
      </c>
      <c r="L263" s="1" t="str">
        <f>"A280737240"</f>
        <v>A280737240</v>
      </c>
      <c r="M263" s="1" t="str">
        <f>"ETF现金替代退款,证券代码:511990,委托时间:20180214,成交编号:33"</f>
        <v>ETF现金替代退款,证券代码:511990,委托时间:20180214,成交编号:33</v>
      </c>
    </row>
    <row r="264" spans="1:13" x14ac:dyDescent="0.2">
      <c r="A264" s="3" t="str">
        <f>"4399"</f>
        <v>4399</v>
      </c>
      <c r="B264" s="4">
        <v>43153</v>
      </c>
      <c r="C264" s="4" t="s">
        <v>34</v>
      </c>
      <c r="D264" s="11">
        <v>940018</v>
      </c>
      <c r="E264" s="1" t="str">
        <f t="shared" si="53"/>
        <v>卖出</v>
      </c>
      <c r="F264" s="1" t="str">
        <f>"基金资金拨出"</f>
        <v>基金资金拨出</v>
      </c>
      <c r="G264" s="13">
        <v>0</v>
      </c>
      <c r="H264" s="1">
        <v>0</v>
      </c>
      <c r="I264" s="5">
        <v>-32013.89</v>
      </c>
      <c r="J264" s="5">
        <v>-231935.42</v>
      </c>
      <c r="K264" s="1">
        <v>0</v>
      </c>
      <c r="L264" s="1" t="str">
        <f>" "</f>
        <v xml:space="preserve"> </v>
      </c>
      <c r="M264" s="1" t="str">
        <f>"122扣除金额 基金代码：940018,发生份额：32013.89"</f>
        <v>122扣除金额 基金代码：940018,发生份额：32013.89</v>
      </c>
    </row>
    <row r="265" spans="1:13" x14ac:dyDescent="0.2">
      <c r="A265" s="3" t="str">
        <f>"5221"</f>
        <v>5221</v>
      </c>
      <c r="B265" s="4">
        <v>43153</v>
      </c>
      <c r="C265" s="1" t="str">
        <f>"Ｒ-001"</f>
        <v>Ｒ-001</v>
      </c>
      <c r="D265" s="11" t="str">
        <f>"131810"</f>
        <v>131810</v>
      </c>
      <c r="E265" s="1" t="str">
        <f t="shared" si="53"/>
        <v>卖出</v>
      </c>
      <c r="F265" s="1" t="str">
        <f>"拆出质押购回"</f>
        <v>拆出质押购回</v>
      </c>
      <c r="G265" s="13">
        <v>2.5</v>
      </c>
      <c r="H265" s="1">
        <v>-2320</v>
      </c>
      <c r="I265" s="5">
        <v>232015.89</v>
      </c>
      <c r="J265" s="5">
        <v>80.47</v>
      </c>
      <c r="K265" s="1">
        <v>0</v>
      </c>
      <c r="L265" s="1" t="str">
        <f>"0184500716"</f>
        <v>0184500716</v>
      </c>
      <c r="M265" s="1" t="str">
        <f>"融券购回:15.89实际占款天数：1-131990"</f>
        <v>融券购回:15.89实际占款天数：1-131990</v>
      </c>
    </row>
    <row r="266" spans="1:13" x14ac:dyDescent="0.2">
      <c r="A266" s="3" t="str">
        <f>"1868"</f>
        <v>1868</v>
      </c>
      <c r="B266" s="4">
        <v>43154</v>
      </c>
      <c r="C266" s="4" t="s">
        <v>34</v>
      </c>
      <c r="D266" s="11">
        <v>940018</v>
      </c>
      <c r="E266" s="1" t="str">
        <f t="shared" si="53"/>
        <v>卖出</v>
      </c>
      <c r="F266" s="1" t="str">
        <f>"基金资金拨出"</f>
        <v>基金资金拨出</v>
      </c>
      <c r="G266" s="13">
        <v>0</v>
      </c>
      <c r="H266" s="1">
        <v>0</v>
      </c>
      <c r="I266" s="5">
        <v>-1157.2</v>
      </c>
      <c r="J266" s="5">
        <v>-1076.73</v>
      </c>
      <c r="K266" s="1">
        <v>0</v>
      </c>
      <c r="L266" s="1" t="str">
        <f t="shared" ref="L266:L267" si="55">" "</f>
        <v xml:space="preserve"> </v>
      </c>
      <c r="M266" s="1" t="str">
        <f>"122扣除金额 基金代码：940018,发生份额：1157.2"</f>
        <v>122扣除金额 基金代码：940018,发生份额：1157.2</v>
      </c>
    </row>
    <row r="267" spans="1:13" x14ac:dyDescent="0.2">
      <c r="A267" s="3" t="str">
        <f>"1869"</f>
        <v>1869</v>
      </c>
      <c r="B267" s="4">
        <v>43154</v>
      </c>
      <c r="C267" s="4" t="s">
        <v>34</v>
      </c>
      <c r="D267" s="11">
        <v>940018</v>
      </c>
      <c r="E267" s="1" t="str">
        <f t="shared" si="53"/>
        <v>卖出</v>
      </c>
      <c r="F267" s="1" t="str">
        <f>"基金资金拨入"</f>
        <v>基金资金拨入</v>
      </c>
      <c r="G267" s="13">
        <v>0</v>
      </c>
      <c r="H267" s="1">
        <v>0</v>
      </c>
      <c r="I267" s="5">
        <v>32812.39</v>
      </c>
      <c r="J267" s="5">
        <v>31735.66</v>
      </c>
      <c r="K267" s="1">
        <v>0</v>
      </c>
      <c r="L267" s="1" t="str">
        <f t="shared" si="55"/>
        <v xml:space="preserve"> </v>
      </c>
      <c r="M267" s="1" t="str">
        <f>"124增加金额 基金代码：940018,发生份额：32812.39"</f>
        <v>124增加金额 基金代码：940018,发生份额：32812.39</v>
      </c>
    </row>
    <row r="268" spans="1:13" x14ac:dyDescent="0.2">
      <c r="A268" s="3" t="str">
        <f>"3501"</f>
        <v>3501</v>
      </c>
      <c r="B268" s="4">
        <v>43154</v>
      </c>
      <c r="C268" s="1" t="str">
        <f>"银华日利"</f>
        <v>银华日利</v>
      </c>
      <c r="D268" s="11" t="str">
        <f>"511880"</f>
        <v>511880</v>
      </c>
      <c r="E268" s="1" t="str">
        <f>"买入"</f>
        <v>买入</v>
      </c>
      <c r="F268" s="1" t="str">
        <f>"证券买入"</f>
        <v>证券买入</v>
      </c>
      <c r="G268" s="13">
        <v>100.78100000000001</v>
      </c>
      <c r="H268" s="1">
        <v>2300</v>
      </c>
      <c r="I268" s="5">
        <v>-231796.3</v>
      </c>
      <c r="J268" s="5">
        <v>-200060.64</v>
      </c>
      <c r="K268" s="1">
        <v>0</v>
      </c>
      <c r="L268" s="1" t="str">
        <f>"A280737240"</f>
        <v>A280737240</v>
      </c>
      <c r="M268" s="1" t="str">
        <f>"证券买入"</f>
        <v>证券买入</v>
      </c>
    </row>
    <row r="269" spans="1:13" x14ac:dyDescent="0.2">
      <c r="A269" s="3" t="str">
        <f>"5293"</f>
        <v>5293</v>
      </c>
      <c r="B269" s="4">
        <v>43154</v>
      </c>
      <c r="C269" s="1" t="str">
        <f>"GC001"</f>
        <v>GC001</v>
      </c>
      <c r="D269" s="11" t="str">
        <f>"204001"</f>
        <v>204001</v>
      </c>
      <c r="E269" s="1" t="str">
        <f t="shared" ref="E269:E276" si="56">"卖出"</f>
        <v>卖出</v>
      </c>
      <c r="F269" s="1" t="str">
        <f>"拆出质押购回"</f>
        <v>拆出质押购回</v>
      </c>
      <c r="G269" s="13">
        <v>3.75</v>
      </c>
      <c r="H269" s="1">
        <v>-200</v>
      </c>
      <c r="I269" s="5">
        <v>200061.64</v>
      </c>
      <c r="J269" s="5">
        <v>1</v>
      </c>
      <c r="K269" s="1">
        <v>0</v>
      </c>
      <c r="L269" s="1" t="str">
        <f>"A280737240"</f>
        <v>A280737240</v>
      </c>
      <c r="M269" s="1" t="str">
        <f>"融券购回:61.64实际占款天数：3-888880"</f>
        <v>融券购回:61.64实际占款天数：3-888880</v>
      </c>
    </row>
    <row r="270" spans="1:13" x14ac:dyDescent="0.2">
      <c r="A270" s="3" t="str">
        <f>"6177"</f>
        <v>6177</v>
      </c>
      <c r="B270" s="4">
        <v>43157</v>
      </c>
      <c r="C270" s="4" t="s">
        <v>34</v>
      </c>
      <c r="D270" s="11">
        <v>940018</v>
      </c>
      <c r="E270" s="1" t="str">
        <f t="shared" si="56"/>
        <v>卖出</v>
      </c>
      <c r="F270" s="1" t="str">
        <f>"基金资金拨出"</f>
        <v>基金资金拨出</v>
      </c>
      <c r="G270" s="13">
        <v>0</v>
      </c>
      <c r="H270" s="1">
        <v>0</v>
      </c>
      <c r="I270" s="5">
        <v>-1</v>
      </c>
      <c r="J270" s="5">
        <v>0</v>
      </c>
      <c r="K270" s="1">
        <v>0</v>
      </c>
      <c r="L270" s="1" t="str">
        <f t="shared" ref="C270:L275" si="57">" "</f>
        <v xml:space="preserve"> </v>
      </c>
      <c r="M270" s="1" t="str">
        <f>"122扣除金额 基金代码：940018,发生份额：1"</f>
        <v>122扣除金额 基金代码：940018,发生份额：1</v>
      </c>
    </row>
    <row r="271" spans="1:13" x14ac:dyDescent="0.2">
      <c r="A271" s="3" t="str">
        <f>"5946"</f>
        <v>5946</v>
      </c>
      <c r="B271" s="4">
        <v>43180</v>
      </c>
      <c r="C271" s="1" t="str">
        <f t="shared" si="57"/>
        <v xml:space="preserve"> </v>
      </c>
      <c r="D271" s="11"/>
      <c r="E271" s="1" t="str">
        <f t="shared" si="56"/>
        <v>卖出</v>
      </c>
      <c r="F271" s="1" t="str">
        <f>"利息归本"</f>
        <v>利息归本</v>
      </c>
      <c r="G271" s="13">
        <v>0</v>
      </c>
      <c r="H271" s="1">
        <v>0</v>
      </c>
      <c r="I271" s="5">
        <v>0.17</v>
      </c>
      <c r="J271" s="5">
        <v>0.17</v>
      </c>
      <c r="K271" s="1">
        <v>0</v>
      </c>
      <c r="L271" s="1" t="str">
        <f t="shared" si="57"/>
        <v xml:space="preserve"> </v>
      </c>
      <c r="M271" s="1" t="str">
        <f>" 利息归本: 归本利息为 0.17correct_balance=0"</f>
        <v xml:space="preserve"> 利息归本: 归本利息为 0.17correct_balance=0</v>
      </c>
    </row>
    <row r="272" spans="1:13" x14ac:dyDescent="0.2">
      <c r="A272" s="3" t="str">
        <f>"7144"</f>
        <v>7144</v>
      </c>
      <c r="B272" s="4">
        <v>43181</v>
      </c>
      <c r="C272" s="4" t="s">
        <v>34</v>
      </c>
      <c r="D272" s="11">
        <v>940018</v>
      </c>
      <c r="E272" s="1" t="str">
        <f t="shared" si="56"/>
        <v>卖出</v>
      </c>
      <c r="F272" s="1" t="str">
        <f>"基金资金拨出"</f>
        <v>基金资金拨出</v>
      </c>
      <c r="G272" s="13">
        <v>0</v>
      </c>
      <c r="H272" s="1">
        <v>0</v>
      </c>
      <c r="I272" s="5">
        <v>-0.17</v>
      </c>
      <c r="J272" s="5">
        <v>0</v>
      </c>
      <c r="K272" s="1">
        <v>0</v>
      </c>
      <c r="L272" s="1" t="str">
        <f t="shared" si="57"/>
        <v xml:space="preserve"> </v>
      </c>
      <c r="M272" s="1" t="str">
        <f>"122扣除金额 基金代码：940018,发生份额：.17"</f>
        <v>122扣除金额 基金代码：940018,发生份额：.17</v>
      </c>
    </row>
    <row r="273" spans="1:13" x14ac:dyDescent="0.2">
      <c r="A273" s="3" t="str">
        <f>"646"</f>
        <v>646</v>
      </c>
      <c r="B273" s="4">
        <v>43209</v>
      </c>
      <c r="C273" s="4" t="s">
        <v>34</v>
      </c>
      <c r="D273" s="11">
        <v>940018</v>
      </c>
      <c r="E273" s="1" t="str">
        <f t="shared" si="56"/>
        <v>卖出</v>
      </c>
      <c r="F273" s="1" t="str">
        <f>"资管转让资金上账"</f>
        <v>资管转让资金上账</v>
      </c>
      <c r="G273" s="13">
        <v>0</v>
      </c>
      <c r="H273" s="1">
        <v>0</v>
      </c>
      <c r="I273" s="5">
        <v>1177</v>
      </c>
      <c r="J273" s="5">
        <v>1177</v>
      </c>
      <c r="K273" s="1">
        <v>0</v>
      </c>
      <c r="L273" s="1" t="str">
        <f t="shared" si="57"/>
        <v xml:space="preserve"> </v>
      </c>
      <c r="M273" s="1" t="str">
        <f>"快速取现退出资金拨入,产品代码940018,对方资产账户40000545correct_balance=0"</f>
        <v>快速取现退出资金拨入,产品代码940018,对方资产账户40000545correct_balance=0</v>
      </c>
    </row>
    <row r="274" spans="1:13" x14ac:dyDescent="0.2">
      <c r="A274" s="3" t="str">
        <f>"649"</f>
        <v>649</v>
      </c>
      <c r="B274" s="4">
        <v>43209</v>
      </c>
      <c r="C274" s="1" t="str">
        <f t="shared" si="57"/>
        <v xml:space="preserve"> </v>
      </c>
      <c r="D274" s="11"/>
      <c r="E274" s="1" t="str">
        <f t="shared" si="56"/>
        <v>卖出</v>
      </c>
      <c r="F274" s="1" t="str">
        <f>"银行转取"</f>
        <v>银行转取</v>
      </c>
      <c r="G274" s="13">
        <v>0</v>
      </c>
      <c r="H274" s="1">
        <v>0</v>
      </c>
      <c r="I274" s="5">
        <v>-1177</v>
      </c>
      <c r="J274" s="5">
        <v>0</v>
      </c>
      <c r="K274" s="1">
        <v>0</v>
      </c>
      <c r="L274" s="1" t="str">
        <f t="shared" si="57"/>
        <v xml:space="preserve"> </v>
      </c>
      <c r="M274" s="1" t="str">
        <f>"银行返回码[ ]返回信息[0000 交易成功]|转账成功correct_balance=1177"</f>
        <v>银行返回码[ ]返回信息[0000 交易成功]|转账成功correct_balance=1177</v>
      </c>
    </row>
    <row r="275" spans="1:13" x14ac:dyDescent="0.2">
      <c r="A275" s="3" t="str">
        <f>"2294"</f>
        <v>2294</v>
      </c>
      <c r="B275" s="4">
        <v>43210</v>
      </c>
      <c r="C275" s="4" t="s">
        <v>34</v>
      </c>
      <c r="D275" s="11">
        <v>940018</v>
      </c>
      <c r="E275" s="1" t="str">
        <f t="shared" si="56"/>
        <v>卖出</v>
      </c>
      <c r="F275" s="1" t="str">
        <f>"基金资金拨出"</f>
        <v>基金资金拨出</v>
      </c>
      <c r="G275" s="13">
        <v>0</v>
      </c>
      <c r="H275" s="1">
        <v>0</v>
      </c>
      <c r="I275" s="5">
        <v>-243</v>
      </c>
      <c r="J275" s="5">
        <v>-243</v>
      </c>
      <c r="K275" s="1">
        <v>0</v>
      </c>
      <c r="L275" s="1" t="str">
        <f t="shared" si="57"/>
        <v xml:space="preserve"> </v>
      </c>
      <c r="M275" s="1" t="str">
        <f>"122扣除金额 基金代码：940018,发生份额：243"</f>
        <v>122扣除金额 基金代码：940018,发生份额：243</v>
      </c>
    </row>
    <row r="276" spans="1:13" x14ac:dyDescent="0.2">
      <c r="A276" s="3" t="str">
        <f>"4236"</f>
        <v>4236</v>
      </c>
      <c r="B276" s="4">
        <v>43210</v>
      </c>
      <c r="C276" s="1" t="str">
        <f>"银华日利"</f>
        <v>银华日利</v>
      </c>
      <c r="D276" s="11" t="str">
        <f>"511880"</f>
        <v>511880</v>
      </c>
      <c r="E276" s="1" t="str">
        <f t="shared" si="56"/>
        <v>卖出</v>
      </c>
      <c r="F276" s="1" t="str">
        <f>"证券卖出"</f>
        <v>证券卖出</v>
      </c>
      <c r="G276" s="13">
        <v>101.34399999999999</v>
      </c>
      <c r="H276" s="1">
        <v>-200</v>
      </c>
      <c r="I276" s="5">
        <v>20268.8</v>
      </c>
      <c r="J276" s="5">
        <v>20025.8</v>
      </c>
      <c r="K276" s="1">
        <v>0</v>
      </c>
      <c r="L276" s="1" t="str">
        <f>"A280737240"</f>
        <v>A280737240</v>
      </c>
      <c r="M276" s="1" t="str">
        <f>"证券卖出"</f>
        <v>证券卖出</v>
      </c>
    </row>
    <row r="277" spans="1:13" x14ac:dyDescent="0.2">
      <c r="A277" s="3" t="str">
        <f>"4237"</f>
        <v>4237</v>
      </c>
      <c r="B277" s="4">
        <v>43210</v>
      </c>
      <c r="C277" s="1" t="str">
        <f>"1000ETF"</f>
        <v>1000ETF</v>
      </c>
      <c r="D277" s="11" t="str">
        <f>"512100"</f>
        <v>512100</v>
      </c>
      <c r="E277" s="1" t="str">
        <f>"买入"</f>
        <v>买入</v>
      </c>
      <c r="F277" s="1" t="str">
        <f>"证券买入"</f>
        <v>证券买入</v>
      </c>
      <c r="G277" s="13">
        <v>0.77600000000000002</v>
      </c>
      <c r="H277" s="1">
        <v>25800</v>
      </c>
      <c r="I277" s="5">
        <v>-20024.8</v>
      </c>
      <c r="J277" s="5">
        <v>1</v>
      </c>
      <c r="K277" s="1">
        <v>4</v>
      </c>
      <c r="L277" s="1" t="str">
        <f>"A280737240"</f>
        <v>A280737240</v>
      </c>
      <c r="M277" s="1" t="str">
        <f>"证券买入"</f>
        <v>证券买入</v>
      </c>
    </row>
    <row r="278" spans="1:13" x14ac:dyDescent="0.2">
      <c r="A278" s="3" t="str">
        <f>"2025"</f>
        <v>2025</v>
      </c>
      <c r="B278" s="4">
        <v>43213</v>
      </c>
      <c r="C278" s="4" t="s">
        <v>34</v>
      </c>
      <c r="D278" s="11">
        <v>940018</v>
      </c>
      <c r="E278" s="1" t="str">
        <f>"卖出"</f>
        <v>卖出</v>
      </c>
      <c r="F278" s="1" t="str">
        <f>"基金资金拨出"</f>
        <v>基金资金拨出</v>
      </c>
      <c r="G278" s="13">
        <v>0</v>
      </c>
      <c r="H278" s="1">
        <v>0</v>
      </c>
      <c r="I278" s="5">
        <v>-100.59</v>
      </c>
      <c r="J278" s="5">
        <v>-99.59</v>
      </c>
      <c r="K278" s="1">
        <v>0</v>
      </c>
      <c r="L278" s="1" t="str">
        <f>" "</f>
        <v xml:space="preserve"> </v>
      </c>
      <c r="M278" s="1" t="str">
        <f>"122扣除金额 基金代码：940018,发生份额：100.59"</f>
        <v>122扣除金额 基金代码：940018,发生份额：100.59</v>
      </c>
    </row>
    <row r="279" spans="1:13" x14ac:dyDescent="0.2">
      <c r="A279" s="3" t="str">
        <f>"3925"</f>
        <v>3925</v>
      </c>
      <c r="B279" s="4">
        <v>43213</v>
      </c>
      <c r="C279" s="1" t="str">
        <f>"银华日利"</f>
        <v>银华日利</v>
      </c>
      <c r="D279" s="11" t="str">
        <f>"511880"</f>
        <v>511880</v>
      </c>
      <c r="E279" s="1" t="str">
        <f>"卖出"</f>
        <v>卖出</v>
      </c>
      <c r="F279" s="1" t="str">
        <f>"证券卖出"</f>
        <v>证券卖出</v>
      </c>
      <c r="G279" s="13">
        <v>101.346</v>
      </c>
      <c r="H279" s="1">
        <v>-100</v>
      </c>
      <c r="I279" s="5">
        <v>10134.6</v>
      </c>
      <c r="J279" s="5">
        <v>10035.01</v>
      </c>
      <c r="K279" s="1">
        <v>0</v>
      </c>
      <c r="L279" s="1" t="str">
        <f>"A280737240"</f>
        <v>A280737240</v>
      </c>
      <c r="M279" s="1" t="str">
        <f>"证券卖出"</f>
        <v>证券卖出</v>
      </c>
    </row>
    <row r="280" spans="1:13" x14ac:dyDescent="0.2">
      <c r="A280" s="3" t="str">
        <f>"3926"</f>
        <v>3926</v>
      </c>
      <c r="B280" s="4">
        <v>43213</v>
      </c>
      <c r="C280" s="1" t="str">
        <f>"1000ETF"</f>
        <v>1000ETF</v>
      </c>
      <c r="D280" s="11" t="str">
        <f>"512100"</f>
        <v>512100</v>
      </c>
      <c r="E280" s="1" t="str">
        <f>"买入"</f>
        <v>买入</v>
      </c>
      <c r="F280" s="1" t="str">
        <f>"证券买入"</f>
        <v>证券买入</v>
      </c>
      <c r="G280" s="13">
        <v>0.76</v>
      </c>
      <c r="H280" s="1">
        <v>13200</v>
      </c>
      <c r="I280" s="5">
        <v>-10034.01</v>
      </c>
      <c r="J280" s="5">
        <v>1</v>
      </c>
      <c r="K280" s="1">
        <v>2.0099999999999998</v>
      </c>
      <c r="L280" s="1" t="str">
        <f>"A280737240"</f>
        <v>A280737240</v>
      </c>
      <c r="M280" s="1" t="str">
        <f>"证券买入"</f>
        <v>证券买入</v>
      </c>
    </row>
    <row r="281" spans="1:13" x14ac:dyDescent="0.2">
      <c r="A281" s="3" t="str">
        <f>"2007"</f>
        <v>2007</v>
      </c>
      <c r="B281" s="4">
        <v>43214</v>
      </c>
      <c r="C281" s="4" t="s">
        <v>34</v>
      </c>
      <c r="D281" s="11">
        <v>940018</v>
      </c>
      <c r="E281" s="1" t="str">
        <f t="shared" ref="E281:E294" si="58">"卖出"</f>
        <v>卖出</v>
      </c>
      <c r="F281" s="1" t="str">
        <f>"基金资金拨出"</f>
        <v>基金资金拨出</v>
      </c>
      <c r="G281" s="13">
        <v>0</v>
      </c>
      <c r="H281" s="1">
        <v>0</v>
      </c>
      <c r="I281" s="5">
        <v>-471.11</v>
      </c>
      <c r="J281" s="5">
        <v>-470.11</v>
      </c>
      <c r="K281" s="1">
        <v>0</v>
      </c>
      <c r="L281" s="1" t="str">
        <f>" "</f>
        <v xml:space="preserve"> </v>
      </c>
      <c r="M281" s="1" t="str">
        <f>"122扣除金额 基金代码：940018,发生份额：471.11"</f>
        <v>122扣除金额 基金代码：940018,发生份额：471.11</v>
      </c>
    </row>
    <row r="282" spans="1:13" x14ac:dyDescent="0.2">
      <c r="A282" s="3" t="str">
        <f>"4495"</f>
        <v>4495</v>
      </c>
      <c r="B282" s="4">
        <v>43214</v>
      </c>
      <c r="C282" s="1" t="str">
        <f>"GC001"</f>
        <v>GC001</v>
      </c>
      <c r="D282" s="11" t="str">
        <f>"204001"</f>
        <v>204001</v>
      </c>
      <c r="E282" s="1" t="str">
        <f t="shared" si="58"/>
        <v>卖出</v>
      </c>
      <c r="F282" s="1" t="str">
        <f>"质押回购拆出"</f>
        <v>质押回购拆出</v>
      </c>
      <c r="G282" s="13">
        <v>9.83</v>
      </c>
      <c r="H282" s="1">
        <v>100</v>
      </c>
      <c r="I282" s="5">
        <v>-100001</v>
      </c>
      <c r="J282" s="5">
        <v>-100471.11</v>
      </c>
      <c r="K282" s="1">
        <v>1</v>
      </c>
      <c r="L282" s="1" t="str">
        <f>"A280737240"</f>
        <v>A280737240</v>
      </c>
      <c r="M282" s="1" t="str">
        <f>"融券回购购回日:20180425预计利息:26.93参考占款天数：1-888880"</f>
        <v>融券回购购回日:20180425预计利息:26.93参考占款天数：1-888880</v>
      </c>
    </row>
    <row r="283" spans="1:13" x14ac:dyDescent="0.2">
      <c r="A283" s="3" t="str">
        <f>"6181"</f>
        <v>6181</v>
      </c>
      <c r="B283" s="4">
        <v>43214</v>
      </c>
      <c r="C283" s="1" t="str">
        <f>"华宝油气"</f>
        <v>华宝油气</v>
      </c>
      <c r="D283" s="11" t="str">
        <f>"162411"</f>
        <v>162411</v>
      </c>
      <c r="E283" s="1" t="str">
        <f t="shared" si="58"/>
        <v>卖出</v>
      </c>
      <c r="F283" s="1" t="str">
        <f>"证券卖出"</f>
        <v>证券卖出</v>
      </c>
      <c r="G283" s="13">
        <v>0.60399999999999998</v>
      </c>
      <c r="H283" s="1">
        <v>-297200</v>
      </c>
      <c r="I283" s="5">
        <v>179472.9</v>
      </c>
      <c r="J283" s="5">
        <v>79001.789999999994</v>
      </c>
      <c r="K283" s="1">
        <v>35.9</v>
      </c>
      <c r="L283" s="1" t="str">
        <f>"0184500716"</f>
        <v>0184500716</v>
      </c>
      <c r="M283" s="1" t="str">
        <f>"证券卖出"</f>
        <v>证券卖出</v>
      </c>
    </row>
    <row r="284" spans="1:13" x14ac:dyDescent="0.2">
      <c r="A284" s="3" t="str">
        <f>"6183"</f>
        <v>6183</v>
      </c>
      <c r="B284" s="4">
        <v>43214</v>
      </c>
      <c r="C284" s="1" t="str">
        <f>"Ｒ-001"</f>
        <v>Ｒ-001</v>
      </c>
      <c r="D284" s="11" t="str">
        <f>"131810"</f>
        <v>131810</v>
      </c>
      <c r="E284" s="1" t="str">
        <f t="shared" si="58"/>
        <v>卖出</v>
      </c>
      <c r="F284" s="1" t="str">
        <f>"质押回购拆出"</f>
        <v>质押回购拆出</v>
      </c>
      <c r="G284" s="13">
        <v>9.1999999999999993</v>
      </c>
      <c r="H284" s="1">
        <v>790</v>
      </c>
      <c r="I284" s="5">
        <v>-79000.789999999994</v>
      </c>
      <c r="J284" s="5">
        <v>1</v>
      </c>
      <c r="K284" s="1">
        <v>0.79</v>
      </c>
      <c r="L284" s="1" t="str">
        <f>"0184500716"</f>
        <v>0184500716</v>
      </c>
      <c r="M284" s="1" t="str">
        <f>"融券回购购回日:20180425预计利息:19.91参考占款天数：1-131990"</f>
        <v>融券回购购回日:20180425预计利息:19.91参考占款天数：1-131990</v>
      </c>
    </row>
    <row r="285" spans="1:13" x14ac:dyDescent="0.2">
      <c r="A285" s="3" t="str">
        <f>"668"</f>
        <v>668</v>
      </c>
      <c r="B285" s="4">
        <v>43215</v>
      </c>
      <c r="C285" s="1" t="str">
        <f t="shared" ref="C285:L287" si="59">" "</f>
        <v xml:space="preserve"> </v>
      </c>
      <c r="D285" s="11"/>
      <c r="E285" s="1" t="str">
        <f t="shared" si="58"/>
        <v>卖出</v>
      </c>
      <c r="F285" s="1" t="str">
        <f>"银行转存"</f>
        <v>银行转存</v>
      </c>
      <c r="G285" s="13">
        <v>0</v>
      </c>
      <c r="H285" s="1">
        <v>0</v>
      </c>
      <c r="I285" s="5">
        <v>150</v>
      </c>
      <c r="J285" s="5">
        <v>151</v>
      </c>
      <c r="K285" s="1">
        <v>0</v>
      </c>
      <c r="L285" s="1" t="str">
        <f t="shared" si="59"/>
        <v xml:space="preserve"> </v>
      </c>
      <c r="M285" s="1" t="str">
        <f>"银行返回码[ ]返回信息[0000 交易成功]|转账成功correct_balance=0"</f>
        <v>银行返回码[ ]返回信息[0000 交易成功]|转账成功correct_balance=0</v>
      </c>
    </row>
    <row r="286" spans="1:13" x14ac:dyDescent="0.2">
      <c r="A286" s="3" t="str">
        <f>"2028"</f>
        <v>2028</v>
      </c>
      <c r="B286" s="4">
        <v>43215</v>
      </c>
      <c r="C286" s="4" t="s">
        <v>34</v>
      </c>
      <c r="D286" s="11">
        <v>940018</v>
      </c>
      <c r="E286" s="1" t="str">
        <f t="shared" si="58"/>
        <v>卖出</v>
      </c>
      <c r="F286" s="1" t="str">
        <f>"基金资金拨出"</f>
        <v>基金资金拨出</v>
      </c>
      <c r="G286" s="13">
        <v>0</v>
      </c>
      <c r="H286" s="1">
        <v>0</v>
      </c>
      <c r="I286" s="5">
        <v>-10.64</v>
      </c>
      <c r="J286" s="5">
        <v>140.36000000000001</v>
      </c>
      <c r="K286" s="1">
        <v>0</v>
      </c>
      <c r="L286" s="1" t="str">
        <f t="shared" si="59"/>
        <v xml:space="preserve"> </v>
      </c>
      <c r="M286" s="1" t="str">
        <f>"122扣除金额 基金代码：940018,发生份额：10.64"</f>
        <v>122扣除金额 基金代码：940018,发生份额：10.64</v>
      </c>
    </row>
    <row r="287" spans="1:13" x14ac:dyDescent="0.2">
      <c r="A287" s="3" t="str">
        <f>"2029"</f>
        <v>2029</v>
      </c>
      <c r="B287" s="4">
        <v>43215</v>
      </c>
      <c r="C287" s="4" t="s">
        <v>34</v>
      </c>
      <c r="D287" s="11">
        <v>940018</v>
      </c>
      <c r="E287" s="1" t="str">
        <f t="shared" si="58"/>
        <v>卖出</v>
      </c>
      <c r="F287" s="1" t="str">
        <f>"基金资金拨入"</f>
        <v>基金资金拨入</v>
      </c>
      <c r="G287" s="13">
        <v>0</v>
      </c>
      <c r="H287" s="1">
        <v>0</v>
      </c>
      <c r="I287" s="5">
        <v>815.6</v>
      </c>
      <c r="J287" s="5">
        <v>955.96</v>
      </c>
      <c r="K287" s="1">
        <v>0</v>
      </c>
      <c r="L287" s="1" t="str">
        <f t="shared" si="59"/>
        <v xml:space="preserve"> </v>
      </c>
      <c r="M287" s="1" t="str">
        <f>"124增加金额 基金代码：940018,发生份额：815.6"</f>
        <v>124增加金额 基金代码：940018,发生份额：815.6</v>
      </c>
    </row>
    <row r="288" spans="1:13" x14ac:dyDescent="0.2">
      <c r="A288" s="3" t="str">
        <f>"4235"</f>
        <v>4235</v>
      </c>
      <c r="B288" s="4">
        <v>43215</v>
      </c>
      <c r="C288" s="1" t="str">
        <f>"GC001"</f>
        <v>GC001</v>
      </c>
      <c r="D288" s="11" t="str">
        <f>"204001"</f>
        <v>204001</v>
      </c>
      <c r="E288" s="1" t="str">
        <f t="shared" si="58"/>
        <v>卖出</v>
      </c>
      <c r="F288" s="1" t="str">
        <f>"质押回购拆出"</f>
        <v>质押回购拆出</v>
      </c>
      <c r="G288" s="13">
        <v>6.6</v>
      </c>
      <c r="H288" s="1">
        <v>100</v>
      </c>
      <c r="I288" s="5">
        <v>-100001</v>
      </c>
      <c r="J288" s="5">
        <v>-99045.04</v>
      </c>
      <c r="K288" s="1">
        <v>1</v>
      </c>
      <c r="L288" s="1" t="str">
        <f>"A280737240"</f>
        <v>A280737240</v>
      </c>
      <c r="M288" s="1" t="str">
        <f>"融券回购购回日:20180426预计利息:18.08参考占款天数：1-888880"</f>
        <v>融券回购购回日:20180426预计利息:18.08参考占款天数：1-888880</v>
      </c>
    </row>
    <row r="289" spans="1:13" x14ac:dyDescent="0.2">
      <c r="A289" s="3" t="str">
        <f>"6301"</f>
        <v>6301</v>
      </c>
      <c r="B289" s="4">
        <v>43215</v>
      </c>
      <c r="C289" s="1" t="str">
        <f>"Ｒ-001"</f>
        <v>Ｒ-001</v>
      </c>
      <c r="D289" s="11" t="str">
        <f>"131810"</f>
        <v>131810</v>
      </c>
      <c r="E289" s="1" t="str">
        <f t="shared" si="58"/>
        <v>卖出</v>
      </c>
      <c r="F289" s="1" t="str">
        <f>"质押回购拆出"</f>
        <v>质押回购拆出</v>
      </c>
      <c r="G289" s="13">
        <v>6.52</v>
      </c>
      <c r="H289" s="1">
        <v>800</v>
      </c>
      <c r="I289" s="5">
        <v>-80000.800000000003</v>
      </c>
      <c r="J289" s="5">
        <v>-179045.84</v>
      </c>
      <c r="K289" s="1">
        <v>0.8</v>
      </c>
      <c r="L289" s="1" t="str">
        <f>"0184500716"</f>
        <v>0184500716</v>
      </c>
      <c r="M289" s="1" t="str">
        <f>"融券回购购回日:20180426预计利息:14.29参考占款天数：1-131990"</f>
        <v>融券回购购回日:20180426预计利息:14.29参考占款天数：1-131990</v>
      </c>
    </row>
    <row r="290" spans="1:13" x14ac:dyDescent="0.2">
      <c r="A290" s="3" t="str">
        <f>"6841"</f>
        <v>6841</v>
      </c>
      <c r="B290" s="4">
        <v>43215</v>
      </c>
      <c r="C290" s="1" t="str">
        <f>"GC001"</f>
        <v>GC001</v>
      </c>
      <c r="D290" s="11" t="str">
        <f>"204001"</f>
        <v>204001</v>
      </c>
      <c r="E290" s="1" t="str">
        <f t="shared" si="58"/>
        <v>卖出</v>
      </c>
      <c r="F290" s="1" t="str">
        <f>"拆出质押购回"</f>
        <v>拆出质押购回</v>
      </c>
      <c r="G290" s="13">
        <v>9.83</v>
      </c>
      <c r="H290" s="1">
        <v>-100</v>
      </c>
      <c r="I290" s="5">
        <v>100026.93</v>
      </c>
      <c r="J290" s="5">
        <v>-79018.91</v>
      </c>
      <c r="K290" s="1">
        <v>0</v>
      </c>
      <c r="L290" s="1" t="str">
        <f>"A280737240"</f>
        <v>A280737240</v>
      </c>
      <c r="M290" s="1" t="str">
        <f>"融券购回:26.93实际占款天数：1-888880"</f>
        <v>融券购回:26.93实际占款天数：1-888880</v>
      </c>
    </row>
    <row r="291" spans="1:13" x14ac:dyDescent="0.2">
      <c r="A291" s="3" t="str">
        <f>"7160"</f>
        <v>7160</v>
      </c>
      <c r="B291" s="4">
        <v>43215</v>
      </c>
      <c r="C291" s="1" t="str">
        <f>"Ｒ-001"</f>
        <v>Ｒ-001</v>
      </c>
      <c r="D291" s="11" t="str">
        <f>"131810"</f>
        <v>131810</v>
      </c>
      <c r="E291" s="1" t="str">
        <f t="shared" si="58"/>
        <v>卖出</v>
      </c>
      <c r="F291" s="1" t="str">
        <f>"拆出质押购回"</f>
        <v>拆出质押购回</v>
      </c>
      <c r="G291" s="13">
        <v>9.1999999999999993</v>
      </c>
      <c r="H291" s="1">
        <v>-790</v>
      </c>
      <c r="I291" s="5">
        <v>79019.91</v>
      </c>
      <c r="J291" s="5">
        <v>1</v>
      </c>
      <c r="K291" s="1">
        <v>0</v>
      </c>
      <c r="L291" s="1" t="str">
        <f>"0184500716"</f>
        <v>0184500716</v>
      </c>
      <c r="M291" s="1" t="str">
        <f>"融券购回:19.91实际占款天数：1-131990"</f>
        <v>融券购回:19.91实际占款天数：1-131990</v>
      </c>
    </row>
    <row r="292" spans="1:13" x14ac:dyDescent="0.2">
      <c r="A292" s="3" t="str">
        <f>"2362"</f>
        <v>2362</v>
      </c>
      <c r="B292" s="4">
        <v>43216</v>
      </c>
      <c r="C292" s="4" t="s">
        <v>34</v>
      </c>
      <c r="D292" s="11">
        <v>940018</v>
      </c>
      <c r="E292" s="1" t="str">
        <f t="shared" si="58"/>
        <v>卖出</v>
      </c>
      <c r="F292" s="1" t="str">
        <f>"基金资金拨出"</f>
        <v>基金资金拨出</v>
      </c>
      <c r="G292" s="13">
        <v>0</v>
      </c>
      <c r="H292" s="1">
        <v>0</v>
      </c>
      <c r="I292" s="5">
        <v>-10124.6</v>
      </c>
      <c r="J292" s="5">
        <v>-10123.6</v>
      </c>
      <c r="K292" s="1">
        <v>0</v>
      </c>
      <c r="L292" s="1" t="str">
        <f>" "</f>
        <v xml:space="preserve"> </v>
      </c>
      <c r="M292" s="1" t="str">
        <f>"122扣除金额 基金代码：940018,发生份额：10124.6"</f>
        <v>122扣除金额 基金代码：940018,发生份额：10124.6</v>
      </c>
    </row>
    <row r="293" spans="1:13" x14ac:dyDescent="0.2">
      <c r="A293" s="3" t="str">
        <f>"3876"</f>
        <v>3876</v>
      </c>
      <c r="B293" s="4">
        <v>43216</v>
      </c>
      <c r="C293" s="1" t="str">
        <f>"GC001"</f>
        <v>GC001</v>
      </c>
      <c r="D293" s="11" t="str">
        <f>"204001"</f>
        <v>204001</v>
      </c>
      <c r="E293" s="1" t="str">
        <f t="shared" si="58"/>
        <v>卖出</v>
      </c>
      <c r="F293" s="1" t="str">
        <f>"质押回购拆出"</f>
        <v>质押回购拆出</v>
      </c>
      <c r="G293" s="13">
        <v>8.4550000000000001</v>
      </c>
      <c r="H293" s="1">
        <v>100</v>
      </c>
      <c r="I293" s="5">
        <v>-100001</v>
      </c>
      <c r="J293" s="5">
        <v>-110124.6</v>
      </c>
      <c r="K293" s="1">
        <v>1</v>
      </c>
      <c r="L293" s="1" t="str">
        <f>"A280737240"</f>
        <v>A280737240</v>
      </c>
      <c r="M293" s="1" t="str">
        <f>"融券回购购回日:20180427预计利息:115.82参考占款天数：5-888880"</f>
        <v>融券回购购回日:20180427预计利息:115.82参考占款天数：5-888880</v>
      </c>
    </row>
    <row r="294" spans="1:13" x14ac:dyDescent="0.2">
      <c r="A294" s="3" t="str">
        <f>"3877"</f>
        <v>3877</v>
      </c>
      <c r="B294" s="4">
        <v>43216</v>
      </c>
      <c r="C294" s="1" t="str">
        <f>"银华日利"</f>
        <v>银华日利</v>
      </c>
      <c r="D294" s="11" t="str">
        <f>"511880"</f>
        <v>511880</v>
      </c>
      <c r="E294" s="1" t="str">
        <f t="shared" si="58"/>
        <v>卖出</v>
      </c>
      <c r="F294" s="1" t="str">
        <f>"证券卖出"</f>
        <v>证券卖出</v>
      </c>
      <c r="G294" s="13">
        <v>101.40300000000001</v>
      </c>
      <c r="H294" s="1">
        <v>-100</v>
      </c>
      <c r="I294" s="5">
        <v>10140.299999999999</v>
      </c>
      <c r="J294" s="5">
        <v>-99984.3</v>
      </c>
      <c r="K294" s="1">
        <v>0</v>
      </c>
      <c r="L294" s="1" t="str">
        <f>"A280737240"</f>
        <v>A280737240</v>
      </c>
      <c r="M294" s="1" t="str">
        <f>"证券卖出"</f>
        <v>证券卖出</v>
      </c>
    </row>
    <row r="295" spans="1:13" x14ac:dyDescent="0.2">
      <c r="A295" s="3" t="str">
        <f>"3878"</f>
        <v>3878</v>
      </c>
      <c r="B295" s="4">
        <v>43216</v>
      </c>
      <c r="C295" s="1" t="str">
        <f>"环保ETF"</f>
        <v>环保ETF</v>
      </c>
      <c r="D295" s="11" t="str">
        <f>"512580"</f>
        <v>512580</v>
      </c>
      <c r="E295" s="1" t="str">
        <f>"买入"</f>
        <v>买入</v>
      </c>
      <c r="F295" s="1" t="str">
        <f>"证券买入"</f>
        <v>证券买入</v>
      </c>
      <c r="G295" s="13">
        <v>0.89900000000000002</v>
      </c>
      <c r="H295" s="1">
        <v>4500</v>
      </c>
      <c r="I295" s="5">
        <v>-4046.31</v>
      </c>
      <c r="J295" s="5">
        <v>-104030.61</v>
      </c>
      <c r="K295" s="1">
        <v>0.81</v>
      </c>
      <c r="L295" s="1" t="str">
        <f>"A280737240"</f>
        <v>A280737240</v>
      </c>
      <c r="M295" s="1" t="str">
        <f>"证券买入"</f>
        <v>证券买入</v>
      </c>
    </row>
    <row r="296" spans="1:13" x14ac:dyDescent="0.2">
      <c r="A296" s="3" t="str">
        <f>"6719"</f>
        <v>6719</v>
      </c>
      <c r="B296" s="4">
        <v>43216</v>
      </c>
      <c r="C296" s="1" t="str">
        <f>"Ｒ-001"</f>
        <v>Ｒ-001</v>
      </c>
      <c r="D296" s="11" t="str">
        <f>"131810"</f>
        <v>131810</v>
      </c>
      <c r="E296" s="1" t="str">
        <f t="shared" ref="E296:E301" si="60">"卖出"</f>
        <v>卖出</v>
      </c>
      <c r="F296" s="1" t="str">
        <f>"质押回购拆出"</f>
        <v>质押回购拆出</v>
      </c>
      <c r="G296" s="13">
        <v>8.06</v>
      </c>
      <c r="H296" s="1">
        <v>760</v>
      </c>
      <c r="I296" s="5">
        <v>-76000.759999999995</v>
      </c>
      <c r="J296" s="5">
        <v>-180031.37</v>
      </c>
      <c r="K296" s="1">
        <v>0.76</v>
      </c>
      <c r="L296" s="1" t="str">
        <f>"0184500716"</f>
        <v>0184500716</v>
      </c>
      <c r="M296" s="1" t="str">
        <f>"融券回购购回日:20180427预计利息:83.91参考占款天数：5-131990"</f>
        <v>融券回购购回日:20180427预计利息:83.91参考占款天数：5-131990</v>
      </c>
    </row>
    <row r="297" spans="1:13" x14ac:dyDescent="0.2">
      <c r="A297" s="3" t="str">
        <f>"7047"</f>
        <v>7047</v>
      </c>
      <c r="B297" s="4">
        <v>43216</v>
      </c>
      <c r="C297" s="1" t="str">
        <f>"GC001"</f>
        <v>GC001</v>
      </c>
      <c r="D297" s="11" t="str">
        <f>"204001"</f>
        <v>204001</v>
      </c>
      <c r="E297" s="1" t="str">
        <f t="shared" si="60"/>
        <v>卖出</v>
      </c>
      <c r="F297" s="1" t="str">
        <f>"拆出质押购回"</f>
        <v>拆出质押购回</v>
      </c>
      <c r="G297" s="13">
        <v>6.6</v>
      </c>
      <c r="H297" s="1">
        <v>-100</v>
      </c>
      <c r="I297" s="5">
        <v>100018.08</v>
      </c>
      <c r="J297" s="5">
        <v>-80013.289999999994</v>
      </c>
      <c r="K297" s="1">
        <v>0</v>
      </c>
      <c r="L297" s="1" t="str">
        <f>"A280737240"</f>
        <v>A280737240</v>
      </c>
      <c r="M297" s="1" t="str">
        <f>"融券购回:18.08实际占款天数：1-888880"</f>
        <v>融券购回:18.08实际占款天数：1-888880</v>
      </c>
    </row>
    <row r="298" spans="1:13" x14ac:dyDescent="0.2">
      <c r="A298" s="3" t="str">
        <f>"7235"</f>
        <v>7235</v>
      </c>
      <c r="B298" s="4">
        <v>43216</v>
      </c>
      <c r="C298" s="1" t="str">
        <f>"Ｒ-001"</f>
        <v>Ｒ-001</v>
      </c>
      <c r="D298" s="11" t="str">
        <f>"131810"</f>
        <v>131810</v>
      </c>
      <c r="E298" s="1" t="str">
        <f t="shared" si="60"/>
        <v>卖出</v>
      </c>
      <c r="F298" s="1" t="str">
        <f>"拆出质押购回"</f>
        <v>拆出质押购回</v>
      </c>
      <c r="G298" s="13">
        <v>6.52</v>
      </c>
      <c r="H298" s="1">
        <v>-800</v>
      </c>
      <c r="I298" s="5">
        <v>80014.289999999994</v>
      </c>
      <c r="J298" s="5">
        <v>1</v>
      </c>
      <c r="K298" s="1">
        <v>0</v>
      </c>
      <c r="L298" s="1" t="str">
        <f>"0184500716"</f>
        <v>0184500716</v>
      </c>
      <c r="M298" s="1" t="str">
        <f>"融券购回:14.29实际占款天数：1-131990"</f>
        <v>融券购回:14.29实际占款天数：1-131990</v>
      </c>
    </row>
    <row r="299" spans="1:13" x14ac:dyDescent="0.2">
      <c r="A299" s="3" t="str">
        <f>"596"</f>
        <v>596</v>
      </c>
      <c r="B299" s="4">
        <v>43217</v>
      </c>
      <c r="C299" s="4" t="s">
        <v>34</v>
      </c>
      <c r="D299" s="11">
        <v>940018</v>
      </c>
      <c r="E299" s="1" t="str">
        <f t="shared" si="60"/>
        <v>卖出</v>
      </c>
      <c r="F299" s="1" t="str">
        <f>"资管转让资金上账"</f>
        <v>资管转让资金上账</v>
      </c>
      <c r="G299" s="13">
        <v>0</v>
      </c>
      <c r="H299" s="1">
        <v>0</v>
      </c>
      <c r="I299" s="5">
        <v>3690</v>
      </c>
      <c r="J299" s="5">
        <v>3691</v>
      </c>
      <c r="K299" s="1">
        <v>0</v>
      </c>
      <c r="L299" s="1" t="str">
        <f t="shared" ref="C299:L301" si="61">" "</f>
        <v xml:space="preserve"> </v>
      </c>
      <c r="M299" s="1" t="str">
        <f>"快速取现退出资金拨入,产品代码940018,对方资产账户40000545correct_balance=0"</f>
        <v>快速取现退出资金拨入,产品代码940018,对方资产账户40000545correct_balance=0</v>
      </c>
    </row>
    <row r="300" spans="1:13" x14ac:dyDescent="0.2">
      <c r="A300" s="3" t="str">
        <f>"1048"</f>
        <v>1048</v>
      </c>
      <c r="B300" s="4">
        <v>43217</v>
      </c>
      <c r="C300" s="1" t="str">
        <f t="shared" si="61"/>
        <v xml:space="preserve"> </v>
      </c>
      <c r="E300" s="1" t="str">
        <f t="shared" si="60"/>
        <v>卖出</v>
      </c>
      <c r="F300" s="1" t="str">
        <f>"银行转取"</f>
        <v>银行转取</v>
      </c>
      <c r="G300" s="13">
        <v>0</v>
      </c>
      <c r="H300" s="1">
        <v>0</v>
      </c>
      <c r="I300" s="5">
        <v>-3690</v>
      </c>
      <c r="J300" s="5">
        <v>1</v>
      </c>
      <c r="K300" s="1">
        <v>0</v>
      </c>
      <c r="L300" s="1" t="str">
        <f t="shared" si="61"/>
        <v xml:space="preserve"> </v>
      </c>
      <c r="M300" s="1" t="str">
        <f>"银行返回码[ ]返回信息[0000 交易成功]|转账成功correct_balance=3690"</f>
        <v>银行返回码[ ]返回信息[0000 交易成功]|转账成功correct_balance=3690</v>
      </c>
    </row>
    <row r="301" spans="1:13" x14ac:dyDescent="0.2">
      <c r="A301" s="3" t="str">
        <f>"2800"</f>
        <v>2800</v>
      </c>
      <c r="B301" s="4">
        <v>43217</v>
      </c>
      <c r="C301" s="4" t="s">
        <v>34</v>
      </c>
      <c r="D301" s="11">
        <v>940018</v>
      </c>
      <c r="E301" s="1" t="str">
        <f t="shared" si="60"/>
        <v>卖出</v>
      </c>
      <c r="F301" s="1" t="str">
        <f>"基金资金拨出"</f>
        <v>基金资金拨出</v>
      </c>
      <c r="G301" s="13">
        <v>0</v>
      </c>
      <c r="H301" s="1">
        <v>0</v>
      </c>
      <c r="I301" s="5">
        <v>-186399.93</v>
      </c>
      <c r="J301" s="5">
        <v>-186398.93</v>
      </c>
      <c r="K301" s="1">
        <v>0</v>
      </c>
      <c r="L301" s="1" t="str">
        <f t="shared" si="61"/>
        <v xml:space="preserve"> </v>
      </c>
      <c r="M301" s="1" t="str">
        <f>"122扣除金额 基金代码：940018,发生份额：186399.93"</f>
        <v>122扣除金额 基金代码：940018,发生份额：186399.93</v>
      </c>
    </row>
    <row r="302" spans="1:13" x14ac:dyDescent="0.2">
      <c r="A302" s="3" t="str">
        <f>"4571"</f>
        <v>4571</v>
      </c>
      <c r="B302" s="4">
        <v>43217</v>
      </c>
      <c r="C302" s="1" t="str">
        <f>"银华日利"</f>
        <v>银华日利</v>
      </c>
      <c r="D302" s="11" t="str">
        <f>"511880"</f>
        <v>511880</v>
      </c>
      <c r="E302" s="1" t="str">
        <f>"买入"</f>
        <v>买入</v>
      </c>
      <c r="F302" s="1" t="str">
        <f>"证券买入"</f>
        <v>证券买入</v>
      </c>
      <c r="G302" s="13">
        <v>101.47</v>
      </c>
      <c r="H302" s="1">
        <v>1800</v>
      </c>
      <c r="I302" s="5">
        <v>-182646</v>
      </c>
      <c r="J302" s="5">
        <v>-369044.93</v>
      </c>
      <c r="K302" s="1">
        <v>0</v>
      </c>
      <c r="L302" s="1" t="str">
        <f>"A280737240"</f>
        <v>A280737240</v>
      </c>
      <c r="M302" s="1" t="str">
        <f>"证券买入"</f>
        <v>证券买入</v>
      </c>
    </row>
    <row r="303" spans="1:13" x14ac:dyDescent="0.2">
      <c r="A303" s="3" t="str">
        <f>"4572"</f>
        <v>4572</v>
      </c>
      <c r="B303" s="4">
        <v>43217</v>
      </c>
      <c r="C303" s="1" t="str">
        <f>"银华日利"</f>
        <v>银华日利</v>
      </c>
      <c r="D303" s="11" t="str">
        <f>"511880"</f>
        <v>511880</v>
      </c>
      <c r="E303" s="1" t="str">
        <f>"卖出"</f>
        <v>卖出</v>
      </c>
      <c r="F303" s="1" t="str">
        <f>"证券卖出"</f>
        <v>证券卖出</v>
      </c>
      <c r="G303" s="13">
        <v>101.498</v>
      </c>
      <c r="H303" s="1">
        <v>-1900</v>
      </c>
      <c r="I303" s="5">
        <v>192846.2</v>
      </c>
      <c r="J303" s="5">
        <v>-176198.73</v>
      </c>
      <c r="K303" s="1">
        <v>0</v>
      </c>
      <c r="L303" s="1" t="str">
        <f>"A280737240"</f>
        <v>A280737240</v>
      </c>
      <c r="M303" s="1" t="str">
        <f>"证券卖出"</f>
        <v>证券卖出</v>
      </c>
    </row>
    <row r="304" spans="1:13" x14ac:dyDescent="0.2">
      <c r="A304" s="3" t="str">
        <f>"7620"</f>
        <v>7620</v>
      </c>
      <c r="B304" s="4">
        <v>43217</v>
      </c>
      <c r="C304" s="1" t="str">
        <f>"GC001"</f>
        <v>GC001</v>
      </c>
      <c r="D304" s="11" t="str">
        <f>"204001"</f>
        <v>204001</v>
      </c>
      <c r="E304" s="1" t="str">
        <f>"卖出"</f>
        <v>卖出</v>
      </c>
      <c r="F304" s="1" t="str">
        <f>"拆出质押购回"</f>
        <v>拆出质押购回</v>
      </c>
      <c r="G304" s="13">
        <v>8.4550000000000001</v>
      </c>
      <c r="H304" s="1">
        <v>-100</v>
      </c>
      <c r="I304" s="5">
        <v>100115.82</v>
      </c>
      <c r="J304" s="5">
        <v>-76082.91</v>
      </c>
      <c r="K304" s="1">
        <v>0</v>
      </c>
      <c r="L304" s="1" t="str">
        <f>"A280737240"</f>
        <v>A280737240</v>
      </c>
      <c r="M304" s="1" t="str">
        <f>"融券购回:115.82实际占款天数：5-888880"</f>
        <v>融券购回:115.82实际占款天数：5-888880</v>
      </c>
    </row>
    <row r="305" spans="1:13" x14ac:dyDescent="0.2">
      <c r="A305" s="3" t="str">
        <f>"7811"</f>
        <v>7811</v>
      </c>
      <c r="B305" s="4">
        <v>43217</v>
      </c>
      <c r="C305" s="1" t="str">
        <f>"Ｒ-001"</f>
        <v>Ｒ-001</v>
      </c>
      <c r="D305" s="11" t="str">
        <f>"131810"</f>
        <v>131810</v>
      </c>
      <c r="E305" s="1" t="str">
        <f>"卖出"</f>
        <v>卖出</v>
      </c>
      <c r="F305" s="1" t="str">
        <f>"拆出质押购回"</f>
        <v>拆出质押购回</v>
      </c>
      <c r="G305" s="13">
        <v>8.06</v>
      </c>
      <c r="H305" s="1">
        <v>-760</v>
      </c>
      <c r="I305" s="5">
        <v>76083.91</v>
      </c>
      <c r="J305" s="5">
        <v>1</v>
      </c>
      <c r="K305" s="1">
        <v>0</v>
      </c>
      <c r="L305" s="1" t="str">
        <f>"0184500716"</f>
        <v>0184500716</v>
      </c>
      <c r="M305" s="1" t="str">
        <f>"融券购回:83.91实际占款天数：5-131990"</f>
        <v>融券购回:83.91实际占款天数：5-131990</v>
      </c>
    </row>
    <row r="306" spans="1:13" x14ac:dyDescent="0.2">
      <c r="A306" s="3" t="str">
        <f>"2427"</f>
        <v>2427</v>
      </c>
      <c r="B306" s="4">
        <v>43222</v>
      </c>
      <c r="C306" s="4" t="s">
        <v>34</v>
      </c>
      <c r="D306" s="11">
        <v>940018</v>
      </c>
      <c r="E306" s="1" t="str">
        <f>"卖出"</f>
        <v>卖出</v>
      </c>
      <c r="F306" s="1" t="str">
        <f>"基金资金拨出"</f>
        <v>基金资金拨出</v>
      </c>
      <c r="G306" s="13">
        <v>0</v>
      </c>
      <c r="H306" s="1">
        <v>0</v>
      </c>
      <c r="I306" s="5">
        <v>-2831.72</v>
      </c>
      <c r="J306" s="5">
        <v>-2830.72</v>
      </c>
      <c r="K306" s="1">
        <v>0</v>
      </c>
      <c r="L306" s="1" t="str">
        <f t="shared" ref="L306:L307" si="62">" "</f>
        <v xml:space="preserve"> </v>
      </c>
      <c r="M306" s="1" t="str">
        <f>"122扣除金额 基金代码：940018,发生份额：2831.72"</f>
        <v>122扣除金额 基金代码：940018,发生份额：2831.72</v>
      </c>
    </row>
    <row r="307" spans="1:13" x14ac:dyDescent="0.2">
      <c r="A307" s="3" t="str">
        <f>"2430"</f>
        <v>2430</v>
      </c>
      <c r="B307" s="4">
        <v>43222</v>
      </c>
      <c r="C307" s="4" t="s">
        <v>34</v>
      </c>
      <c r="D307" s="11">
        <v>940018</v>
      </c>
      <c r="E307" s="1" t="str">
        <f>"卖出"</f>
        <v>卖出</v>
      </c>
      <c r="F307" s="1" t="str">
        <f>"基金资金拨入"</f>
        <v>基金资金拨入</v>
      </c>
      <c r="G307" s="13">
        <v>0</v>
      </c>
      <c r="H307" s="1">
        <v>0</v>
      </c>
      <c r="I307" s="5">
        <v>192846.92</v>
      </c>
      <c r="J307" s="5">
        <v>190016.2</v>
      </c>
      <c r="K307" s="1">
        <v>0</v>
      </c>
      <c r="L307" s="1" t="str">
        <f t="shared" si="62"/>
        <v xml:space="preserve"> </v>
      </c>
      <c r="M307" s="1" t="str">
        <f>"124增加金额 基金代码：940018,发生份额：192846.92"</f>
        <v>124增加金额 基金代码：940018,发生份额：192846.92</v>
      </c>
    </row>
    <row r="308" spans="1:13" x14ac:dyDescent="0.2">
      <c r="A308" s="3" t="str">
        <f>"4548"</f>
        <v>4548</v>
      </c>
      <c r="B308" s="4">
        <v>43222</v>
      </c>
      <c r="C308" s="1" t="str">
        <f>"华宝添益"</f>
        <v>华宝添益</v>
      </c>
      <c r="D308" s="11" t="str">
        <f>"511990"</f>
        <v>511990</v>
      </c>
      <c r="E308" s="1" t="str">
        <f>"买入"</f>
        <v>买入</v>
      </c>
      <c r="F308" s="1" t="str">
        <f>"证券买入"</f>
        <v>证券买入</v>
      </c>
      <c r="G308" s="13">
        <v>100.008</v>
      </c>
      <c r="H308" s="1">
        <v>1900</v>
      </c>
      <c r="I308" s="5">
        <v>-190015.2</v>
      </c>
      <c r="J308" s="5">
        <v>1</v>
      </c>
      <c r="K308" s="1">
        <v>0</v>
      </c>
      <c r="L308" s="1" t="str">
        <f>"A280737240"</f>
        <v>A280737240</v>
      </c>
      <c r="M308" s="1" t="str">
        <f>"证券买入"</f>
        <v>证券买入</v>
      </c>
    </row>
    <row r="309" spans="1:13" x14ac:dyDescent="0.2">
      <c r="A309" s="3" t="str">
        <f>"1956"</f>
        <v>1956</v>
      </c>
      <c r="B309" s="4">
        <v>43223</v>
      </c>
      <c r="C309" s="4" t="s">
        <v>34</v>
      </c>
      <c r="D309" s="11">
        <v>940018</v>
      </c>
      <c r="E309" s="1" t="str">
        <f>"卖出"</f>
        <v>卖出</v>
      </c>
      <c r="F309" s="1" t="str">
        <f>"基金资金拨出"</f>
        <v>基金资金拨出</v>
      </c>
      <c r="G309" s="13">
        <v>0</v>
      </c>
      <c r="H309" s="1">
        <v>0</v>
      </c>
      <c r="I309" s="5">
        <v>-1</v>
      </c>
      <c r="J309" s="5">
        <v>0</v>
      </c>
      <c r="K309" s="1">
        <v>0</v>
      </c>
      <c r="L309" s="1" t="str">
        <f>" "</f>
        <v xml:space="preserve"> </v>
      </c>
      <c r="M309" s="1" t="str">
        <f>"122扣除金额 基金代码：940018,发生份额：1"</f>
        <v>122扣除金额 基金代码：940018,发生份额：1</v>
      </c>
    </row>
    <row r="310" spans="1:13" x14ac:dyDescent="0.2">
      <c r="A310" s="3" t="str">
        <f>"2202"</f>
        <v>2202</v>
      </c>
      <c r="B310" s="4">
        <v>43227</v>
      </c>
      <c r="C310" s="1" t="str">
        <f>"华宝添益"</f>
        <v>华宝添益</v>
      </c>
      <c r="D310" s="11" t="str">
        <f>"511990"</f>
        <v>511990</v>
      </c>
      <c r="E310" s="1" t="str">
        <f>"买入"</f>
        <v>买入</v>
      </c>
      <c r="F310" s="1" t="str">
        <f>"证券买入"</f>
        <v>证券买入</v>
      </c>
      <c r="G310" s="13">
        <v>100.01300000000001</v>
      </c>
      <c r="H310" s="1">
        <v>900</v>
      </c>
      <c r="I310" s="5">
        <v>-90011.7</v>
      </c>
      <c r="J310" s="5">
        <v>-90011.7</v>
      </c>
      <c r="K310" s="1">
        <v>0</v>
      </c>
      <c r="L310" s="1" t="str">
        <f>"A280737240"</f>
        <v>A280737240</v>
      </c>
      <c r="M310" s="1" t="str">
        <f>"证券买入"</f>
        <v>证券买入</v>
      </c>
    </row>
    <row r="311" spans="1:13" x14ac:dyDescent="0.2">
      <c r="A311" s="3" t="str">
        <f>"4189"</f>
        <v>4189</v>
      </c>
      <c r="B311" s="4">
        <v>43227</v>
      </c>
      <c r="C311" s="1" t="str">
        <f>"华宝油气"</f>
        <v>华宝油气</v>
      </c>
      <c r="D311" s="11" t="str">
        <f>"162411"</f>
        <v>162411</v>
      </c>
      <c r="E311" s="1" t="str">
        <f>"卖出"</f>
        <v>卖出</v>
      </c>
      <c r="F311" s="1" t="str">
        <f>"证券卖出"</f>
        <v>证券卖出</v>
      </c>
      <c r="G311" s="13">
        <v>0.62</v>
      </c>
      <c r="H311" s="1">
        <v>-148600</v>
      </c>
      <c r="I311" s="5">
        <v>92113.57</v>
      </c>
      <c r="J311" s="5">
        <v>2101.87</v>
      </c>
      <c r="K311" s="1">
        <v>18.43</v>
      </c>
      <c r="L311" s="1" t="str">
        <f>"0184500716"</f>
        <v>0184500716</v>
      </c>
      <c r="M311" s="1" t="str">
        <f>"证券卖出"</f>
        <v>证券卖出</v>
      </c>
    </row>
    <row r="312" spans="1:13" x14ac:dyDescent="0.2">
      <c r="A312" s="3" t="str">
        <f>"6578"</f>
        <v>6578</v>
      </c>
      <c r="B312" s="4">
        <v>43227</v>
      </c>
      <c r="C312" s="4" t="s">
        <v>34</v>
      </c>
      <c r="D312" s="11">
        <v>940018</v>
      </c>
      <c r="E312" s="1" t="str">
        <f>"卖出"</f>
        <v>卖出</v>
      </c>
      <c r="F312" s="1" t="str">
        <f>"基金资金拨出"</f>
        <v>基金资金拨出</v>
      </c>
      <c r="G312" s="13">
        <v>0</v>
      </c>
      <c r="H312" s="1">
        <v>0</v>
      </c>
      <c r="I312" s="5">
        <v>-2100.87</v>
      </c>
      <c r="J312" s="5">
        <v>1</v>
      </c>
      <c r="K312" s="1">
        <v>0</v>
      </c>
      <c r="L312" s="1" t="str">
        <f t="shared" ref="L312:L313" si="63">" "</f>
        <v xml:space="preserve"> </v>
      </c>
      <c r="M312" s="1" t="str">
        <f>"122扣除金额 基金代码：940018,发生份额：2100.87"</f>
        <v>122扣除金额 基金代码：940018,发生份额：2100.87</v>
      </c>
    </row>
    <row r="313" spans="1:13" x14ac:dyDescent="0.2">
      <c r="A313" s="3" t="str">
        <f>"2091"</f>
        <v>2091</v>
      </c>
      <c r="B313" s="4">
        <v>43228</v>
      </c>
      <c r="C313" s="4" t="s">
        <v>34</v>
      </c>
      <c r="D313" s="11">
        <v>940018</v>
      </c>
      <c r="E313" s="1" t="str">
        <f>"卖出"</f>
        <v>卖出</v>
      </c>
      <c r="F313" s="1" t="str">
        <f>"基金资金拨出"</f>
        <v>基金资金拨出</v>
      </c>
      <c r="G313" s="13">
        <v>0</v>
      </c>
      <c r="H313" s="1">
        <v>0</v>
      </c>
      <c r="I313" s="5">
        <v>-1</v>
      </c>
      <c r="J313" s="5">
        <v>0</v>
      </c>
      <c r="K313" s="1">
        <v>0</v>
      </c>
      <c r="L313" s="1" t="str">
        <f t="shared" si="63"/>
        <v xml:space="preserve"> </v>
      </c>
      <c r="M313" s="1" t="str">
        <f>"122扣除金额 基金代码：940018,发生份额：1"</f>
        <v>122扣除金额 基金代码：940018,发生份额：1</v>
      </c>
    </row>
    <row r="314" spans="1:13" x14ac:dyDescent="0.2">
      <c r="A314" s="3" t="str">
        <f>"6345"</f>
        <v>6345</v>
      </c>
      <c r="B314" s="4">
        <v>43228</v>
      </c>
      <c r="C314" s="1" t="str">
        <f>"华宝添益"</f>
        <v>华宝添益</v>
      </c>
      <c r="D314" s="11" t="str">
        <f>"511990"</f>
        <v>511990</v>
      </c>
      <c r="E314" s="1" t="str">
        <f>"买入"</f>
        <v>买入</v>
      </c>
      <c r="F314" s="1" t="str">
        <f>"红股入帐"</f>
        <v>红股入帐</v>
      </c>
      <c r="G314" s="13">
        <v>100.011</v>
      </c>
      <c r="H314" s="1">
        <v>1</v>
      </c>
      <c r="I314" s="5">
        <v>0</v>
      </c>
      <c r="J314" s="5">
        <v>0</v>
      </c>
      <c r="K314" s="1">
        <v>0</v>
      </c>
      <c r="L314" s="1" t="str">
        <f>"A280737240"</f>
        <v>A280737240</v>
      </c>
      <c r="M314" s="1" t="str">
        <f>"红股入账"</f>
        <v>红股入账</v>
      </c>
    </row>
    <row r="315" spans="1:13" x14ac:dyDescent="0.2">
      <c r="A315" s="3" t="str">
        <f>"574"</f>
        <v>574</v>
      </c>
      <c r="B315" s="4">
        <v>43229</v>
      </c>
      <c r="C315" s="1" t="str">
        <f>" "</f>
        <v xml:space="preserve"> </v>
      </c>
      <c r="D315" s="11"/>
      <c r="E315" s="1" t="str">
        <f>"卖出"</f>
        <v>卖出</v>
      </c>
      <c r="F315" s="1" t="str">
        <f>"银行转存"</f>
        <v>银行转存</v>
      </c>
      <c r="G315" s="13">
        <v>0</v>
      </c>
      <c r="H315" s="1">
        <v>0</v>
      </c>
      <c r="I315" s="5">
        <v>3000</v>
      </c>
      <c r="J315" s="5">
        <v>3000</v>
      </c>
      <c r="K315" s="1">
        <v>0</v>
      </c>
      <c r="L315" s="1" t="str">
        <f>" "</f>
        <v xml:space="preserve"> </v>
      </c>
      <c r="M315" s="1" t="str">
        <f>"银行返回码[ ]返回信息[0000 交易成功]|转账成功correct_balance=0"</f>
        <v>银行返回码[ ]返回信息[0000 交易成功]|转账成功correct_balance=0</v>
      </c>
    </row>
    <row r="316" spans="1:13" x14ac:dyDescent="0.2">
      <c r="A316" s="3" t="str">
        <f>"1780"</f>
        <v>1780</v>
      </c>
      <c r="B316" s="4">
        <v>43229</v>
      </c>
      <c r="C316" s="1" t="str">
        <f>"银华日利"</f>
        <v>银华日利</v>
      </c>
      <c r="D316" s="11" t="str">
        <f>"511880"</f>
        <v>511880</v>
      </c>
      <c r="E316" s="1" t="str">
        <f>"买入"</f>
        <v>买入</v>
      </c>
      <c r="F316" s="1" t="str">
        <f>"证券买入"</f>
        <v>证券买入</v>
      </c>
      <c r="G316" s="13">
        <v>101.56</v>
      </c>
      <c r="H316" s="1">
        <v>900</v>
      </c>
      <c r="I316" s="5">
        <v>-91404</v>
      </c>
      <c r="J316" s="5">
        <v>-88404</v>
      </c>
      <c r="K316" s="1">
        <v>0</v>
      </c>
      <c r="L316" s="1" t="str">
        <f>"A280737240"</f>
        <v>A280737240</v>
      </c>
      <c r="M316" s="1" t="str">
        <f>"证券买入"</f>
        <v>证券买入</v>
      </c>
    </row>
    <row r="317" spans="1:13" x14ac:dyDescent="0.2">
      <c r="A317" s="3" t="str">
        <f>"1781"</f>
        <v>1781</v>
      </c>
      <c r="B317" s="4">
        <v>43229</v>
      </c>
      <c r="C317" s="1" t="str">
        <f>"华宝添益"</f>
        <v>华宝添益</v>
      </c>
      <c r="D317" s="11" t="str">
        <f>"511990"</f>
        <v>511990</v>
      </c>
      <c r="E317" s="1" t="str">
        <f>"买入"</f>
        <v>买入</v>
      </c>
      <c r="F317" s="1" t="str">
        <f>"证券买入"</f>
        <v>证券买入</v>
      </c>
      <c r="G317" s="13">
        <v>100.008</v>
      </c>
      <c r="H317" s="1">
        <v>100</v>
      </c>
      <c r="I317" s="5">
        <v>-10000.799999999999</v>
      </c>
      <c r="J317" s="5">
        <v>-98404.800000000003</v>
      </c>
      <c r="K317" s="1">
        <v>0</v>
      </c>
      <c r="L317" s="1" t="str">
        <f>"A280737240"</f>
        <v>A280737240</v>
      </c>
      <c r="M317" s="1" t="str">
        <f>"证券买入"</f>
        <v>证券买入</v>
      </c>
    </row>
    <row r="318" spans="1:13" x14ac:dyDescent="0.2">
      <c r="A318" s="3" t="str">
        <f>"4182"</f>
        <v>4182</v>
      </c>
      <c r="B318" s="4">
        <v>43229</v>
      </c>
      <c r="C318" s="1" t="str">
        <f>"华宝油气"</f>
        <v>华宝油气</v>
      </c>
      <c r="D318" s="11" t="str">
        <f>"162411"</f>
        <v>162411</v>
      </c>
      <c r="E318" s="1" t="str">
        <f>"卖出"</f>
        <v>卖出</v>
      </c>
      <c r="F318" s="1" t="str">
        <f>"证券卖出"</f>
        <v>证券卖出</v>
      </c>
      <c r="G318" s="13">
        <v>0.63500000000000001</v>
      </c>
      <c r="H318" s="1">
        <v>-148600</v>
      </c>
      <c r="I318" s="5">
        <v>94342.13</v>
      </c>
      <c r="J318" s="5">
        <v>-4062.67</v>
      </c>
      <c r="K318" s="1">
        <v>18.87</v>
      </c>
      <c r="L318" s="1" t="str">
        <f>"0184500716"</f>
        <v>0184500716</v>
      </c>
      <c r="M318" s="1" t="str">
        <f>"证券卖出"</f>
        <v>证券卖出</v>
      </c>
    </row>
    <row r="319" spans="1:13" x14ac:dyDescent="0.2">
      <c r="A319" s="3" t="str">
        <f>"5880"</f>
        <v>5880</v>
      </c>
      <c r="B319" s="4">
        <v>43229</v>
      </c>
      <c r="C319" s="4" t="s">
        <v>34</v>
      </c>
      <c r="D319" s="11">
        <v>940018</v>
      </c>
      <c r="E319" s="1" t="str">
        <f>"卖出"</f>
        <v>卖出</v>
      </c>
      <c r="F319" s="1" t="str">
        <f>"基金资金拨出"</f>
        <v>基金资金拨出</v>
      </c>
      <c r="G319" s="13">
        <v>0</v>
      </c>
      <c r="H319" s="1">
        <v>0</v>
      </c>
      <c r="I319" s="5">
        <v>-870.92</v>
      </c>
      <c r="J319" s="5">
        <v>-4933.59</v>
      </c>
      <c r="K319" s="1">
        <v>0</v>
      </c>
      <c r="L319" s="1" t="str">
        <f t="shared" ref="L319:L321" si="64">" "</f>
        <v xml:space="preserve"> </v>
      </c>
      <c r="M319" s="1" t="str">
        <f>"122扣除金额 基金代码：940018,发生份额：870.92"</f>
        <v>122扣除金额 基金代码：940018,发生份额：870.92</v>
      </c>
    </row>
    <row r="320" spans="1:13" x14ac:dyDescent="0.2">
      <c r="A320" s="3" t="str">
        <f>"5881"</f>
        <v>5881</v>
      </c>
      <c r="B320" s="4">
        <v>43229</v>
      </c>
      <c r="C320" s="4" t="s">
        <v>34</v>
      </c>
      <c r="D320" s="11">
        <v>940018</v>
      </c>
      <c r="E320" s="1" t="str">
        <f>"卖出"</f>
        <v>卖出</v>
      </c>
      <c r="F320" s="1" t="str">
        <f>"基金资金拨入"</f>
        <v>基金资金拨入</v>
      </c>
      <c r="G320" s="13">
        <v>0</v>
      </c>
      <c r="H320" s="1">
        <v>0</v>
      </c>
      <c r="I320" s="5">
        <v>4934.59</v>
      </c>
      <c r="J320" s="5">
        <v>1</v>
      </c>
      <c r="K320" s="1">
        <v>0</v>
      </c>
      <c r="L320" s="1" t="str">
        <f t="shared" si="64"/>
        <v xml:space="preserve"> </v>
      </c>
      <c r="M320" s="1" t="str">
        <f>"124增加金额 基金代码：940018,发生份额：4934.59"</f>
        <v>124增加金额 基金代码：940018,发生份额：4934.59</v>
      </c>
    </row>
    <row r="321" spans="1:13" x14ac:dyDescent="0.2">
      <c r="A321" s="3" t="str">
        <f>"1854"</f>
        <v>1854</v>
      </c>
      <c r="B321" s="4">
        <v>43230</v>
      </c>
      <c r="C321" s="4" t="s">
        <v>34</v>
      </c>
      <c r="D321" s="11">
        <v>940018</v>
      </c>
      <c r="E321" s="1" t="str">
        <f>"卖出"</f>
        <v>卖出</v>
      </c>
      <c r="F321" s="1" t="str">
        <f>"基金资金拨出"</f>
        <v>基金资金拨出</v>
      </c>
      <c r="G321" s="13">
        <v>0</v>
      </c>
      <c r="H321" s="1">
        <v>0</v>
      </c>
      <c r="I321" s="5">
        <v>-1</v>
      </c>
      <c r="J321" s="5">
        <v>0</v>
      </c>
      <c r="K321" s="1">
        <v>0</v>
      </c>
      <c r="L321" s="1" t="str">
        <f t="shared" si="64"/>
        <v xml:space="preserve"> </v>
      </c>
      <c r="M321" s="1" t="str">
        <f>"122扣除金额 基金代码：940018,发生份额：1"</f>
        <v>122扣除金额 基金代码：940018,发生份额：1</v>
      </c>
    </row>
    <row r="322" spans="1:13" x14ac:dyDescent="0.2">
      <c r="A322" s="3" t="str">
        <f>"6792"</f>
        <v>6792</v>
      </c>
      <c r="B322" s="4">
        <v>43231</v>
      </c>
      <c r="C322" s="1" t="str">
        <f>"华宝添益"</f>
        <v>华宝添益</v>
      </c>
      <c r="D322" s="11" t="str">
        <f>"511990"</f>
        <v>511990</v>
      </c>
      <c r="E322" s="1" t="str">
        <f>"买入"</f>
        <v>买入</v>
      </c>
      <c r="F322" s="1" t="str">
        <f>"红股入帐"</f>
        <v>红股入帐</v>
      </c>
      <c r="G322" s="13">
        <v>100.02500000000001</v>
      </c>
      <c r="H322" s="1">
        <v>1</v>
      </c>
      <c r="I322" s="5">
        <v>0</v>
      </c>
      <c r="J322" s="5">
        <v>0</v>
      </c>
      <c r="K322" s="1">
        <v>0</v>
      </c>
      <c r="L322" s="1" t="str">
        <f>"A280737240"</f>
        <v>A280737240</v>
      </c>
      <c r="M322" s="1" t="str">
        <f>"红股入账"</f>
        <v>红股入账</v>
      </c>
    </row>
    <row r="323" spans="1:13" x14ac:dyDescent="0.2">
      <c r="A323" s="3" t="str">
        <f>"2942"</f>
        <v>2942</v>
      </c>
      <c r="B323" s="4">
        <v>43234</v>
      </c>
      <c r="C323" s="4" t="s">
        <v>34</v>
      </c>
      <c r="D323" s="11">
        <v>940018</v>
      </c>
      <c r="E323" s="1" t="str">
        <f t="shared" ref="E323:E328" si="65">"卖出"</f>
        <v>卖出</v>
      </c>
      <c r="F323" s="1" t="str">
        <f>"基金资金拨出"</f>
        <v>基金资金拨出</v>
      </c>
      <c r="G323" s="13">
        <v>0</v>
      </c>
      <c r="H323" s="1">
        <v>0</v>
      </c>
      <c r="I323" s="5">
        <v>-29999.599999999999</v>
      </c>
      <c r="J323" s="5">
        <v>-29999.599999999999</v>
      </c>
      <c r="K323" s="1">
        <v>0</v>
      </c>
      <c r="L323" s="1" t="str">
        <f>" "</f>
        <v xml:space="preserve"> </v>
      </c>
      <c r="M323" s="1" t="str">
        <f>"122扣除金额 基金代码：940018,发生份额：29999.6"</f>
        <v>122扣除金额 基金代码：940018,发生份额：29999.6</v>
      </c>
    </row>
    <row r="324" spans="1:13" x14ac:dyDescent="0.2">
      <c r="A324" s="3" t="str">
        <f>"3476"</f>
        <v>3476</v>
      </c>
      <c r="B324" s="4">
        <v>43234</v>
      </c>
      <c r="C324" s="1" t="str">
        <f>"华宝添益"</f>
        <v>华宝添益</v>
      </c>
      <c r="D324" s="11" t="str">
        <f>"511990"</f>
        <v>511990</v>
      </c>
      <c r="E324" s="1" t="str">
        <f t="shared" si="65"/>
        <v>卖出</v>
      </c>
      <c r="F324" s="1" t="str">
        <f>"证券卖出"</f>
        <v>证券卖出</v>
      </c>
      <c r="G324" s="13">
        <v>100.002</v>
      </c>
      <c r="H324" s="1">
        <v>-300</v>
      </c>
      <c r="I324" s="5">
        <v>30000.6</v>
      </c>
      <c r="J324" s="5">
        <v>1</v>
      </c>
      <c r="K324" s="1">
        <v>0</v>
      </c>
      <c r="L324" s="1" t="str">
        <f>"A280737240"</f>
        <v>A280737240</v>
      </c>
      <c r="M324" s="1" t="str">
        <f>"证券卖出"</f>
        <v>证券卖出</v>
      </c>
    </row>
    <row r="325" spans="1:13" x14ac:dyDescent="0.2">
      <c r="A325" s="3" t="str">
        <f>"287"</f>
        <v>287</v>
      </c>
      <c r="B325" s="4">
        <v>43235</v>
      </c>
      <c r="C325" s="4" t="s">
        <v>34</v>
      </c>
      <c r="D325" s="11">
        <v>940018</v>
      </c>
      <c r="E325" s="1" t="str">
        <f t="shared" si="65"/>
        <v>卖出</v>
      </c>
      <c r="F325" s="1" t="str">
        <f>"资管转让资金上账"</f>
        <v>资管转让资金上账</v>
      </c>
      <c r="G325" s="13">
        <v>0</v>
      </c>
      <c r="H325" s="1">
        <v>0</v>
      </c>
      <c r="I325" s="5">
        <v>30871</v>
      </c>
      <c r="J325" s="5">
        <v>30872</v>
      </c>
      <c r="K325" s="1">
        <v>0</v>
      </c>
      <c r="L325" s="1" t="str">
        <f t="shared" ref="C325:L327" si="66">" "</f>
        <v xml:space="preserve"> </v>
      </c>
      <c r="M325" s="1" t="str">
        <f>"快速取现退出资金拨入,产品代码940018,对方资产账户40000545correct_balance=0"</f>
        <v>快速取现退出资金拨入,产品代码940018,对方资产账户40000545correct_balance=0</v>
      </c>
    </row>
    <row r="326" spans="1:13" x14ac:dyDescent="0.2">
      <c r="A326" s="3" t="str">
        <f>"452"</f>
        <v>452</v>
      </c>
      <c r="B326" s="4">
        <v>43235</v>
      </c>
      <c r="C326" s="1" t="str">
        <f t="shared" si="66"/>
        <v xml:space="preserve"> </v>
      </c>
      <c r="D326" s="11"/>
      <c r="E326" s="1" t="str">
        <f t="shared" si="65"/>
        <v>卖出</v>
      </c>
      <c r="F326" s="1" t="str">
        <f>"银行转取"</f>
        <v>银行转取</v>
      </c>
      <c r="G326" s="13">
        <v>0</v>
      </c>
      <c r="H326" s="1">
        <v>0</v>
      </c>
      <c r="I326" s="5">
        <v>-30872</v>
      </c>
      <c r="J326" s="5">
        <v>0</v>
      </c>
      <c r="K326" s="1">
        <v>0</v>
      </c>
      <c r="L326" s="1" t="str">
        <f t="shared" si="66"/>
        <v xml:space="preserve"> </v>
      </c>
      <c r="M326" s="1" t="str">
        <f>"银行返回码[ ]返回信息[0000 交易成功]|转账成功correct_balance=30872"</f>
        <v>银行返回码[ ]返回信息[0000 交易成功]|转账成功correct_balance=30872</v>
      </c>
    </row>
    <row r="327" spans="1:13" x14ac:dyDescent="0.2">
      <c r="A327" s="3" t="str">
        <f>"2047"</f>
        <v>2047</v>
      </c>
      <c r="B327" s="4">
        <v>43235</v>
      </c>
      <c r="C327" s="4" t="s">
        <v>34</v>
      </c>
      <c r="D327" s="11">
        <v>940018</v>
      </c>
      <c r="E327" s="1" t="str">
        <f t="shared" si="65"/>
        <v>卖出</v>
      </c>
      <c r="F327" s="1" t="str">
        <f>"基金资金拨出"</f>
        <v>基金资金拨出</v>
      </c>
      <c r="G327" s="13">
        <v>0</v>
      </c>
      <c r="H327" s="1">
        <v>0</v>
      </c>
      <c r="I327" s="5">
        <v>-25125.02</v>
      </c>
      <c r="J327" s="5">
        <v>-25125.02</v>
      </c>
      <c r="K327" s="1">
        <v>0</v>
      </c>
      <c r="L327" s="1" t="str">
        <f t="shared" si="66"/>
        <v xml:space="preserve"> </v>
      </c>
      <c r="M327" s="1" t="str">
        <f>"122扣除金额 基金代码：940018,发生份额：25125.02"</f>
        <v>122扣除金额 基金代码：940018,发生份额：25125.02</v>
      </c>
    </row>
    <row r="328" spans="1:13" x14ac:dyDescent="0.2">
      <c r="A328" s="3" t="str">
        <f>"3085"</f>
        <v>3085</v>
      </c>
      <c r="B328" s="4">
        <v>43235</v>
      </c>
      <c r="C328" s="1" t="str">
        <f>"华宝添益"</f>
        <v>华宝添益</v>
      </c>
      <c r="D328" s="11" t="str">
        <f>"511990"</f>
        <v>511990</v>
      </c>
      <c r="E328" s="1" t="str">
        <f t="shared" si="65"/>
        <v>卖出</v>
      </c>
      <c r="F328" s="1" t="str">
        <f>"证券卖出"</f>
        <v>证券卖出</v>
      </c>
      <c r="G328" s="13">
        <v>99.995999999999995</v>
      </c>
      <c r="H328" s="1">
        <v>-500</v>
      </c>
      <c r="I328" s="5">
        <v>49998</v>
      </c>
      <c r="J328" s="5">
        <v>24872.98</v>
      </c>
      <c r="K328" s="1">
        <v>0</v>
      </c>
      <c r="L328" s="1" t="str">
        <f t="shared" ref="L328:L334" si="67">"A280737240"</f>
        <v>A280737240</v>
      </c>
      <c r="M328" s="1" t="str">
        <f>"证券卖出"</f>
        <v>证券卖出</v>
      </c>
    </row>
    <row r="329" spans="1:13" x14ac:dyDescent="0.2">
      <c r="A329" s="3" t="str">
        <f>"3086"</f>
        <v>3086</v>
      </c>
      <c r="B329" s="4">
        <v>43235</v>
      </c>
      <c r="C329" s="1" t="str">
        <f>"黄金ETF"</f>
        <v>黄金ETF</v>
      </c>
      <c r="D329" s="11" t="str">
        <f>"518880"</f>
        <v>518880</v>
      </c>
      <c r="E329" s="1" t="str">
        <f>"买入"</f>
        <v>买入</v>
      </c>
      <c r="F329" s="1" t="str">
        <f>"证券买入"</f>
        <v>证券买入</v>
      </c>
      <c r="G329" s="13">
        <v>2.6840000000000002</v>
      </c>
      <c r="H329" s="1">
        <v>2400</v>
      </c>
      <c r="I329" s="5">
        <v>-6442.89</v>
      </c>
      <c r="J329" s="5">
        <v>18430.09</v>
      </c>
      <c r="K329" s="1">
        <v>1.29</v>
      </c>
      <c r="L329" s="1" t="str">
        <f t="shared" si="67"/>
        <v>A280737240</v>
      </c>
      <c r="M329" s="1" t="str">
        <f>"证券买入"</f>
        <v>证券买入</v>
      </c>
    </row>
    <row r="330" spans="1:13" x14ac:dyDescent="0.2">
      <c r="A330" s="3" t="str">
        <f>"3087"</f>
        <v>3087</v>
      </c>
      <c r="B330" s="4">
        <v>43235</v>
      </c>
      <c r="C330" s="1" t="str">
        <f>"环保ETF"</f>
        <v>环保ETF</v>
      </c>
      <c r="D330" s="11" t="str">
        <f>"512580"</f>
        <v>512580</v>
      </c>
      <c r="E330" s="1" t="str">
        <f>"买入"</f>
        <v>买入</v>
      </c>
      <c r="F330" s="1" t="str">
        <f>"证券买入"</f>
        <v>证券买入</v>
      </c>
      <c r="G330" s="13">
        <v>0.91800000000000004</v>
      </c>
      <c r="H330" s="1">
        <v>20900</v>
      </c>
      <c r="I330" s="5">
        <v>-19190.04</v>
      </c>
      <c r="J330" s="5">
        <v>-759.95</v>
      </c>
      <c r="K330" s="1">
        <v>3.84</v>
      </c>
      <c r="L330" s="1" t="str">
        <f t="shared" si="67"/>
        <v>A280737240</v>
      </c>
      <c r="M330" s="1" t="str">
        <f>"证券买入"</f>
        <v>证券买入</v>
      </c>
    </row>
    <row r="331" spans="1:13" x14ac:dyDescent="0.2">
      <c r="A331" s="3" t="str">
        <f>"3088"</f>
        <v>3088</v>
      </c>
      <c r="B331" s="4">
        <v>43235</v>
      </c>
      <c r="C331" s="1" t="str">
        <f>"华宝添益"</f>
        <v>华宝添益</v>
      </c>
      <c r="D331" s="11" t="str">
        <f>"511990"</f>
        <v>511990</v>
      </c>
      <c r="E331" s="1" t="str">
        <f>"卖出"</f>
        <v>卖出</v>
      </c>
      <c r="F331" s="1" t="str">
        <f>"证券卖出"</f>
        <v>证券卖出</v>
      </c>
      <c r="G331" s="13">
        <v>99.995999999999995</v>
      </c>
      <c r="H331" s="1">
        <v>-200</v>
      </c>
      <c r="I331" s="5">
        <v>19999.2</v>
      </c>
      <c r="J331" s="5">
        <v>19239.25</v>
      </c>
      <c r="K331" s="1">
        <v>0</v>
      </c>
      <c r="L331" s="1" t="str">
        <f t="shared" si="67"/>
        <v>A280737240</v>
      </c>
      <c r="M331" s="1" t="str">
        <f>"证券卖出"</f>
        <v>证券卖出</v>
      </c>
    </row>
    <row r="332" spans="1:13" x14ac:dyDescent="0.2">
      <c r="A332" s="3" t="str">
        <f>"3089"</f>
        <v>3089</v>
      </c>
      <c r="B332" s="4">
        <v>43235</v>
      </c>
      <c r="C332" s="1" t="str">
        <f>"证券ETF"</f>
        <v>证券ETF</v>
      </c>
      <c r="D332" s="11" t="str">
        <f>"512880"</f>
        <v>512880</v>
      </c>
      <c r="E332" s="1" t="str">
        <f>"买入"</f>
        <v>买入</v>
      </c>
      <c r="F332" s="1" t="str">
        <f>"证券买入"</f>
        <v>证券买入</v>
      </c>
      <c r="G332" s="13">
        <v>0.88900000000000001</v>
      </c>
      <c r="H332" s="1">
        <v>14400</v>
      </c>
      <c r="I332" s="5">
        <v>-12804.16</v>
      </c>
      <c r="J332" s="5">
        <v>6435.09</v>
      </c>
      <c r="K332" s="1">
        <v>2.56</v>
      </c>
      <c r="L332" s="1" t="str">
        <f t="shared" si="67"/>
        <v>A280737240</v>
      </c>
      <c r="M332" s="1" t="str">
        <f>"证券买入"</f>
        <v>证券买入</v>
      </c>
    </row>
    <row r="333" spans="1:13" x14ac:dyDescent="0.2">
      <c r="A333" s="3" t="str">
        <f>"3090"</f>
        <v>3090</v>
      </c>
      <c r="B333" s="4">
        <v>43235</v>
      </c>
      <c r="C333" s="1" t="str">
        <f>"传媒ETF"</f>
        <v>传媒ETF</v>
      </c>
      <c r="D333" s="11" t="str">
        <f>"512980"</f>
        <v>512980</v>
      </c>
      <c r="E333" s="1" t="str">
        <f>"买入"</f>
        <v>买入</v>
      </c>
      <c r="F333" s="1" t="str">
        <f>"证券买入"</f>
        <v>证券买入</v>
      </c>
      <c r="G333" s="13">
        <v>0.94599999999999995</v>
      </c>
      <c r="H333" s="1">
        <v>6800</v>
      </c>
      <c r="I333" s="5">
        <v>-6434.09</v>
      </c>
      <c r="J333" s="5">
        <v>1</v>
      </c>
      <c r="K333" s="1">
        <v>1.29</v>
      </c>
      <c r="L333" s="1" t="str">
        <f t="shared" si="67"/>
        <v>A280737240</v>
      </c>
      <c r="M333" s="1" t="str">
        <f>"证券买入"</f>
        <v>证券买入</v>
      </c>
    </row>
    <row r="334" spans="1:13" x14ac:dyDescent="0.2">
      <c r="A334" s="3" t="str">
        <f>"6152"</f>
        <v>6152</v>
      </c>
      <c r="B334" s="4">
        <v>43235</v>
      </c>
      <c r="C334" s="1" t="str">
        <f>"华宝添益"</f>
        <v>华宝添益</v>
      </c>
      <c r="D334" s="11" t="str">
        <f>"511990"</f>
        <v>511990</v>
      </c>
      <c r="E334" s="1" t="str">
        <f>"买入"</f>
        <v>买入</v>
      </c>
      <c r="F334" s="1" t="str">
        <f>"红股入帐"</f>
        <v>红股入帐</v>
      </c>
      <c r="G334" s="13">
        <v>100</v>
      </c>
      <c r="H334" s="1">
        <v>1</v>
      </c>
      <c r="I334" s="5">
        <v>0</v>
      </c>
      <c r="J334" s="5">
        <v>1</v>
      </c>
      <c r="K334" s="1">
        <v>0</v>
      </c>
      <c r="L334" s="1" t="str">
        <f t="shared" si="67"/>
        <v>A280737240</v>
      </c>
      <c r="M334" s="1" t="str">
        <f>"红股入账"</f>
        <v>红股入账</v>
      </c>
    </row>
    <row r="335" spans="1:13" x14ac:dyDescent="0.2">
      <c r="A335" s="3" t="str">
        <f>"1852"</f>
        <v>1852</v>
      </c>
      <c r="B335" s="4">
        <v>43236</v>
      </c>
      <c r="C335" s="4" t="s">
        <v>34</v>
      </c>
      <c r="D335" s="11">
        <v>940018</v>
      </c>
      <c r="E335" s="1" t="str">
        <f>"卖出"</f>
        <v>卖出</v>
      </c>
      <c r="F335" s="1" t="str">
        <f>"基金资金拨出"</f>
        <v>基金资金拨出</v>
      </c>
      <c r="G335" s="13">
        <v>0</v>
      </c>
      <c r="H335" s="1">
        <v>0</v>
      </c>
      <c r="I335" s="5">
        <v>-1</v>
      </c>
      <c r="J335" s="5">
        <v>0</v>
      </c>
      <c r="K335" s="1">
        <v>0</v>
      </c>
      <c r="L335" s="1" t="str">
        <f t="shared" ref="L335:L337" si="68">" "</f>
        <v xml:space="preserve"> </v>
      </c>
      <c r="M335" s="1" t="str">
        <f>"122扣除金额 基金代码：940018,发生份额：1"</f>
        <v>122扣除金额 基金代码：940018,发生份额：1</v>
      </c>
    </row>
    <row r="336" spans="1:13" x14ac:dyDescent="0.2">
      <c r="A336" s="3" t="str">
        <f>"1944"</f>
        <v>1944</v>
      </c>
      <c r="B336" s="4">
        <v>43237</v>
      </c>
      <c r="C336" s="4" t="s">
        <v>34</v>
      </c>
      <c r="D336" s="11">
        <v>940018</v>
      </c>
      <c r="E336" s="1" t="str">
        <f>"卖出"</f>
        <v>卖出</v>
      </c>
      <c r="F336" s="1" t="str">
        <f>"基金资金拨出"</f>
        <v>基金资金拨出</v>
      </c>
      <c r="G336" s="13">
        <v>0</v>
      </c>
      <c r="H336" s="1">
        <v>0</v>
      </c>
      <c r="I336" s="5">
        <v>-24125.54</v>
      </c>
      <c r="J336" s="5">
        <v>-24125.54</v>
      </c>
      <c r="K336" s="1">
        <v>0</v>
      </c>
      <c r="L336" s="1" t="str">
        <f t="shared" si="68"/>
        <v xml:space="preserve"> </v>
      </c>
      <c r="M336" s="1" t="str">
        <f>"122扣除金额 基金代码：940018,发生份额：24125.54"</f>
        <v>122扣除金额 基金代码：940018,发生份额：24125.54</v>
      </c>
    </row>
    <row r="337" spans="1:13" x14ac:dyDescent="0.2">
      <c r="A337" s="3" t="str">
        <f>"1945"</f>
        <v>1945</v>
      </c>
      <c r="B337" s="4">
        <v>43237</v>
      </c>
      <c r="C337" s="4" t="s">
        <v>34</v>
      </c>
      <c r="D337" s="11">
        <v>940018</v>
      </c>
      <c r="E337" s="1" t="str">
        <f>"卖出"</f>
        <v>卖出</v>
      </c>
      <c r="F337" s="1" t="str">
        <f>"基金资金拨入"</f>
        <v>基金资金拨入</v>
      </c>
      <c r="G337" s="13">
        <v>0</v>
      </c>
      <c r="H337" s="1">
        <v>0</v>
      </c>
      <c r="I337" s="5">
        <v>25126.54</v>
      </c>
      <c r="J337" s="5">
        <v>1001</v>
      </c>
      <c r="K337" s="1">
        <v>0</v>
      </c>
      <c r="L337" s="1" t="str">
        <f t="shared" si="68"/>
        <v xml:space="preserve"> </v>
      </c>
      <c r="M337" s="1" t="str">
        <f>"124增加金额 基金代码：940018,发生份额：25126.54"</f>
        <v>124增加金额 基金代码：940018,发生份额：25126.54</v>
      </c>
    </row>
    <row r="338" spans="1:13" x14ac:dyDescent="0.2">
      <c r="A338" s="3" t="str">
        <f>"6144"</f>
        <v>6144</v>
      </c>
      <c r="B338" s="4">
        <v>43237</v>
      </c>
      <c r="C338" s="1" t="str">
        <f>"添富快线"</f>
        <v>添富快线</v>
      </c>
      <c r="D338" s="11" t="str">
        <f>"519888"</f>
        <v>519888</v>
      </c>
      <c r="E338" s="1" t="str">
        <f>"买入"</f>
        <v>买入</v>
      </c>
      <c r="F338" s="1" t="str">
        <f>"货币基金申购"</f>
        <v>货币基金申购</v>
      </c>
      <c r="G338" s="13">
        <v>0.01</v>
      </c>
      <c r="H338" s="1">
        <v>100000</v>
      </c>
      <c r="I338" s="5">
        <v>-1000</v>
      </c>
      <c r="J338" s="5">
        <v>1</v>
      </c>
      <c r="K338" s="1">
        <v>0</v>
      </c>
      <c r="L338" s="1" t="str">
        <f>"A280737240"</f>
        <v>A280737240</v>
      </c>
      <c r="M338" s="1" t="str">
        <f>"货币基金申购"</f>
        <v>货币基金申购</v>
      </c>
    </row>
    <row r="339" spans="1:13" x14ac:dyDescent="0.2">
      <c r="A339" s="3" t="str">
        <f>"2038"</f>
        <v>2038</v>
      </c>
      <c r="B339" s="4">
        <v>43238</v>
      </c>
      <c r="C339" s="4" t="s">
        <v>34</v>
      </c>
      <c r="D339" s="11">
        <v>940018</v>
      </c>
      <c r="E339" s="1" t="str">
        <f>"卖出"</f>
        <v>卖出</v>
      </c>
      <c r="F339" s="1" t="str">
        <f>"基金资金拨出"</f>
        <v>基金资金拨出</v>
      </c>
      <c r="G339" s="13">
        <v>0</v>
      </c>
      <c r="H339" s="1">
        <v>0</v>
      </c>
      <c r="I339" s="5">
        <v>-1000</v>
      </c>
      <c r="J339" s="5">
        <v>-999</v>
      </c>
      <c r="K339" s="1">
        <v>0</v>
      </c>
      <c r="L339" s="1" t="str">
        <f>" "</f>
        <v xml:space="preserve"> </v>
      </c>
      <c r="M339" s="1" t="str">
        <f>"122扣除金额 基金代码：940018,发生份额：1000"</f>
        <v>122扣除金额 基金代码：940018,发生份额：1000</v>
      </c>
    </row>
    <row r="340" spans="1:13" x14ac:dyDescent="0.2">
      <c r="A340" s="3" t="str">
        <f>"6157"</f>
        <v>6157</v>
      </c>
      <c r="B340" s="4">
        <v>43238</v>
      </c>
      <c r="C340" s="1" t="str">
        <f>"添富快线"</f>
        <v>添富快线</v>
      </c>
      <c r="D340" s="11" t="str">
        <f>"519888"</f>
        <v>519888</v>
      </c>
      <c r="E340" s="1" t="str">
        <f>"卖出"</f>
        <v>卖出</v>
      </c>
      <c r="F340" s="1" t="str">
        <f>"货币基金赎回"</f>
        <v>货币基金赎回</v>
      </c>
      <c r="G340" s="13">
        <v>0.01</v>
      </c>
      <c r="H340" s="1">
        <v>-100000</v>
      </c>
      <c r="I340" s="5">
        <v>1000</v>
      </c>
      <c r="J340" s="5">
        <v>1</v>
      </c>
      <c r="K340" s="1">
        <v>0</v>
      </c>
      <c r="L340" s="1" t="str">
        <f>"A280737240"</f>
        <v>A280737240</v>
      </c>
      <c r="M340" s="1" t="str">
        <f>"货币基金赎回"</f>
        <v>货币基金赎回</v>
      </c>
    </row>
    <row r="341" spans="1:13" x14ac:dyDescent="0.2">
      <c r="A341" s="3" t="str">
        <f>"6159"</f>
        <v>6159</v>
      </c>
      <c r="B341" s="4">
        <v>43238</v>
      </c>
      <c r="C341" s="1" t="str">
        <f>"添富快线"</f>
        <v>添富快线</v>
      </c>
      <c r="D341" s="11" t="str">
        <f>"519888"</f>
        <v>519888</v>
      </c>
      <c r="E341" s="1" t="str">
        <f>"买入"</f>
        <v>买入</v>
      </c>
      <c r="F341" s="1" t="str">
        <f>"红股入帐"</f>
        <v>红股入帐</v>
      </c>
      <c r="G341" s="13">
        <v>0.01</v>
      </c>
      <c r="H341" s="1">
        <v>9</v>
      </c>
      <c r="I341" s="5">
        <v>0</v>
      </c>
      <c r="J341" s="5">
        <v>1</v>
      </c>
      <c r="K341" s="1">
        <v>0</v>
      </c>
      <c r="L341" s="1" t="str">
        <f>"A280737240"</f>
        <v>A280737240</v>
      </c>
      <c r="M341" s="1" t="str">
        <f>"红股入账"</f>
        <v>红股入账</v>
      </c>
    </row>
    <row r="342" spans="1:13" x14ac:dyDescent="0.2">
      <c r="A342" s="3" t="str">
        <f>"4813"</f>
        <v>4813</v>
      </c>
      <c r="B342" s="4">
        <v>43241</v>
      </c>
      <c r="C342" s="1" t="str">
        <f>"华宝添益"</f>
        <v>华宝添益</v>
      </c>
      <c r="D342" s="11" t="str">
        <f>"511990"</f>
        <v>511990</v>
      </c>
      <c r="E342" s="1" t="str">
        <f>"买入"</f>
        <v>买入</v>
      </c>
      <c r="F342" s="1" t="str">
        <f>"红股入帐"</f>
        <v>红股入帐</v>
      </c>
      <c r="G342" s="13">
        <v>100</v>
      </c>
      <c r="H342" s="1">
        <v>1</v>
      </c>
      <c r="I342" s="5">
        <v>0</v>
      </c>
      <c r="J342" s="5">
        <v>1</v>
      </c>
      <c r="K342" s="1">
        <v>0</v>
      </c>
      <c r="L342" s="1" t="str">
        <f>"A280737240"</f>
        <v>A280737240</v>
      </c>
      <c r="M342" s="1" t="str">
        <f>"红股入账"</f>
        <v>红股入账</v>
      </c>
    </row>
    <row r="343" spans="1:13" x14ac:dyDescent="0.2">
      <c r="A343" s="3" t="str">
        <f>"4846"</f>
        <v>4846</v>
      </c>
      <c r="B343" s="4">
        <v>43241</v>
      </c>
      <c r="C343" s="1" t="str">
        <f>"华宝油气"</f>
        <v>华宝油气</v>
      </c>
      <c r="D343" s="11" t="str">
        <f>"162411"</f>
        <v>162411</v>
      </c>
      <c r="E343" s="1" t="str">
        <f t="shared" ref="E343:E350" si="69">"卖出"</f>
        <v>卖出</v>
      </c>
      <c r="F343" s="1" t="str">
        <f>"开放基金赎回"</f>
        <v>开放基金赎回</v>
      </c>
      <c r="G343" s="13">
        <v>0.68200000000000005</v>
      </c>
      <c r="H343" s="1">
        <v>-100</v>
      </c>
      <c r="I343" s="5">
        <v>0</v>
      </c>
      <c r="J343" s="5">
        <v>1</v>
      </c>
      <c r="K343" s="1">
        <v>0</v>
      </c>
      <c r="L343" s="1" t="str">
        <f>"0184500716"</f>
        <v>0184500716</v>
      </c>
      <c r="M343" s="1" t="str">
        <f>"20180525|124|赎回份额交收|.34|"</f>
        <v>20180525|124|赎回份额交收|.34|</v>
      </c>
    </row>
    <row r="344" spans="1:13" x14ac:dyDescent="0.2">
      <c r="A344" s="3" t="str">
        <f>"6762"</f>
        <v>6762</v>
      </c>
      <c r="B344" s="4">
        <v>43241</v>
      </c>
      <c r="C344" s="4" t="s">
        <v>34</v>
      </c>
      <c r="D344" s="11">
        <v>940018</v>
      </c>
      <c r="E344" s="1" t="str">
        <f t="shared" si="69"/>
        <v>卖出</v>
      </c>
      <c r="F344" s="1" t="str">
        <f>"基金资金拨出"</f>
        <v>基金资金拨出</v>
      </c>
      <c r="G344" s="13">
        <v>0</v>
      </c>
      <c r="H344" s="1">
        <v>0</v>
      </c>
      <c r="I344" s="5">
        <v>-1</v>
      </c>
      <c r="J344" s="5">
        <v>0</v>
      </c>
      <c r="K344" s="1">
        <v>0</v>
      </c>
      <c r="L344" s="1" t="str">
        <f>" "</f>
        <v xml:space="preserve"> </v>
      </c>
      <c r="M344" s="1" t="str">
        <f>"122扣除金额 基金代码：940018,发生份额：1"</f>
        <v>122扣除金额 基金代码：940018,发生份额：1</v>
      </c>
    </row>
    <row r="345" spans="1:13" x14ac:dyDescent="0.2">
      <c r="A345" s="3" t="str">
        <f>"4914"</f>
        <v>4914</v>
      </c>
      <c r="B345" s="4">
        <v>43243</v>
      </c>
      <c r="C345" s="1" t="str">
        <f>"添富快线"</f>
        <v>添富快线</v>
      </c>
      <c r="D345" s="11" t="str">
        <f>"519888"</f>
        <v>519888</v>
      </c>
      <c r="E345" s="1" t="str">
        <f t="shared" si="69"/>
        <v>卖出</v>
      </c>
      <c r="F345" s="1" t="str">
        <f>"货币基金赎回"</f>
        <v>货币基金赎回</v>
      </c>
      <c r="G345" s="13">
        <v>0.01</v>
      </c>
      <c r="H345" s="1">
        <v>-9</v>
      </c>
      <c r="I345" s="5">
        <v>0.09</v>
      </c>
      <c r="J345" s="5">
        <v>0.09</v>
      </c>
      <c r="K345" s="1">
        <v>0</v>
      </c>
      <c r="L345" s="1" t="str">
        <f>"A280737240"</f>
        <v>A280737240</v>
      </c>
      <c r="M345" s="1" t="str">
        <f>"货币基金赎回"</f>
        <v>货币基金赎回</v>
      </c>
    </row>
    <row r="346" spans="1:13" x14ac:dyDescent="0.2">
      <c r="A346" s="3" t="str">
        <f>"7047"</f>
        <v>7047</v>
      </c>
      <c r="B346" s="4">
        <v>43243</v>
      </c>
      <c r="C346" s="4" t="s">
        <v>34</v>
      </c>
      <c r="D346" s="11">
        <v>940018</v>
      </c>
      <c r="E346" s="1" t="str">
        <f t="shared" si="69"/>
        <v>卖出</v>
      </c>
      <c r="F346" s="1" t="str">
        <f>"基金资金拨出"</f>
        <v>基金资金拨出</v>
      </c>
      <c r="G346" s="13">
        <v>0</v>
      </c>
      <c r="H346" s="1">
        <v>0</v>
      </c>
      <c r="I346" s="5">
        <v>-18691.54</v>
      </c>
      <c r="J346" s="5">
        <v>-18691.45</v>
      </c>
      <c r="K346" s="1">
        <v>0</v>
      </c>
      <c r="L346" s="1" t="str">
        <f t="shared" ref="L346:L350" si="70">" "</f>
        <v xml:space="preserve"> </v>
      </c>
      <c r="M346" s="1" t="str">
        <f>"122扣除金额 基金代码：940018,发生份额：18691.54"</f>
        <v>122扣除金额 基金代码：940018,发生份额：18691.54</v>
      </c>
    </row>
    <row r="347" spans="1:13" x14ac:dyDescent="0.2">
      <c r="A347" s="3" t="str">
        <f>"7048"</f>
        <v>7048</v>
      </c>
      <c r="B347" s="4">
        <v>43243</v>
      </c>
      <c r="C347" s="4" t="s">
        <v>34</v>
      </c>
      <c r="D347" s="11">
        <v>940018</v>
      </c>
      <c r="E347" s="1" t="str">
        <f t="shared" si="69"/>
        <v>卖出</v>
      </c>
      <c r="F347" s="1" t="str">
        <f>"基金资金拨入"</f>
        <v>基金资金拨入</v>
      </c>
      <c r="G347" s="13">
        <v>0</v>
      </c>
      <c r="H347" s="1">
        <v>0</v>
      </c>
      <c r="I347" s="5">
        <v>25126.54</v>
      </c>
      <c r="J347" s="5">
        <v>6435.09</v>
      </c>
      <c r="K347" s="1">
        <v>0</v>
      </c>
      <c r="L347" s="1" t="str">
        <f t="shared" si="70"/>
        <v xml:space="preserve"> </v>
      </c>
      <c r="M347" s="1" t="str">
        <f>"124增加金额 基金代码：940018,发生份额：25126.54"</f>
        <v>124增加金额 基金代码：940018,发生份额：25126.54</v>
      </c>
    </row>
    <row r="348" spans="1:13" x14ac:dyDescent="0.2">
      <c r="A348" s="3" t="str">
        <f>"2285"</f>
        <v>2285</v>
      </c>
      <c r="B348" s="4">
        <v>43244</v>
      </c>
      <c r="C348" s="4" t="s">
        <v>34</v>
      </c>
      <c r="D348" s="11">
        <v>940018</v>
      </c>
      <c r="E348" s="1" t="str">
        <f t="shared" si="69"/>
        <v>卖出</v>
      </c>
      <c r="F348" s="1" t="str">
        <f>"基金资金拨出"</f>
        <v>基金资金拨出</v>
      </c>
      <c r="G348" s="13">
        <v>0</v>
      </c>
      <c r="H348" s="1">
        <v>0</v>
      </c>
      <c r="I348" s="5">
        <v>-6435.09</v>
      </c>
      <c r="J348" s="5">
        <v>0</v>
      </c>
      <c r="K348" s="1">
        <v>0</v>
      </c>
      <c r="L348" s="1" t="str">
        <f t="shared" si="70"/>
        <v xml:space="preserve"> </v>
      </c>
      <c r="M348" s="1" t="str">
        <f>"122扣除金额 基金代码：940018,发生份额：6435.09"</f>
        <v>122扣除金额 基金代码：940018,发生份额：6435.09</v>
      </c>
    </row>
    <row r="349" spans="1:13" x14ac:dyDescent="0.2">
      <c r="A349" s="3" t="str">
        <f>"2224"</f>
        <v>2224</v>
      </c>
      <c r="B349" s="4">
        <v>43245</v>
      </c>
      <c r="C349" s="4" t="s">
        <v>34</v>
      </c>
      <c r="D349" s="11">
        <v>940018</v>
      </c>
      <c r="E349" s="1" t="str">
        <f t="shared" si="69"/>
        <v>卖出</v>
      </c>
      <c r="F349" s="1" t="str">
        <f>"基金资金拨出"</f>
        <v>基金资金拨出</v>
      </c>
      <c r="G349" s="13">
        <v>0</v>
      </c>
      <c r="H349" s="1">
        <v>0</v>
      </c>
      <c r="I349" s="5">
        <v>-18759.400000000001</v>
      </c>
      <c r="J349" s="5">
        <v>-18759.400000000001</v>
      </c>
      <c r="K349" s="1">
        <v>0</v>
      </c>
      <c r="L349" s="1" t="str">
        <f t="shared" si="70"/>
        <v xml:space="preserve"> </v>
      </c>
      <c r="M349" s="1" t="str">
        <f>"122扣除金额 基金代码：940018,发生份额：18759.4"</f>
        <v>122扣除金额 基金代码：940018,发生份额：18759.4</v>
      </c>
    </row>
    <row r="350" spans="1:13" x14ac:dyDescent="0.2">
      <c r="A350" s="3" t="str">
        <f>"2225"</f>
        <v>2225</v>
      </c>
      <c r="B350" s="4">
        <v>43245</v>
      </c>
      <c r="C350" s="4" t="s">
        <v>34</v>
      </c>
      <c r="D350" s="11">
        <v>940018</v>
      </c>
      <c r="E350" s="1" t="str">
        <f t="shared" si="69"/>
        <v>卖出</v>
      </c>
      <c r="F350" s="1" t="str">
        <f>"基金资金拨入"</f>
        <v>基金资金拨入</v>
      </c>
      <c r="G350" s="13">
        <v>0</v>
      </c>
      <c r="H350" s="1">
        <v>0</v>
      </c>
      <c r="I350" s="5">
        <v>25126.63</v>
      </c>
      <c r="J350" s="5">
        <v>6367.23</v>
      </c>
      <c r="K350" s="1">
        <v>0</v>
      </c>
      <c r="L350" s="1" t="str">
        <f t="shared" si="70"/>
        <v xml:space="preserve"> </v>
      </c>
      <c r="M350" s="1" t="str">
        <f>"124增加金额 基金代码：940018,发生份额：25126.63"</f>
        <v>124增加金额 基金代码：940018,发生份额：25126.63</v>
      </c>
    </row>
    <row r="351" spans="1:13" x14ac:dyDescent="0.2">
      <c r="A351" s="3" t="str">
        <f>"4580"</f>
        <v>4580</v>
      </c>
      <c r="B351" s="4">
        <v>43245</v>
      </c>
      <c r="C351" s="1" t="str">
        <f>"传媒ETF"</f>
        <v>传媒ETF</v>
      </c>
      <c r="D351" s="11" t="str">
        <f>"512980"</f>
        <v>512980</v>
      </c>
      <c r="E351" s="1" t="str">
        <f>"买入"</f>
        <v>买入</v>
      </c>
      <c r="F351" s="1" t="str">
        <f>"证券买入"</f>
        <v>证券买入</v>
      </c>
      <c r="G351" s="13">
        <v>0.94599999999999995</v>
      </c>
      <c r="H351" s="1">
        <v>6800</v>
      </c>
      <c r="I351" s="5">
        <v>-6434.09</v>
      </c>
      <c r="J351" s="5">
        <v>-66.86</v>
      </c>
      <c r="K351" s="1">
        <v>1.29</v>
      </c>
      <c r="L351" s="1" t="str">
        <f>"A280737240"</f>
        <v>A280737240</v>
      </c>
      <c r="M351" s="1" t="str">
        <f>"证券买入"</f>
        <v>证券买入</v>
      </c>
    </row>
    <row r="352" spans="1:13" x14ac:dyDescent="0.2">
      <c r="A352" s="3" t="str">
        <f>"7044"</f>
        <v>7044</v>
      </c>
      <c r="B352" s="4">
        <v>43245</v>
      </c>
      <c r="C352" s="1" t="str">
        <f>"华宝添益"</f>
        <v>华宝添益</v>
      </c>
      <c r="D352" s="11" t="str">
        <f>"511990"</f>
        <v>511990</v>
      </c>
      <c r="E352" s="1" t="str">
        <f>"买入"</f>
        <v>买入</v>
      </c>
      <c r="F352" s="1" t="str">
        <f>"红股入帐"</f>
        <v>红股入帐</v>
      </c>
      <c r="G352" s="13">
        <v>100.01900000000001</v>
      </c>
      <c r="H352" s="1">
        <v>1</v>
      </c>
      <c r="I352" s="5">
        <v>0</v>
      </c>
      <c r="J352" s="5">
        <v>-66.86</v>
      </c>
      <c r="K352" s="1">
        <v>0</v>
      </c>
      <c r="L352" s="1" t="str">
        <f>"A280737240"</f>
        <v>A280737240</v>
      </c>
      <c r="M352" s="1" t="str">
        <f>"红股入账"</f>
        <v>红股入账</v>
      </c>
    </row>
    <row r="353" spans="1:13" x14ac:dyDescent="0.2">
      <c r="A353" s="3" t="str">
        <f>"7306"</f>
        <v>7306</v>
      </c>
      <c r="B353" s="4">
        <v>43245</v>
      </c>
      <c r="C353" s="1" t="str">
        <f>"华宝油气"</f>
        <v>华宝油气</v>
      </c>
      <c r="D353" s="11" t="str">
        <f>"162411"</f>
        <v>162411</v>
      </c>
      <c r="E353" s="1" t="str">
        <f>"卖出"</f>
        <v>卖出</v>
      </c>
      <c r="F353" s="1" t="str">
        <f>"开放基金赎回返款"</f>
        <v>开放基金赎回返款</v>
      </c>
      <c r="G353" s="13">
        <v>0.68200000000000005</v>
      </c>
      <c r="H353" s="1">
        <v>0</v>
      </c>
      <c r="I353" s="5">
        <v>67.86</v>
      </c>
      <c r="J353" s="5">
        <v>1</v>
      </c>
      <c r="K353" s="1">
        <v>0.34</v>
      </c>
      <c r="L353" s="1" t="str">
        <f>"0184500716"</f>
        <v>0184500716</v>
      </c>
      <c r="M353" s="1" t="str">
        <f>"20180525|124|赎回资金交收"</f>
        <v>20180525|124|赎回资金交收</v>
      </c>
    </row>
    <row r="354" spans="1:13" x14ac:dyDescent="0.2">
      <c r="A354" s="3" t="str">
        <f>"7142"</f>
        <v>7142</v>
      </c>
      <c r="B354" s="4">
        <v>43248</v>
      </c>
      <c r="C354" s="4" t="s">
        <v>34</v>
      </c>
      <c r="D354" s="11">
        <v>940018</v>
      </c>
      <c r="E354" s="1" t="str">
        <f>"卖出"</f>
        <v>卖出</v>
      </c>
      <c r="F354" s="1" t="str">
        <f>"基金资金拨出"</f>
        <v>基金资金拨出</v>
      </c>
      <c r="G354" s="13">
        <v>0</v>
      </c>
      <c r="H354" s="1">
        <v>0</v>
      </c>
      <c r="I354" s="5">
        <v>-1</v>
      </c>
      <c r="J354" s="5">
        <v>0</v>
      </c>
      <c r="K354" s="1">
        <v>0</v>
      </c>
      <c r="L354" s="1" t="str">
        <f t="shared" ref="L354:L356" si="71">" "</f>
        <v xml:space="preserve"> </v>
      </c>
      <c r="M354" s="1" t="str">
        <f>"122扣除金额 基金代码：940018,发生份额：1"</f>
        <v>122扣除金额 基金代码：940018,发生份额：1</v>
      </c>
    </row>
    <row r="355" spans="1:13" x14ac:dyDescent="0.2">
      <c r="A355" s="3" t="str">
        <f>"2382"</f>
        <v>2382</v>
      </c>
      <c r="B355" s="4">
        <v>43250</v>
      </c>
      <c r="C355" s="4" t="s">
        <v>34</v>
      </c>
      <c r="D355" s="11">
        <v>940018</v>
      </c>
      <c r="E355" s="1" t="str">
        <f>"卖出"</f>
        <v>卖出</v>
      </c>
      <c r="F355" s="1" t="str">
        <f>"基金资金拨出"</f>
        <v>基金资金拨出</v>
      </c>
      <c r="G355" s="13">
        <v>0</v>
      </c>
      <c r="H355" s="1">
        <v>0</v>
      </c>
      <c r="I355" s="5">
        <v>-12183.25</v>
      </c>
      <c r="J355" s="5">
        <v>-12183.25</v>
      </c>
      <c r="K355" s="1">
        <v>0</v>
      </c>
      <c r="L355" s="1" t="str">
        <f t="shared" si="71"/>
        <v xml:space="preserve"> </v>
      </c>
      <c r="M355" s="1" t="str">
        <f>"122扣除金额 基金代码：940018,发生份额：12183.25"</f>
        <v>122扣除金额 基金代码：940018,发生份额：12183.25</v>
      </c>
    </row>
    <row r="356" spans="1:13" x14ac:dyDescent="0.2">
      <c r="A356" s="3" t="str">
        <f>"2383"</f>
        <v>2383</v>
      </c>
      <c r="B356" s="4">
        <v>43250</v>
      </c>
      <c r="C356" s="4" t="s">
        <v>34</v>
      </c>
      <c r="D356" s="11">
        <v>940018</v>
      </c>
      <c r="E356" s="1" t="str">
        <f>"卖出"</f>
        <v>卖出</v>
      </c>
      <c r="F356" s="1" t="str">
        <f>"基金资金拨入"</f>
        <v>基金资金拨入</v>
      </c>
      <c r="G356" s="13">
        <v>0</v>
      </c>
      <c r="H356" s="1">
        <v>0</v>
      </c>
      <c r="I356" s="5">
        <v>18789.97</v>
      </c>
      <c r="J356" s="5">
        <v>6606.72</v>
      </c>
      <c r="K356" s="1">
        <v>0</v>
      </c>
      <c r="L356" s="1" t="str">
        <f t="shared" si="71"/>
        <v xml:space="preserve"> </v>
      </c>
      <c r="M356" s="1" t="str">
        <f>"124增加金额 基金代码：940018,发生份额：18789.97"</f>
        <v>124增加金额 基金代码：940018,发生份额：18789.97</v>
      </c>
    </row>
    <row r="357" spans="1:13" x14ac:dyDescent="0.2">
      <c r="A357" s="3" t="str">
        <f>"4538"</f>
        <v>4538</v>
      </c>
      <c r="B357" s="4">
        <v>43250</v>
      </c>
      <c r="C357" s="1" t="str">
        <f>"500ETF"</f>
        <v>500ETF</v>
      </c>
      <c r="D357" s="11" t="str">
        <f>"510500"</f>
        <v>510500</v>
      </c>
      <c r="E357" s="1" t="str">
        <f>"买入"</f>
        <v>买入</v>
      </c>
      <c r="F357" s="1" t="str">
        <f>"证券买入"</f>
        <v>证券买入</v>
      </c>
      <c r="G357" s="13">
        <v>6.0039999999999996</v>
      </c>
      <c r="H357" s="1">
        <v>1100</v>
      </c>
      <c r="I357" s="5">
        <v>-6605.72</v>
      </c>
      <c r="J357" s="5">
        <v>1</v>
      </c>
      <c r="K357" s="1">
        <v>1.32</v>
      </c>
      <c r="L357" s="1" t="str">
        <f>"A280737240"</f>
        <v>A280737240</v>
      </c>
      <c r="M357" s="1" t="str">
        <f>"证券买入"</f>
        <v>证券买入</v>
      </c>
    </row>
    <row r="358" spans="1:13" x14ac:dyDescent="0.2">
      <c r="A358" s="3" t="str">
        <f>"7198"</f>
        <v>7198</v>
      </c>
      <c r="B358" s="4">
        <v>43250</v>
      </c>
      <c r="C358" s="1" t="str">
        <f>"华宝添益"</f>
        <v>华宝添益</v>
      </c>
      <c r="D358" s="11" t="str">
        <f>"511990"</f>
        <v>511990</v>
      </c>
      <c r="E358" s="1" t="str">
        <f>"买入"</f>
        <v>买入</v>
      </c>
      <c r="F358" s="1" t="str">
        <f>"红股入帐"</f>
        <v>红股入帐</v>
      </c>
      <c r="G358" s="13">
        <v>99.981999999999999</v>
      </c>
      <c r="H358" s="1">
        <v>1</v>
      </c>
      <c r="I358" s="5">
        <v>0</v>
      </c>
      <c r="J358" s="5">
        <v>1</v>
      </c>
      <c r="K358" s="1">
        <v>0</v>
      </c>
      <c r="L358" s="1" t="str">
        <f>"A280737240"</f>
        <v>A280737240</v>
      </c>
      <c r="M358" s="1" t="str">
        <f>"红股入账"</f>
        <v>红股入账</v>
      </c>
    </row>
    <row r="359" spans="1:13" x14ac:dyDescent="0.2">
      <c r="A359" s="3" t="str">
        <f>"2392"</f>
        <v>2392</v>
      </c>
      <c r="B359" s="4">
        <v>43251</v>
      </c>
      <c r="C359" s="4" t="s">
        <v>34</v>
      </c>
      <c r="D359" s="11">
        <v>940018</v>
      </c>
      <c r="E359" s="1" t="str">
        <f>"卖出"</f>
        <v>卖出</v>
      </c>
      <c r="F359" s="1" t="str">
        <f>"基金资金拨出"</f>
        <v>基金资金拨出</v>
      </c>
      <c r="G359" s="13">
        <v>0</v>
      </c>
      <c r="H359" s="1">
        <v>0</v>
      </c>
      <c r="I359" s="5">
        <v>-1</v>
      </c>
      <c r="J359" s="5">
        <v>0</v>
      </c>
      <c r="K359" s="1">
        <v>0</v>
      </c>
      <c r="L359" s="1" t="str">
        <f>" "</f>
        <v xml:space="preserve"> </v>
      </c>
      <c r="M359" s="1" t="str">
        <f>"122扣除金额 基金代码：940018,发生份额：1"</f>
        <v>122扣除金额 基金代码：940018,发生份额：1</v>
      </c>
    </row>
    <row r="360" spans="1:13" x14ac:dyDescent="0.2">
      <c r="A360" s="3" t="str">
        <f>"5850"</f>
        <v>5850</v>
      </c>
      <c r="B360" s="4">
        <v>43255</v>
      </c>
      <c r="C360" s="1" t="str">
        <f>"华宝添益"</f>
        <v>华宝添益</v>
      </c>
      <c r="D360" s="11" t="str">
        <f>"511990"</f>
        <v>511990</v>
      </c>
      <c r="E360" s="1" t="str">
        <f>"买入"</f>
        <v>买入</v>
      </c>
      <c r="F360" s="1" t="str">
        <f>"红股入帐"</f>
        <v>红股入帐</v>
      </c>
      <c r="G360" s="13">
        <v>100.005</v>
      </c>
      <c r="H360" s="1">
        <v>1</v>
      </c>
      <c r="I360" s="5">
        <v>0</v>
      </c>
      <c r="J360" s="5">
        <v>0</v>
      </c>
      <c r="K360" s="1">
        <v>0</v>
      </c>
      <c r="L360" s="1" t="str">
        <f>"A280737240"</f>
        <v>A280737240</v>
      </c>
      <c r="M360" s="1" t="str">
        <f>"红股入账"</f>
        <v>红股入账</v>
      </c>
    </row>
    <row r="361" spans="1:13" x14ac:dyDescent="0.2">
      <c r="A361" s="3" t="str">
        <f>"5562"</f>
        <v>5562</v>
      </c>
      <c r="B361" s="4">
        <v>43262</v>
      </c>
      <c r="C361" s="1" t="str">
        <f>"华宝添益"</f>
        <v>华宝添益</v>
      </c>
      <c r="D361" s="11" t="str">
        <f>"511990"</f>
        <v>511990</v>
      </c>
      <c r="E361" s="1" t="str">
        <f>"买入"</f>
        <v>买入</v>
      </c>
      <c r="F361" s="1" t="str">
        <f>"红股入帐"</f>
        <v>红股入帐</v>
      </c>
      <c r="G361" s="13">
        <v>100.00700000000001</v>
      </c>
      <c r="H361" s="1">
        <v>1</v>
      </c>
      <c r="I361" s="5">
        <v>0</v>
      </c>
      <c r="J361" s="5">
        <v>0</v>
      </c>
      <c r="K361" s="1">
        <v>0</v>
      </c>
      <c r="L361" s="1" t="str">
        <f>"A280737240"</f>
        <v>A280737240</v>
      </c>
      <c r="M361" s="1" t="str">
        <f>"红股入账"</f>
        <v>红股入账</v>
      </c>
    </row>
    <row r="362" spans="1:13" x14ac:dyDescent="0.2">
      <c r="A362" s="3" t="str">
        <f>"768"</f>
        <v>768</v>
      </c>
      <c r="B362" s="4">
        <v>43265</v>
      </c>
      <c r="C362" s="4" t="s">
        <v>34</v>
      </c>
      <c r="D362" s="11">
        <v>940018</v>
      </c>
      <c r="E362" s="1" t="str">
        <f>"卖出"</f>
        <v>卖出</v>
      </c>
      <c r="F362" s="1" t="str">
        <f>"资管转让资金上账"</f>
        <v>资管转让资金上账</v>
      </c>
      <c r="G362" s="13">
        <v>0</v>
      </c>
      <c r="H362" s="1">
        <v>0</v>
      </c>
      <c r="I362" s="5">
        <v>6400</v>
      </c>
      <c r="J362" s="5">
        <v>6400</v>
      </c>
      <c r="K362" s="1">
        <v>0</v>
      </c>
      <c r="L362" s="1" t="str">
        <f t="shared" ref="C362:L364" si="72">" "</f>
        <v xml:space="preserve"> </v>
      </c>
      <c r="M362" s="1" t="str">
        <f>"快速取现退出资金拨入,产品代码940018,对方资产账户40000545correct_balance=0"</f>
        <v>快速取现退出资金拨入,产品代码940018,对方资产账户40000545correct_balance=0</v>
      </c>
    </row>
    <row r="363" spans="1:13" x14ac:dyDescent="0.2">
      <c r="A363" s="3" t="str">
        <f>"774"</f>
        <v>774</v>
      </c>
      <c r="B363" s="4">
        <v>43265</v>
      </c>
      <c r="C363" s="1" t="str">
        <f t="shared" si="72"/>
        <v xml:space="preserve"> </v>
      </c>
      <c r="D363" s="11"/>
      <c r="E363" s="1" t="str">
        <f>"卖出"</f>
        <v>卖出</v>
      </c>
      <c r="F363" s="1" t="str">
        <f>"银行转取"</f>
        <v>银行转取</v>
      </c>
      <c r="G363" s="13">
        <v>0</v>
      </c>
      <c r="H363" s="1">
        <v>0</v>
      </c>
      <c r="I363" s="5">
        <v>-6400</v>
      </c>
      <c r="J363" s="5">
        <v>0</v>
      </c>
      <c r="K363" s="1">
        <v>0</v>
      </c>
      <c r="L363" s="1" t="str">
        <f t="shared" si="72"/>
        <v xml:space="preserve"> </v>
      </c>
      <c r="M363" s="1" t="str">
        <f>"银行返回码[ ]返回信息[0000 交易成功]|转账成功 转账账号:6225881012906292 correct_balance=6400"</f>
        <v>银行返回码[ ]返回信息[0000 交易成功]|转账成功 转账账号:6225881012906292 correct_balance=6400</v>
      </c>
    </row>
    <row r="364" spans="1:13" x14ac:dyDescent="0.2">
      <c r="A364" s="3" t="str">
        <f>"2269"</f>
        <v>2269</v>
      </c>
      <c r="B364" s="4">
        <v>43265</v>
      </c>
      <c r="C364" s="4" t="s">
        <v>34</v>
      </c>
      <c r="D364" s="11">
        <v>940018</v>
      </c>
      <c r="E364" s="1" t="str">
        <f>"卖出"</f>
        <v>卖出</v>
      </c>
      <c r="F364" s="1" t="str">
        <f>"基金资金拨出"</f>
        <v>基金资金拨出</v>
      </c>
      <c r="G364" s="13">
        <v>0</v>
      </c>
      <c r="H364" s="1">
        <v>0</v>
      </c>
      <c r="I364" s="5">
        <v>-3692.4</v>
      </c>
      <c r="J364" s="5">
        <v>-3692.4</v>
      </c>
      <c r="K364" s="1">
        <v>0</v>
      </c>
      <c r="L364" s="1" t="str">
        <f t="shared" si="72"/>
        <v xml:space="preserve"> </v>
      </c>
      <c r="M364" s="1" t="str">
        <f>"122扣除金额 基金代码：940018,发生份额：3692.4"</f>
        <v>122扣除金额 基金代码：940018,发生份额：3692.4</v>
      </c>
    </row>
    <row r="365" spans="1:13" x14ac:dyDescent="0.2">
      <c r="A365" s="3" t="str">
        <f>"3656"</f>
        <v>3656</v>
      </c>
      <c r="B365" s="4">
        <v>43265</v>
      </c>
      <c r="C365" s="1" t="str">
        <f>"银华日利"</f>
        <v>银华日利</v>
      </c>
      <c r="D365" s="11" t="str">
        <f>"511880"</f>
        <v>511880</v>
      </c>
      <c r="E365" s="1" t="str">
        <f>"卖出"</f>
        <v>卖出</v>
      </c>
      <c r="F365" s="1" t="str">
        <f>"证券卖出"</f>
        <v>证券卖出</v>
      </c>
      <c r="G365" s="13">
        <v>101.935</v>
      </c>
      <c r="H365" s="1">
        <v>-100</v>
      </c>
      <c r="I365" s="5">
        <v>10193.5</v>
      </c>
      <c r="J365" s="5">
        <v>6501.1</v>
      </c>
      <c r="K365" s="1">
        <v>0</v>
      </c>
      <c r="L365" s="1" t="str">
        <f>"A280737240"</f>
        <v>A280737240</v>
      </c>
      <c r="M365" s="1" t="str">
        <f>"证券卖出"</f>
        <v>证券卖出</v>
      </c>
    </row>
    <row r="366" spans="1:13" x14ac:dyDescent="0.2">
      <c r="A366" s="3" t="str">
        <f>"3657"</f>
        <v>3657</v>
      </c>
      <c r="B366" s="4">
        <v>43265</v>
      </c>
      <c r="C366" s="1" t="str">
        <f>"500ETF"</f>
        <v>500ETF</v>
      </c>
      <c r="D366" s="11" t="str">
        <f>"510500"</f>
        <v>510500</v>
      </c>
      <c r="E366" s="1" t="str">
        <f>"买入"</f>
        <v>买入</v>
      </c>
      <c r="F366" s="1" t="str">
        <f>"证券买入"</f>
        <v>证券买入</v>
      </c>
      <c r="G366" s="13">
        <v>5.9080000000000004</v>
      </c>
      <c r="H366" s="1">
        <v>1100</v>
      </c>
      <c r="I366" s="5">
        <v>-6500.1</v>
      </c>
      <c r="J366" s="5">
        <v>1</v>
      </c>
      <c r="K366" s="1">
        <v>1.3</v>
      </c>
      <c r="L366" s="1" t="str">
        <f>"A280737240"</f>
        <v>A280737240</v>
      </c>
      <c r="M366" s="1" t="str">
        <f>"证券买入"</f>
        <v>证券买入</v>
      </c>
    </row>
    <row r="367" spans="1:13" x14ac:dyDescent="0.2">
      <c r="A367" s="3" t="str">
        <f>"5756"</f>
        <v>5756</v>
      </c>
      <c r="B367" s="4">
        <v>43265</v>
      </c>
      <c r="C367" s="1" t="str">
        <f>"华宝添益"</f>
        <v>华宝添益</v>
      </c>
      <c r="D367" s="11" t="str">
        <f>"511990"</f>
        <v>511990</v>
      </c>
      <c r="E367" s="1" t="str">
        <f>"买入"</f>
        <v>买入</v>
      </c>
      <c r="F367" s="1" t="str">
        <f>"红股入帐"</f>
        <v>红股入帐</v>
      </c>
      <c r="G367" s="13">
        <v>99.998999999999995</v>
      </c>
      <c r="H367" s="1">
        <v>1</v>
      </c>
      <c r="I367" s="5">
        <v>0</v>
      </c>
      <c r="J367" s="5">
        <v>1</v>
      </c>
      <c r="K367" s="1">
        <v>0</v>
      </c>
      <c r="L367" s="1" t="str">
        <f>"A280737240"</f>
        <v>A280737240</v>
      </c>
      <c r="M367" s="1" t="str">
        <f>"红股入账"</f>
        <v>红股入账</v>
      </c>
    </row>
    <row r="368" spans="1:13" x14ac:dyDescent="0.2">
      <c r="A368" s="3" t="str">
        <f>"2486"</f>
        <v>2486</v>
      </c>
      <c r="B368" s="4">
        <v>43266</v>
      </c>
      <c r="C368" s="4" t="s">
        <v>34</v>
      </c>
      <c r="D368" s="11">
        <v>940018</v>
      </c>
      <c r="E368" s="1" t="str">
        <f>"卖出"</f>
        <v>卖出</v>
      </c>
      <c r="F368" s="1" t="str">
        <f>"基金资金拨出"</f>
        <v>基金资金拨出</v>
      </c>
      <c r="G368" s="13">
        <v>0</v>
      </c>
      <c r="H368" s="1">
        <v>0</v>
      </c>
      <c r="I368" s="5">
        <v>-10857.67</v>
      </c>
      <c r="J368" s="5">
        <v>-10856.67</v>
      </c>
      <c r="K368" s="1">
        <v>0</v>
      </c>
      <c r="L368" s="1" t="str">
        <f>" "</f>
        <v xml:space="preserve"> </v>
      </c>
      <c r="M368" s="1" t="str">
        <f>"122扣除金额 基金代码：940018,发生份额：10857.67"</f>
        <v>122扣除金额 基金代码：940018,发生份额：10857.67</v>
      </c>
    </row>
    <row r="369" spans="1:13" x14ac:dyDescent="0.2">
      <c r="A369" s="3" t="str">
        <f>"4970"</f>
        <v>4970</v>
      </c>
      <c r="B369" s="4">
        <v>43266</v>
      </c>
      <c r="C369" s="1" t="str">
        <f>"华宝添益"</f>
        <v>华宝添益</v>
      </c>
      <c r="D369" s="11" t="str">
        <f>"511990"</f>
        <v>511990</v>
      </c>
      <c r="E369" s="1" t="str">
        <f>"卖出"</f>
        <v>卖出</v>
      </c>
      <c r="F369" s="1" t="str">
        <f>"证券卖出"</f>
        <v>证券卖出</v>
      </c>
      <c r="G369" s="13">
        <v>100.01600000000001</v>
      </c>
      <c r="H369" s="1">
        <v>-300</v>
      </c>
      <c r="I369" s="5">
        <v>30004.799999999999</v>
      </c>
      <c r="J369" s="5">
        <v>19148.13</v>
      </c>
      <c r="K369" s="1">
        <v>0</v>
      </c>
      <c r="L369" s="1" t="str">
        <f>"A280737240"</f>
        <v>A280737240</v>
      </c>
      <c r="M369" s="1" t="str">
        <f>"证券卖出"</f>
        <v>证券卖出</v>
      </c>
    </row>
    <row r="370" spans="1:13" x14ac:dyDescent="0.2">
      <c r="A370" s="3" t="str">
        <f>"4971"</f>
        <v>4971</v>
      </c>
      <c r="B370" s="4">
        <v>43266</v>
      </c>
      <c r="C370" s="1" t="str">
        <f>"500ETF"</f>
        <v>500ETF</v>
      </c>
      <c r="D370" s="11" t="str">
        <f>"510500"</f>
        <v>510500</v>
      </c>
      <c r="E370" s="1" t="str">
        <f>"买入"</f>
        <v>买入</v>
      </c>
      <c r="F370" s="1" t="str">
        <f>"证券买入"</f>
        <v>证券买入</v>
      </c>
      <c r="G370" s="13">
        <v>5.8010000000000002</v>
      </c>
      <c r="H370" s="1">
        <v>3300</v>
      </c>
      <c r="I370" s="5">
        <v>-19147.13</v>
      </c>
      <c r="J370" s="5">
        <v>1</v>
      </c>
      <c r="K370" s="1">
        <v>3.83</v>
      </c>
      <c r="L370" s="1" t="str">
        <f>"A280737240"</f>
        <v>A280737240</v>
      </c>
      <c r="M370" s="1" t="str">
        <f>"证券买入"</f>
        <v>证券买入</v>
      </c>
    </row>
    <row r="371" spans="1:13" x14ac:dyDescent="0.2">
      <c r="A371" s="3" t="str">
        <f>"966"</f>
        <v>966</v>
      </c>
      <c r="B371" s="4">
        <v>43270</v>
      </c>
      <c r="C371" s="4" t="s">
        <v>34</v>
      </c>
      <c r="D371" s="11">
        <v>940018</v>
      </c>
      <c r="E371" s="1" t="str">
        <f>"卖出"</f>
        <v>卖出</v>
      </c>
      <c r="F371" s="1" t="str">
        <f>"资管转让资金上账"</f>
        <v>资管转让资金上账</v>
      </c>
      <c r="G371" s="13">
        <v>0</v>
      </c>
      <c r="H371" s="1">
        <v>0</v>
      </c>
      <c r="I371" s="5">
        <v>12799</v>
      </c>
      <c r="J371" s="5">
        <v>12800</v>
      </c>
      <c r="K371" s="1">
        <v>0</v>
      </c>
      <c r="L371" s="1" t="str">
        <f t="shared" ref="C371:L374" si="73">" "</f>
        <v xml:space="preserve"> </v>
      </c>
      <c r="M371" s="1" t="str">
        <f>"快速取现退出资金拨入,产品代码940018,对方资产账户40000545correct_balance=0"</f>
        <v>快速取现退出资金拨入,产品代码940018,对方资产账户40000545correct_balance=0</v>
      </c>
    </row>
    <row r="372" spans="1:13" x14ac:dyDescent="0.2">
      <c r="A372" s="3" t="str">
        <f>"969"</f>
        <v>969</v>
      </c>
      <c r="B372" s="4">
        <v>43270</v>
      </c>
      <c r="C372" s="1" t="str">
        <f t="shared" si="73"/>
        <v xml:space="preserve"> </v>
      </c>
      <c r="D372" s="11"/>
      <c r="E372" s="1" t="str">
        <f>"卖出"</f>
        <v>卖出</v>
      </c>
      <c r="F372" s="1" t="str">
        <f>"银行转取"</f>
        <v>银行转取</v>
      </c>
      <c r="G372" s="13">
        <v>0</v>
      </c>
      <c r="H372" s="1">
        <v>0</v>
      </c>
      <c r="I372" s="5">
        <v>-12800</v>
      </c>
      <c r="J372" s="5">
        <v>0</v>
      </c>
      <c r="K372" s="1">
        <v>0</v>
      </c>
      <c r="L372" s="1" t="str">
        <f t="shared" si="73"/>
        <v xml:space="preserve"> </v>
      </c>
      <c r="M372" s="1" t="str">
        <f>"银行返回码[ ]返回信息[0000 交易成功]|转账成功 转账账号:6225881012906292 correct_balance=12800"</f>
        <v>银行返回码[ ]返回信息[0000 交易成功]|转账成功 转账账号:6225881012906292 correct_balance=12800</v>
      </c>
    </row>
    <row r="373" spans="1:13" x14ac:dyDescent="0.2">
      <c r="A373" s="3" t="str">
        <f>"993"</f>
        <v>993</v>
      </c>
      <c r="B373" s="4">
        <v>43270</v>
      </c>
      <c r="C373" s="1" t="str">
        <f t="shared" si="73"/>
        <v xml:space="preserve"> </v>
      </c>
      <c r="D373" s="11"/>
      <c r="E373" s="1" t="str">
        <f>"卖出"</f>
        <v>卖出</v>
      </c>
      <c r="F373" s="1" t="str">
        <f>"银行转存"</f>
        <v>银行转存</v>
      </c>
      <c r="G373" s="13">
        <v>0</v>
      </c>
      <c r="H373" s="1">
        <v>0</v>
      </c>
      <c r="I373" s="5">
        <v>2000</v>
      </c>
      <c r="J373" s="5">
        <v>2000</v>
      </c>
      <c r="K373" s="1">
        <v>0</v>
      </c>
      <c r="L373" s="1" t="str">
        <f t="shared" si="73"/>
        <v xml:space="preserve"> </v>
      </c>
      <c r="M373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374" spans="1:13" x14ac:dyDescent="0.2">
      <c r="A374" s="3" t="str">
        <f>"2613"</f>
        <v>2613</v>
      </c>
      <c r="B374" s="4">
        <v>43270</v>
      </c>
      <c r="C374" s="4" t="s">
        <v>34</v>
      </c>
      <c r="D374" s="11">
        <v>940018</v>
      </c>
      <c r="E374" s="1" t="str">
        <f>"卖出"</f>
        <v>卖出</v>
      </c>
      <c r="F374" s="1" t="str">
        <f>"基金资金拨出"</f>
        <v>基金资金拨出</v>
      </c>
      <c r="G374" s="13">
        <v>0</v>
      </c>
      <c r="H374" s="1">
        <v>0</v>
      </c>
      <c r="I374" s="5">
        <v>-42.47</v>
      </c>
      <c r="J374" s="5">
        <v>1957.53</v>
      </c>
      <c r="K374" s="1">
        <v>0</v>
      </c>
      <c r="L374" s="1" t="str">
        <f t="shared" si="73"/>
        <v xml:space="preserve"> </v>
      </c>
      <c r="M374" s="1" t="str">
        <f>"122扣除金额 基金代码：940018,发生份额：42.47"</f>
        <v>122扣除金额 基金代码：940018,发生份额：42.47</v>
      </c>
    </row>
    <row r="375" spans="1:13" x14ac:dyDescent="0.2">
      <c r="A375" s="3" t="str">
        <f>"4047"</f>
        <v>4047</v>
      </c>
      <c r="B375" s="4">
        <v>43270</v>
      </c>
      <c r="C375" s="1" t="str">
        <f>"银华日利"</f>
        <v>银华日利</v>
      </c>
      <c r="D375" s="11" t="str">
        <f>"511880"</f>
        <v>511880</v>
      </c>
      <c r="E375" s="1" t="str">
        <f>"卖出"</f>
        <v>卖出</v>
      </c>
      <c r="F375" s="1" t="str">
        <f>"证券卖出"</f>
        <v>证券卖出</v>
      </c>
      <c r="G375" s="13">
        <v>101.962</v>
      </c>
      <c r="H375" s="1">
        <v>-100</v>
      </c>
      <c r="I375" s="5">
        <v>10196.200000000001</v>
      </c>
      <c r="J375" s="5">
        <v>12153.73</v>
      </c>
      <c r="K375" s="1">
        <v>0</v>
      </c>
      <c r="L375" s="1" t="str">
        <f t="shared" ref="L375:L381" si="74">"A280737240"</f>
        <v>A280737240</v>
      </c>
      <c r="M375" s="1" t="str">
        <f>"证券卖出"</f>
        <v>证券卖出</v>
      </c>
    </row>
    <row r="376" spans="1:13" x14ac:dyDescent="0.2">
      <c r="A376" s="3" t="str">
        <f>"4048"</f>
        <v>4048</v>
      </c>
      <c r="B376" s="4">
        <v>43270</v>
      </c>
      <c r="C376" s="1" t="str">
        <f>"证券ETF"</f>
        <v>证券ETF</v>
      </c>
      <c r="D376" s="11" t="str">
        <f>"512880"</f>
        <v>512880</v>
      </c>
      <c r="E376" s="1" t="str">
        <f>"买入"</f>
        <v>买入</v>
      </c>
      <c r="F376" s="1" t="str">
        <f>"证券买入"</f>
        <v>证券买入</v>
      </c>
      <c r="G376" s="13">
        <v>0.76900000000000002</v>
      </c>
      <c r="H376" s="1">
        <v>8300</v>
      </c>
      <c r="I376" s="5">
        <v>-6383.98</v>
      </c>
      <c r="J376" s="5">
        <v>5769.75</v>
      </c>
      <c r="K376" s="1">
        <v>1.28</v>
      </c>
      <c r="L376" s="1" t="str">
        <f t="shared" si="74"/>
        <v>A280737240</v>
      </c>
      <c r="M376" s="1" t="str">
        <f>"证券买入"</f>
        <v>证券买入</v>
      </c>
    </row>
    <row r="377" spans="1:13" x14ac:dyDescent="0.2">
      <c r="A377" s="3" t="str">
        <f>"4049"</f>
        <v>4049</v>
      </c>
      <c r="B377" s="4">
        <v>43270</v>
      </c>
      <c r="C377" s="1" t="str">
        <f>"500ETF"</f>
        <v>500ETF</v>
      </c>
      <c r="D377" s="11" t="str">
        <f>"510500"</f>
        <v>510500</v>
      </c>
      <c r="E377" s="1" t="str">
        <f>"买入"</f>
        <v>买入</v>
      </c>
      <c r="F377" s="1" t="str">
        <f>"证券买入"</f>
        <v>证券买入</v>
      </c>
      <c r="G377" s="13">
        <v>5.5250000000000004</v>
      </c>
      <c r="H377" s="1">
        <v>2300</v>
      </c>
      <c r="I377" s="5">
        <v>-12710.04</v>
      </c>
      <c r="J377" s="5">
        <v>-6940.29</v>
      </c>
      <c r="K377" s="1">
        <v>2.54</v>
      </c>
      <c r="L377" s="1" t="str">
        <f t="shared" si="74"/>
        <v>A280737240</v>
      </c>
      <c r="M377" s="1" t="str">
        <f>"证券买入"</f>
        <v>证券买入</v>
      </c>
    </row>
    <row r="378" spans="1:13" x14ac:dyDescent="0.2">
      <c r="A378" s="3" t="str">
        <f>"4050"</f>
        <v>4050</v>
      </c>
      <c r="B378" s="4">
        <v>43270</v>
      </c>
      <c r="C378" s="1" t="str">
        <f>"华宝添益"</f>
        <v>华宝添益</v>
      </c>
      <c r="D378" s="11" t="str">
        <f>"511990"</f>
        <v>511990</v>
      </c>
      <c r="E378" s="1" t="str">
        <f>"卖出"</f>
        <v>卖出</v>
      </c>
      <c r="F378" s="1" t="str">
        <f>"证券卖出"</f>
        <v>证券卖出</v>
      </c>
      <c r="G378" s="13">
        <v>99.983000000000004</v>
      </c>
      <c r="H378" s="1">
        <v>-100</v>
      </c>
      <c r="I378" s="5">
        <v>9998.2999999999993</v>
      </c>
      <c r="J378" s="5">
        <v>3058.01</v>
      </c>
      <c r="K378" s="1">
        <v>0</v>
      </c>
      <c r="L378" s="1" t="str">
        <f t="shared" si="74"/>
        <v>A280737240</v>
      </c>
      <c r="M378" s="1" t="str">
        <f>"证券卖出"</f>
        <v>证券卖出</v>
      </c>
    </row>
    <row r="379" spans="1:13" x14ac:dyDescent="0.2">
      <c r="A379" s="3" t="str">
        <f>"4051"</f>
        <v>4051</v>
      </c>
      <c r="B379" s="4">
        <v>43270</v>
      </c>
      <c r="C379" s="1" t="str">
        <f>"华宝添益"</f>
        <v>华宝添益</v>
      </c>
      <c r="D379" s="11" t="str">
        <f>"511990"</f>
        <v>511990</v>
      </c>
      <c r="E379" s="1" t="str">
        <f>"卖出"</f>
        <v>卖出</v>
      </c>
      <c r="F379" s="1" t="str">
        <f>"证券卖出"</f>
        <v>证券卖出</v>
      </c>
      <c r="G379" s="13">
        <v>99.986000000000004</v>
      </c>
      <c r="H379" s="1">
        <v>-100</v>
      </c>
      <c r="I379" s="5">
        <v>9998.6</v>
      </c>
      <c r="J379" s="5">
        <v>13056.61</v>
      </c>
      <c r="K379" s="1">
        <v>0</v>
      </c>
      <c r="L379" s="1" t="str">
        <f t="shared" si="74"/>
        <v>A280737240</v>
      </c>
      <c r="M379" s="1" t="str">
        <f>"证券卖出"</f>
        <v>证券卖出</v>
      </c>
    </row>
    <row r="380" spans="1:13" x14ac:dyDescent="0.2">
      <c r="A380" s="3" t="str">
        <f>"4052"</f>
        <v>4052</v>
      </c>
      <c r="B380" s="4">
        <v>43270</v>
      </c>
      <c r="C380" s="1" t="str">
        <f>"300ETF"</f>
        <v>300ETF</v>
      </c>
      <c r="D380" s="11" t="str">
        <f>"510300"</f>
        <v>510300</v>
      </c>
      <c r="E380" s="1" t="str">
        <f>"买入"</f>
        <v>买入</v>
      </c>
      <c r="F380" s="1" t="str">
        <f>"证券买入"</f>
        <v>证券买入</v>
      </c>
      <c r="G380" s="13">
        <v>3.6429999999999998</v>
      </c>
      <c r="H380" s="1">
        <v>1800</v>
      </c>
      <c r="I380" s="5">
        <v>-6558.71</v>
      </c>
      <c r="J380" s="5">
        <v>6497.9</v>
      </c>
      <c r="K380" s="1">
        <v>1.31</v>
      </c>
      <c r="L380" s="1" t="str">
        <f t="shared" si="74"/>
        <v>A280737240</v>
      </c>
      <c r="M380" s="1" t="str">
        <f>"证券买入"</f>
        <v>证券买入</v>
      </c>
    </row>
    <row r="381" spans="1:13" x14ac:dyDescent="0.2">
      <c r="A381" s="3" t="str">
        <f>"4053"</f>
        <v>4053</v>
      </c>
      <c r="B381" s="4">
        <v>43270</v>
      </c>
      <c r="C381" s="1" t="str">
        <f>"500ETF"</f>
        <v>500ETF</v>
      </c>
      <c r="D381" s="11" t="str">
        <f>"510500"</f>
        <v>510500</v>
      </c>
      <c r="E381" s="1" t="str">
        <f>"买入"</f>
        <v>买入</v>
      </c>
      <c r="F381" s="1" t="str">
        <f>"证券买入"</f>
        <v>证券买入</v>
      </c>
      <c r="G381" s="13">
        <v>5.4130000000000003</v>
      </c>
      <c r="H381" s="1">
        <v>1200</v>
      </c>
      <c r="I381" s="5">
        <v>-6496.9</v>
      </c>
      <c r="J381" s="5">
        <v>1</v>
      </c>
      <c r="K381" s="1">
        <v>1.3</v>
      </c>
      <c r="L381" s="1" t="str">
        <f t="shared" si="74"/>
        <v>A280737240</v>
      </c>
      <c r="M381" s="1" t="str">
        <f>"证券买入"</f>
        <v>证券买入</v>
      </c>
    </row>
    <row r="382" spans="1:13" x14ac:dyDescent="0.2">
      <c r="A382" s="3" t="str">
        <f>"2417"</f>
        <v>2417</v>
      </c>
      <c r="B382" s="4">
        <v>43271</v>
      </c>
      <c r="C382" s="4" t="s">
        <v>34</v>
      </c>
      <c r="D382" s="11">
        <v>940018</v>
      </c>
      <c r="E382" s="1" t="str">
        <f>"卖出"</f>
        <v>卖出</v>
      </c>
      <c r="F382" s="1" t="str">
        <f>"基金资金拨出"</f>
        <v>基金资金拨出</v>
      </c>
      <c r="G382" s="13">
        <v>0</v>
      </c>
      <c r="H382" s="1">
        <v>0</v>
      </c>
      <c r="I382" s="5">
        <v>-1117.3</v>
      </c>
      <c r="J382" s="5">
        <v>-1116.3</v>
      </c>
      <c r="K382" s="1">
        <v>0</v>
      </c>
      <c r="L382" s="1" t="str">
        <f t="shared" ref="L382:L383" si="75">" "</f>
        <v xml:space="preserve"> </v>
      </c>
      <c r="M382" s="1" t="str">
        <f>"122扣除金额 基金代码：940018,发生份额：1117.3"</f>
        <v>122扣除金额 基金代码：940018,发生份额：1117.3</v>
      </c>
    </row>
    <row r="383" spans="1:13" x14ac:dyDescent="0.2">
      <c r="A383" s="3" t="str">
        <f>"2418"</f>
        <v>2418</v>
      </c>
      <c r="B383" s="4">
        <v>43271</v>
      </c>
      <c r="C383" s="4" t="s">
        <v>34</v>
      </c>
      <c r="D383" s="11">
        <v>940018</v>
      </c>
      <c r="E383" s="1" t="str">
        <f>"卖出"</f>
        <v>卖出</v>
      </c>
      <c r="F383" s="1" t="str">
        <f>"基金资金拨入"</f>
        <v>基金资金拨入</v>
      </c>
      <c r="G383" s="13">
        <v>0</v>
      </c>
      <c r="H383" s="1">
        <v>0</v>
      </c>
      <c r="I383" s="5">
        <v>7577.79</v>
      </c>
      <c r="J383" s="5">
        <v>6461.49</v>
      </c>
      <c r="K383" s="1">
        <v>0</v>
      </c>
      <c r="L383" s="1" t="str">
        <f t="shared" si="75"/>
        <v xml:space="preserve"> </v>
      </c>
      <c r="M383" s="1" t="str">
        <f>"124增加金额 基金代码：940018,发生份额：7577.79"</f>
        <v>124增加金额 基金代码：940018,发生份额：7577.79</v>
      </c>
    </row>
    <row r="384" spans="1:13" x14ac:dyDescent="0.2">
      <c r="A384" s="3" t="str">
        <f>"6655"</f>
        <v>6655</v>
      </c>
      <c r="B384" s="4">
        <v>43271</v>
      </c>
      <c r="C384" s="1" t="str">
        <f>"创业板"</f>
        <v>创业板</v>
      </c>
      <c r="D384" s="11" t="str">
        <f>"159915"</f>
        <v>159915</v>
      </c>
      <c r="E384" s="1" t="str">
        <f>"买入"</f>
        <v>买入</v>
      </c>
      <c r="F384" s="1" t="str">
        <f>"证券买入"</f>
        <v>证券买入</v>
      </c>
      <c r="G384" s="13">
        <v>1.468</v>
      </c>
      <c r="H384" s="1">
        <v>4400</v>
      </c>
      <c r="I384" s="5">
        <v>-6460.49</v>
      </c>
      <c r="J384" s="5">
        <v>1</v>
      </c>
      <c r="K384" s="1">
        <v>1.29</v>
      </c>
      <c r="L384" s="1" t="str">
        <f>"0184500716"</f>
        <v>0184500716</v>
      </c>
      <c r="M384" s="1" t="str">
        <f>"证券买入"</f>
        <v>证券买入</v>
      </c>
    </row>
    <row r="385" spans="1:13" x14ac:dyDescent="0.2">
      <c r="A385" s="3" t="str">
        <f>"7214"</f>
        <v>7214</v>
      </c>
      <c r="B385" s="4">
        <v>43271</v>
      </c>
      <c r="C385" s="1" t="str">
        <f>"华宝添益"</f>
        <v>华宝添益</v>
      </c>
      <c r="D385" s="11" t="str">
        <f>"511990"</f>
        <v>511990</v>
      </c>
      <c r="E385" s="1" t="str">
        <f>"买入"</f>
        <v>买入</v>
      </c>
      <c r="F385" s="1" t="str">
        <f>"红股入帐"</f>
        <v>红股入帐</v>
      </c>
      <c r="G385" s="13">
        <v>99.998999999999995</v>
      </c>
      <c r="H385" s="1">
        <v>1</v>
      </c>
      <c r="I385" s="5">
        <v>0</v>
      </c>
      <c r="J385" s="5">
        <v>1</v>
      </c>
      <c r="K385" s="1">
        <v>0</v>
      </c>
      <c r="L385" s="1" t="str">
        <f>"A280737240"</f>
        <v>A280737240</v>
      </c>
      <c r="M385" s="1" t="str">
        <f>"红股入账"</f>
        <v>红股入账</v>
      </c>
    </row>
    <row r="386" spans="1:13" x14ac:dyDescent="0.2">
      <c r="A386" s="3" t="str">
        <f>"6064"</f>
        <v>6064</v>
      </c>
      <c r="B386" s="4">
        <v>43272</v>
      </c>
      <c r="C386" s="1" t="str">
        <f t="shared" ref="C386:L388" si="76">" "</f>
        <v xml:space="preserve"> </v>
      </c>
      <c r="D386" s="11"/>
      <c r="E386" s="1" t="str">
        <f>"卖出"</f>
        <v>卖出</v>
      </c>
      <c r="F386" s="1" t="str">
        <f>"利息归本"</f>
        <v>利息归本</v>
      </c>
      <c r="G386" s="13">
        <v>0</v>
      </c>
      <c r="H386" s="1">
        <v>0</v>
      </c>
      <c r="I386" s="5">
        <v>0.06</v>
      </c>
      <c r="J386" s="5">
        <v>1.06</v>
      </c>
      <c r="K386" s="1">
        <v>0</v>
      </c>
      <c r="L386" s="1" t="str">
        <f t="shared" si="76"/>
        <v xml:space="preserve"> </v>
      </c>
      <c r="M386" s="1" t="str">
        <f>" 利息归本: 归本利息为 0.06correct_balance=0"</f>
        <v xml:space="preserve"> 利息归本: 归本利息为 0.06correct_balance=0</v>
      </c>
    </row>
    <row r="387" spans="1:13" x14ac:dyDescent="0.2">
      <c r="A387" s="3" t="str">
        <f>"9527"</f>
        <v>9527</v>
      </c>
      <c r="B387" s="4">
        <v>43272</v>
      </c>
      <c r="C387" s="4" t="s">
        <v>34</v>
      </c>
      <c r="D387" s="11">
        <v>940018</v>
      </c>
      <c r="E387" s="1" t="str">
        <f>"卖出"</f>
        <v>卖出</v>
      </c>
      <c r="F387" s="1" t="str">
        <f>"基金资金拨出"</f>
        <v>基金资金拨出</v>
      </c>
      <c r="G387" s="13">
        <v>0</v>
      </c>
      <c r="H387" s="1">
        <v>0</v>
      </c>
      <c r="I387" s="5">
        <v>-1</v>
      </c>
      <c r="J387" s="5">
        <v>0.06</v>
      </c>
      <c r="K387" s="1">
        <v>0</v>
      </c>
      <c r="L387" s="1" t="str">
        <f t="shared" si="76"/>
        <v xml:space="preserve"> </v>
      </c>
      <c r="M387" s="1" t="str">
        <f>"122扣除金额 基金代码：940018,发生份额：1"</f>
        <v>122扣除金额 基金代码：940018,发生份额：1</v>
      </c>
    </row>
    <row r="388" spans="1:13" x14ac:dyDescent="0.2">
      <c r="A388" s="3" t="str">
        <f>"7763"</f>
        <v>7763</v>
      </c>
      <c r="B388" s="4">
        <v>43273</v>
      </c>
      <c r="C388" s="4" t="s">
        <v>34</v>
      </c>
      <c r="D388" s="11">
        <v>940018</v>
      </c>
      <c r="E388" s="1" t="str">
        <f>"卖出"</f>
        <v>卖出</v>
      </c>
      <c r="F388" s="1" t="str">
        <f>"基金资金拨出"</f>
        <v>基金资金拨出</v>
      </c>
      <c r="G388" s="13">
        <v>0</v>
      </c>
      <c r="H388" s="1">
        <v>0</v>
      </c>
      <c r="I388" s="5">
        <v>-0.06</v>
      </c>
      <c r="J388" s="5">
        <v>0</v>
      </c>
      <c r="K388" s="1">
        <v>0</v>
      </c>
      <c r="L388" s="1" t="str">
        <f t="shared" si="76"/>
        <v xml:space="preserve"> </v>
      </c>
      <c r="M388" s="1" t="str">
        <f>"122扣除金额 基金代码：940018,发生份额：.06"</f>
        <v>122扣除金额 基金代码：940018,发生份额：.06</v>
      </c>
    </row>
    <row r="389" spans="1:13" x14ac:dyDescent="0.2">
      <c r="A389" s="3" t="str">
        <f>"6828"</f>
        <v>6828</v>
      </c>
      <c r="B389" s="4">
        <v>43278</v>
      </c>
      <c r="C389" s="1" t="str">
        <f>"华宝添益"</f>
        <v>华宝添益</v>
      </c>
      <c r="D389" s="11" t="str">
        <f>"511990"</f>
        <v>511990</v>
      </c>
      <c r="E389" s="1" t="str">
        <f>"买入"</f>
        <v>买入</v>
      </c>
      <c r="F389" s="1" t="str">
        <f>"红股入帐"</f>
        <v>红股入帐</v>
      </c>
      <c r="G389" s="13">
        <v>99.971999999999994</v>
      </c>
      <c r="H389" s="1">
        <v>1</v>
      </c>
      <c r="I389" s="5">
        <v>0</v>
      </c>
      <c r="J389" s="5">
        <v>0</v>
      </c>
      <c r="K389" s="1">
        <v>0</v>
      </c>
      <c r="L389" s="1" t="str">
        <f>"A280737240"</f>
        <v>A280737240</v>
      </c>
      <c r="M389" s="1" t="str">
        <f>"红股入账"</f>
        <v>红股入账</v>
      </c>
    </row>
    <row r="390" spans="1:13" x14ac:dyDescent="0.2">
      <c r="A390" s="3" t="str">
        <f>"1908"</f>
        <v>1908</v>
      </c>
      <c r="B390" s="4">
        <v>43279</v>
      </c>
      <c r="C390" s="1" t="str">
        <f>"银华日利"</f>
        <v>银华日利</v>
      </c>
      <c r="D390" s="11" t="str">
        <f>"511880"</f>
        <v>511880</v>
      </c>
      <c r="E390" s="1" t="str">
        <f>"卖出"</f>
        <v>卖出</v>
      </c>
      <c r="F390" s="1" t="str">
        <f>"证券卖出"</f>
        <v>证券卖出</v>
      </c>
      <c r="G390" s="13">
        <v>102.009</v>
      </c>
      <c r="H390" s="1">
        <v>-300</v>
      </c>
      <c r="I390" s="5">
        <v>30602.7</v>
      </c>
      <c r="J390" s="5">
        <v>30602.7</v>
      </c>
      <c r="K390" s="1">
        <v>0</v>
      </c>
      <c r="L390" s="1" t="str">
        <f>"A280737240"</f>
        <v>A280737240</v>
      </c>
      <c r="M390" s="1" t="str">
        <f>"证券卖出"</f>
        <v>证券卖出</v>
      </c>
    </row>
    <row r="391" spans="1:13" x14ac:dyDescent="0.2">
      <c r="A391" s="3" t="str">
        <f>"1909"</f>
        <v>1909</v>
      </c>
      <c r="B391" s="4">
        <v>43279</v>
      </c>
      <c r="C391" s="1" t="str">
        <f>"300ETF"</f>
        <v>300ETF</v>
      </c>
      <c r="D391" s="11" t="str">
        <f>"510300"</f>
        <v>510300</v>
      </c>
      <c r="E391" s="1" t="str">
        <f>"买入"</f>
        <v>买入</v>
      </c>
      <c r="F391" s="1" t="str">
        <f>"证券买入"</f>
        <v>证券买入</v>
      </c>
      <c r="G391" s="13">
        <v>3.448</v>
      </c>
      <c r="H391" s="1">
        <v>1800</v>
      </c>
      <c r="I391" s="5">
        <v>-6207.64</v>
      </c>
      <c r="J391" s="5">
        <v>24395.06</v>
      </c>
      <c r="K391" s="1">
        <v>1.24</v>
      </c>
      <c r="L391" s="1" t="str">
        <f>"A280737240"</f>
        <v>A280737240</v>
      </c>
      <c r="M391" s="1" t="str">
        <f>"证券买入"</f>
        <v>证券买入</v>
      </c>
    </row>
    <row r="392" spans="1:13" x14ac:dyDescent="0.2">
      <c r="A392" s="3" t="str">
        <f>"1910"</f>
        <v>1910</v>
      </c>
      <c r="B392" s="4">
        <v>43279</v>
      </c>
      <c r="C392" s="1" t="str">
        <f>"环保ETF"</f>
        <v>环保ETF</v>
      </c>
      <c r="D392" s="11" t="str">
        <f>"512580"</f>
        <v>512580</v>
      </c>
      <c r="E392" s="1" t="str">
        <f>"买入"</f>
        <v>买入</v>
      </c>
      <c r="F392" s="1" t="str">
        <f>"证券买入"</f>
        <v>证券买入</v>
      </c>
      <c r="G392" s="13">
        <v>0.76400000000000001</v>
      </c>
      <c r="H392" s="1">
        <v>8400</v>
      </c>
      <c r="I392" s="5">
        <v>-6418.88</v>
      </c>
      <c r="J392" s="5">
        <v>17976.18</v>
      </c>
      <c r="K392" s="1">
        <v>1.28</v>
      </c>
      <c r="L392" s="1" t="str">
        <f>"A280737240"</f>
        <v>A280737240</v>
      </c>
      <c r="M392" s="1" t="str">
        <f>"证券买入"</f>
        <v>证券买入</v>
      </c>
    </row>
    <row r="393" spans="1:13" x14ac:dyDescent="0.2">
      <c r="A393" s="3" t="str">
        <f>"3514"</f>
        <v>3514</v>
      </c>
      <c r="B393" s="4">
        <v>43279</v>
      </c>
      <c r="C393" s="4" t="s">
        <v>34</v>
      </c>
      <c r="D393" s="11">
        <v>940018</v>
      </c>
      <c r="E393" s="1" t="str">
        <f t="shared" ref="E393:E403" si="77">"卖出"</f>
        <v>卖出</v>
      </c>
      <c r="F393" s="1" t="str">
        <f>"基金资金拨出"</f>
        <v>基金资金拨出</v>
      </c>
      <c r="G393" s="13">
        <v>0</v>
      </c>
      <c r="H393" s="1">
        <v>0</v>
      </c>
      <c r="I393" s="5">
        <v>-17975.18</v>
      </c>
      <c r="J393" s="5">
        <v>1</v>
      </c>
      <c r="K393" s="1">
        <v>0</v>
      </c>
      <c r="L393" s="1" t="str">
        <f t="shared" ref="C393:L396" si="78">" "</f>
        <v xml:space="preserve"> </v>
      </c>
      <c r="M393" s="1" t="str">
        <f>"122扣除金额 基金代码：940018,发生份额：17975.18"</f>
        <v>122扣除金额 基金代码：940018,发生份额：17975.18</v>
      </c>
    </row>
    <row r="394" spans="1:13" x14ac:dyDescent="0.2">
      <c r="A394" s="3" t="str">
        <f>"670"</f>
        <v>670</v>
      </c>
      <c r="B394" s="4">
        <v>43280</v>
      </c>
      <c r="C394" s="4" t="s">
        <v>34</v>
      </c>
      <c r="D394" s="11">
        <v>940018</v>
      </c>
      <c r="E394" s="1" t="str">
        <f t="shared" si="77"/>
        <v>卖出</v>
      </c>
      <c r="F394" s="1" t="str">
        <f>"资管转让资金上账"</f>
        <v>资管转让资金上账</v>
      </c>
      <c r="G394" s="13">
        <v>0</v>
      </c>
      <c r="H394" s="1">
        <v>0</v>
      </c>
      <c r="I394" s="5">
        <v>12799</v>
      </c>
      <c r="J394" s="5">
        <v>12800</v>
      </c>
      <c r="K394" s="1">
        <v>0</v>
      </c>
      <c r="L394" s="1" t="str">
        <f t="shared" si="78"/>
        <v xml:space="preserve"> </v>
      </c>
      <c r="M394" s="1" t="str">
        <f>"快速取现退出资金拨入,产品代码940018,对方资产账户40000545correct_balance=0"</f>
        <v>快速取现退出资金拨入,产品代码940018,对方资产账户40000545correct_balance=0</v>
      </c>
    </row>
    <row r="395" spans="1:13" x14ac:dyDescent="0.2">
      <c r="A395" s="3" t="str">
        <f>"673"</f>
        <v>673</v>
      </c>
      <c r="B395" s="4">
        <v>43280</v>
      </c>
      <c r="C395" s="1" t="str">
        <f t="shared" si="78"/>
        <v xml:space="preserve"> </v>
      </c>
      <c r="D395" s="11"/>
      <c r="E395" s="1" t="str">
        <f t="shared" si="77"/>
        <v>卖出</v>
      </c>
      <c r="F395" s="1" t="str">
        <f>"银行转取"</f>
        <v>银行转取</v>
      </c>
      <c r="G395" s="13">
        <v>0</v>
      </c>
      <c r="H395" s="1">
        <v>0</v>
      </c>
      <c r="I395" s="5">
        <v>-12800</v>
      </c>
      <c r="J395" s="5">
        <v>0</v>
      </c>
      <c r="K395" s="1">
        <v>0</v>
      </c>
      <c r="L395" s="1" t="str">
        <f t="shared" si="78"/>
        <v xml:space="preserve"> </v>
      </c>
      <c r="M395" s="1" t="str">
        <f>"银行返回码[ ]返回信息[0000 交易成功]|转账成功 转账账号:6225881012906292 correct_balance=12800"</f>
        <v>银行返回码[ ]返回信息[0000 交易成功]|转账成功 转账账号:6225881012906292 correct_balance=12800</v>
      </c>
    </row>
    <row r="396" spans="1:13" x14ac:dyDescent="0.2">
      <c r="A396" s="3" t="str">
        <f>"2354"</f>
        <v>2354</v>
      </c>
      <c r="B396" s="4">
        <v>43283</v>
      </c>
      <c r="C396" s="4" t="s">
        <v>34</v>
      </c>
      <c r="D396" s="11">
        <v>940018</v>
      </c>
      <c r="E396" s="1" t="str">
        <f t="shared" si="77"/>
        <v>卖出</v>
      </c>
      <c r="F396" s="1" t="str">
        <f>"基金资金拨出"</f>
        <v>基金资金拨出</v>
      </c>
      <c r="G396" s="13">
        <v>0</v>
      </c>
      <c r="H396" s="1">
        <v>0</v>
      </c>
      <c r="I396" s="5">
        <v>-30001.4</v>
      </c>
      <c r="J396" s="5">
        <v>-30001.4</v>
      </c>
      <c r="K396" s="1">
        <v>0</v>
      </c>
      <c r="L396" s="1" t="str">
        <f t="shared" si="78"/>
        <v xml:space="preserve"> </v>
      </c>
      <c r="M396" s="1" t="str">
        <f>"122扣除金额 基金代码：940018,发生份额：30001.4"</f>
        <v>122扣除金额 基金代码：940018,发生份额：30001.4</v>
      </c>
    </row>
    <row r="397" spans="1:13" x14ac:dyDescent="0.2">
      <c r="A397" s="3" t="str">
        <f>"4294"</f>
        <v>4294</v>
      </c>
      <c r="B397" s="4">
        <v>43283</v>
      </c>
      <c r="C397" s="1" t="str">
        <f>"华宝添益"</f>
        <v>华宝添益</v>
      </c>
      <c r="D397" s="11" t="str">
        <f>"511990"</f>
        <v>511990</v>
      </c>
      <c r="E397" s="1" t="str">
        <f t="shared" si="77"/>
        <v>卖出</v>
      </c>
      <c r="F397" s="1" t="str">
        <f>"证券卖出"</f>
        <v>证券卖出</v>
      </c>
      <c r="G397" s="13">
        <v>100.008</v>
      </c>
      <c r="H397" s="1">
        <v>-300</v>
      </c>
      <c r="I397" s="5">
        <v>30002.400000000001</v>
      </c>
      <c r="J397" s="5">
        <v>1</v>
      </c>
      <c r="K397" s="1">
        <v>0</v>
      </c>
      <c r="L397" s="1" t="str">
        <f>"A280737240"</f>
        <v>A280737240</v>
      </c>
      <c r="M397" s="1" t="str">
        <f>"证券卖出"</f>
        <v>证券卖出</v>
      </c>
    </row>
    <row r="398" spans="1:13" x14ac:dyDescent="0.2">
      <c r="A398" s="3" t="str">
        <f>"781"</f>
        <v>781</v>
      </c>
      <c r="B398" s="4">
        <v>43284</v>
      </c>
      <c r="C398" s="4" t="s">
        <v>34</v>
      </c>
      <c r="D398" s="11">
        <v>940018</v>
      </c>
      <c r="E398" s="1" t="str">
        <f t="shared" si="77"/>
        <v>卖出</v>
      </c>
      <c r="F398" s="1" t="str">
        <f>"资管转让资金上账"</f>
        <v>资管转让资金上账</v>
      </c>
      <c r="G398" s="13">
        <v>0</v>
      </c>
      <c r="H398" s="1">
        <v>0</v>
      </c>
      <c r="I398" s="5">
        <v>31999</v>
      </c>
      <c r="J398" s="5">
        <v>32000</v>
      </c>
      <c r="K398" s="1">
        <v>0</v>
      </c>
      <c r="L398" s="1" t="str">
        <f t="shared" ref="C398:L401" si="79">" "</f>
        <v xml:space="preserve"> </v>
      </c>
      <c r="M398" s="1" t="str">
        <f>"快速取现退出资金拨入,产品代码940018,对方资产账户40000545correct_balance=0"</f>
        <v>快速取现退出资金拨入,产品代码940018,对方资产账户40000545correct_balance=0</v>
      </c>
    </row>
    <row r="399" spans="1:13" x14ac:dyDescent="0.2">
      <c r="A399" s="3" t="str">
        <f>"784"</f>
        <v>784</v>
      </c>
      <c r="B399" s="4">
        <v>43284</v>
      </c>
      <c r="C399" s="1" t="str">
        <f t="shared" si="79"/>
        <v xml:space="preserve"> </v>
      </c>
      <c r="D399" s="11"/>
      <c r="E399" s="1" t="str">
        <f t="shared" si="77"/>
        <v>卖出</v>
      </c>
      <c r="F399" s="1" t="str">
        <f>"银行转取"</f>
        <v>银行转取</v>
      </c>
      <c r="G399" s="13">
        <v>0</v>
      </c>
      <c r="H399" s="1">
        <v>0</v>
      </c>
      <c r="I399" s="5">
        <v>-32000</v>
      </c>
      <c r="J399" s="5">
        <v>0</v>
      </c>
      <c r="K399" s="1">
        <v>0</v>
      </c>
      <c r="L399" s="1" t="str">
        <f t="shared" si="79"/>
        <v xml:space="preserve"> </v>
      </c>
      <c r="M399" s="1" t="str">
        <f>"银行返回码[ ]返回信息[0000 交易成功]|转账成功 转账账号:6225881012906292 correct_balance=32000"</f>
        <v>银行返回码[ ]返回信息[0000 交易成功]|转账成功 转账账号:6225881012906292 correct_balance=32000</v>
      </c>
    </row>
    <row r="400" spans="1:13" x14ac:dyDescent="0.2">
      <c r="A400" s="3" t="str">
        <f>"2017"</f>
        <v>2017</v>
      </c>
      <c r="B400" s="4">
        <v>43285</v>
      </c>
      <c r="C400" s="4" t="s">
        <v>34</v>
      </c>
      <c r="D400" s="11">
        <v>940018</v>
      </c>
      <c r="E400" s="1" t="str">
        <f t="shared" si="77"/>
        <v>卖出</v>
      </c>
      <c r="F400" s="1" t="str">
        <f>"基金资金拨出"</f>
        <v>基金资金拨出</v>
      </c>
      <c r="G400" s="13">
        <v>0</v>
      </c>
      <c r="H400" s="1">
        <v>0</v>
      </c>
      <c r="I400" s="5">
        <v>-440.32</v>
      </c>
      <c r="J400" s="5">
        <v>-440.32</v>
      </c>
      <c r="K400" s="1">
        <v>0</v>
      </c>
      <c r="L400" s="1" t="str">
        <f t="shared" si="79"/>
        <v xml:space="preserve"> </v>
      </c>
      <c r="M400" s="1" t="str">
        <f>"122扣除金额 基金代码：940018,发生份额：440.32"</f>
        <v>122扣除金额 基金代码：940018,发生份额：440.32</v>
      </c>
    </row>
    <row r="401" spans="1:13" x14ac:dyDescent="0.2">
      <c r="A401" s="3" t="str">
        <f>"2018"</f>
        <v>2018</v>
      </c>
      <c r="B401" s="4">
        <v>43285</v>
      </c>
      <c r="C401" s="4" t="s">
        <v>34</v>
      </c>
      <c r="D401" s="11">
        <v>940018</v>
      </c>
      <c r="E401" s="1" t="str">
        <f t="shared" si="77"/>
        <v>卖出</v>
      </c>
      <c r="F401" s="1" t="str">
        <f>"基金资金拨入"</f>
        <v>基金资金拨入</v>
      </c>
      <c r="G401" s="13">
        <v>0</v>
      </c>
      <c r="H401" s="1">
        <v>0</v>
      </c>
      <c r="I401" s="5">
        <v>4313.58</v>
      </c>
      <c r="J401" s="5">
        <v>3873.26</v>
      </c>
      <c r="K401" s="1">
        <v>0</v>
      </c>
      <c r="L401" s="1" t="str">
        <f t="shared" si="79"/>
        <v xml:space="preserve"> </v>
      </c>
      <c r="M401" s="1" t="str">
        <f>"124增加金额 基金代码：940018,发生份额：4313.58"</f>
        <v>124增加金额 基金代码：940018,发生份额：4313.58</v>
      </c>
    </row>
    <row r="402" spans="1:13" x14ac:dyDescent="0.2">
      <c r="A402" s="3" t="str">
        <f>"4013"</f>
        <v>4013</v>
      </c>
      <c r="B402" s="4">
        <v>43285</v>
      </c>
      <c r="C402" s="1" t="str">
        <f>"华宝添益"</f>
        <v>华宝添益</v>
      </c>
      <c r="D402" s="11" t="str">
        <f>"511990"</f>
        <v>511990</v>
      </c>
      <c r="E402" s="1" t="str">
        <f t="shared" si="77"/>
        <v>卖出</v>
      </c>
      <c r="F402" s="1" t="str">
        <f>"证券卖出"</f>
        <v>证券卖出</v>
      </c>
      <c r="G402" s="13">
        <v>100.026</v>
      </c>
      <c r="H402" s="1">
        <v>-1111</v>
      </c>
      <c r="I402" s="5">
        <v>111128.89</v>
      </c>
      <c r="J402" s="5">
        <v>115002.15</v>
      </c>
      <c r="K402" s="1">
        <v>0</v>
      </c>
      <c r="L402" s="1" t="str">
        <f>"A280737240"</f>
        <v>A280737240</v>
      </c>
      <c r="M402" s="1" t="str">
        <f>"证券卖出"</f>
        <v>证券卖出</v>
      </c>
    </row>
    <row r="403" spans="1:13" x14ac:dyDescent="0.2">
      <c r="A403" s="3" t="str">
        <f>"5948"</f>
        <v>5948</v>
      </c>
      <c r="B403" s="4">
        <v>43285</v>
      </c>
      <c r="C403" s="1" t="str">
        <f>"Ｒ-001"</f>
        <v>Ｒ-001</v>
      </c>
      <c r="D403" s="11" t="str">
        <f>"131810"</f>
        <v>131810</v>
      </c>
      <c r="E403" s="1" t="str">
        <f t="shared" si="77"/>
        <v>卖出</v>
      </c>
      <c r="F403" s="1" t="str">
        <f>"质押回购拆出"</f>
        <v>质押回购拆出</v>
      </c>
      <c r="G403" s="13">
        <v>2.484</v>
      </c>
      <c r="H403" s="1">
        <v>1150</v>
      </c>
      <c r="I403" s="5">
        <v>-115001.15</v>
      </c>
      <c r="J403" s="5">
        <v>1</v>
      </c>
      <c r="K403" s="1">
        <v>1.1499999999999999</v>
      </c>
      <c r="L403" s="1" t="str">
        <f>"0184500716"</f>
        <v>0184500716</v>
      </c>
      <c r="M403" s="1" t="str">
        <f>"融券回购购回日:20180705预计利息:7.82参考占款天数：1-131990"</f>
        <v>融券回购购回日:20180705预计利息:7.82参考占款天数：1-131990</v>
      </c>
    </row>
    <row r="404" spans="1:13" x14ac:dyDescent="0.2">
      <c r="A404" s="3" t="str">
        <f>"6514"</f>
        <v>6514</v>
      </c>
      <c r="B404" s="4">
        <v>43285</v>
      </c>
      <c r="C404" s="1" t="str">
        <f>"华宝添益"</f>
        <v>华宝添益</v>
      </c>
      <c r="D404" s="11" t="str">
        <f>"511990"</f>
        <v>511990</v>
      </c>
      <c r="E404" s="1" t="str">
        <f>"买入"</f>
        <v>买入</v>
      </c>
      <c r="F404" s="1" t="str">
        <f>"红股入帐"</f>
        <v>红股入帐</v>
      </c>
      <c r="G404" s="13">
        <v>100.063</v>
      </c>
      <c r="H404" s="1">
        <v>1</v>
      </c>
      <c r="I404" s="5">
        <v>0</v>
      </c>
      <c r="J404" s="5">
        <v>1</v>
      </c>
      <c r="K404" s="1">
        <v>0</v>
      </c>
      <c r="L404" s="1" t="str">
        <f>"A280737240"</f>
        <v>A280737240</v>
      </c>
      <c r="M404" s="1" t="str">
        <f>"红股入账"</f>
        <v>红股入账</v>
      </c>
    </row>
    <row r="405" spans="1:13" x14ac:dyDescent="0.2">
      <c r="A405" s="3" t="str">
        <f>"2377"</f>
        <v>2377</v>
      </c>
      <c r="B405" s="4">
        <v>43286</v>
      </c>
      <c r="C405" s="1" t="str">
        <f>"50ETF"</f>
        <v>50ETF</v>
      </c>
      <c r="D405" s="11" t="str">
        <f>"510050"</f>
        <v>510050</v>
      </c>
      <c r="E405" s="1" t="str">
        <f>"买入"</f>
        <v>买入</v>
      </c>
      <c r="F405" s="1" t="str">
        <f>"证券买入"</f>
        <v>证券买入</v>
      </c>
      <c r="G405" s="13">
        <v>2.3860000000000001</v>
      </c>
      <c r="H405" s="1">
        <v>2700</v>
      </c>
      <c r="I405" s="5">
        <v>-6443.49</v>
      </c>
      <c r="J405" s="5">
        <v>-6442.49</v>
      </c>
      <c r="K405" s="1">
        <v>1.29</v>
      </c>
      <c r="L405" s="1" t="str">
        <f>"A280737240"</f>
        <v>A280737240</v>
      </c>
      <c r="M405" s="1" t="str">
        <f>"证券买入"</f>
        <v>证券买入</v>
      </c>
    </row>
    <row r="406" spans="1:13" x14ac:dyDescent="0.2">
      <c r="A406" s="3" t="str">
        <f>"5039"</f>
        <v>5039</v>
      </c>
      <c r="B406" s="4">
        <v>43286</v>
      </c>
      <c r="C406" s="1" t="str">
        <f>"Ｒ-001"</f>
        <v>Ｒ-001</v>
      </c>
      <c r="D406" s="11" t="str">
        <f>"131810"</f>
        <v>131810</v>
      </c>
      <c r="E406" s="1" t="str">
        <f t="shared" ref="E406:E414" si="80">"卖出"</f>
        <v>卖出</v>
      </c>
      <c r="F406" s="1" t="str">
        <f>"拆出质押购回"</f>
        <v>拆出质押购回</v>
      </c>
      <c r="G406" s="13">
        <v>2.484</v>
      </c>
      <c r="H406" s="1">
        <v>-1150</v>
      </c>
      <c r="I406" s="5">
        <v>115007.82</v>
      </c>
      <c r="J406" s="5">
        <v>108565.33</v>
      </c>
      <c r="K406" s="1">
        <v>0</v>
      </c>
      <c r="L406" s="1" t="str">
        <f>"0184500716"</f>
        <v>0184500716</v>
      </c>
      <c r="M406" s="1" t="str">
        <f>"融券购回:7.82实际占款天数：1-131990"</f>
        <v>融券购回:7.82实际占款天数：1-131990</v>
      </c>
    </row>
    <row r="407" spans="1:13" x14ac:dyDescent="0.2">
      <c r="A407" s="3" t="str">
        <f>"6391"</f>
        <v>6391</v>
      </c>
      <c r="B407" s="4">
        <v>43286</v>
      </c>
      <c r="C407" s="4" t="s">
        <v>34</v>
      </c>
      <c r="D407" s="11">
        <v>940018</v>
      </c>
      <c r="E407" s="1" t="str">
        <f t="shared" si="80"/>
        <v>卖出</v>
      </c>
      <c r="F407" s="1" t="str">
        <f>"基金资金拨出"</f>
        <v>基金资金拨出</v>
      </c>
      <c r="G407" s="13">
        <v>0</v>
      </c>
      <c r="H407" s="1">
        <v>0</v>
      </c>
      <c r="I407" s="5">
        <v>-108564.33</v>
      </c>
      <c r="J407" s="5">
        <v>1</v>
      </c>
      <c r="K407" s="1">
        <v>0</v>
      </c>
      <c r="L407" s="1" t="str">
        <f t="shared" ref="C407:L409" si="81">" "</f>
        <v xml:space="preserve"> </v>
      </c>
      <c r="M407" s="1" t="str">
        <f>"122扣除金额 基金代码：940018,发生份额：108564.33"</f>
        <v>122扣除金额 基金代码：940018,发生份额：108564.33</v>
      </c>
    </row>
    <row r="408" spans="1:13" x14ac:dyDescent="0.2">
      <c r="A408" s="3" t="str">
        <f>"491"</f>
        <v>491</v>
      </c>
      <c r="B408" s="4">
        <v>43287</v>
      </c>
      <c r="C408" s="4" t="s">
        <v>34</v>
      </c>
      <c r="D408" s="11">
        <v>940018</v>
      </c>
      <c r="E408" s="1" t="str">
        <f t="shared" si="80"/>
        <v>卖出</v>
      </c>
      <c r="F408" s="1" t="str">
        <f>"资管转让资金上账"</f>
        <v>资管转让资金上账</v>
      </c>
      <c r="G408" s="13">
        <v>0</v>
      </c>
      <c r="H408" s="1">
        <v>0</v>
      </c>
      <c r="I408" s="5">
        <v>102399</v>
      </c>
      <c r="J408" s="5">
        <v>102400</v>
      </c>
      <c r="K408" s="1">
        <v>0</v>
      </c>
      <c r="L408" s="1" t="str">
        <f t="shared" si="81"/>
        <v xml:space="preserve"> </v>
      </c>
      <c r="M408" s="1" t="str">
        <f>"快速取现退出资金拨入,产品代码940018,对方资产账户40000545correct_balance=0"</f>
        <v>快速取现退出资金拨入,产品代码940018,对方资产账户40000545correct_balance=0</v>
      </c>
    </row>
    <row r="409" spans="1:13" x14ac:dyDescent="0.2">
      <c r="A409" s="3" t="str">
        <f>"495"</f>
        <v>495</v>
      </c>
      <c r="B409" s="4">
        <v>43287</v>
      </c>
      <c r="C409" s="1" t="str">
        <f t="shared" si="81"/>
        <v xml:space="preserve"> </v>
      </c>
      <c r="D409" s="11"/>
      <c r="E409" s="1" t="str">
        <f t="shared" si="80"/>
        <v>卖出</v>
      </c>
      <c r="F409" s="1" t="str">
        <f>"银行转取"</f>
        <v>银行转取</v>
      </c>
      <c r="G409" s="13">
        <v>0</v>
      </c>
      <c r="H409" s="1">
        <v>0</v>
      </c>
      <c r="I409" s="5">
        <v>-102400</v>
      </c>
      <c r="J409" s="5">
        <v>0</v>
      </c>
      <c r="K409" s="1">
        <v>0</v>
      </c>
      <c r="L409" s="1" t="str">
        <f t="shared" si="81"/>
        <v xml:space="preserve"> </v>
      </c>
      <c r="M409" s="1" t="str">
        <f>"银行返回码[ ]返回信息[0000 交易成功]|转账成功 转账账号:6225881012906292 correct_balance=102400"</f>
        <v>银行返回码[ ]返回信息[0000 交易成功]|转账成功 转账账号:6225881012906292 correct_balance=102400</v>
      </c>
    </row>
    <row r="410" spans="1:13" x14ac:dyDescent="0.2">
      <c r="A410" s="3" t="str">
        <f>"2489"</f>
        <v>2489</v>
      </c>
      <c r="B410" s="4">
        <v>43287</v>
      </c>
      <c r="C410" s="1" t="str">
        <f>"华宝添益"</f>
        <v>华宝添益</v>
      </c>
      <c r="D410" s="11" t="str">
        <f>"511990"</f>
        <v>511990</v>
      </c>
      <c r="E410" s="1" t="str">
        <f t="shared" si="80"/>
        <v>卖出</v>
      </c>
      <c r="F410" s="1" t="str">
        <f>"证券卖出"</f>
        <v>证券卖出</v>
      </c>
      <c r="G410" s="13">
        <v>100.036</v>
      </c>
      <c r="H410" s="1">
        <v>-1</v>
      </c>
      <c r="I410" s="5">
        <v>100.04</v>
      </c>
      <c r="J410" s="5">
        <v>100.04</v>
      </c>
      <c r="K410" s="1">
        <v>0</v>
      </c>
      <c r="L410" s="1" t="str">
        <f>"A280737240"</f>
        <v>A280737240</v>
      </c>
      <c r="M410" s="1" t="str">
        <f>"证券卖出"</f>
        <v>证券卖出</v>
      </c>
    </row>
    <row r="411" spans="1:13" x14ac:dyDescent="0.2">
      <c r="A411" s="3" t="str">
        <f>"6599"</f>
        <v>6599</v>
      </c>
      <c r="B411" s="4">
        <v>43287</v>
      </c>
      <c r="C411" s="4" t="s">
        <v>34</v>
      </c>
      <c r="D411" s="11">
        <v>940018</v>
      </c>
      <c r="E411" s="1" t="str">
        <f t="shared" si="80"/>
        <v>卖出</v>
      </c>
      <c r="F411" s="1" t="str">
        <f>"基金资金拨出"</f>
        <v>基金资金拨出</v>
      </c>
      <c r="G411" s="13">
        <v>0</v>
      </c>
      <c r="H411" s="1">
        <v>0</v>
      </c>
      <c r="I411" s="5">
        <v>-99.04</v>
      </c>
      <c r="J411" s="5">
        <v>1</v>
      </c>
      <c r="K411" s="1">
        <v>0</v>
      </c>
      <c r="L411" s="1" t="str">
        <f t="shared" ref="L411:L412" si="82">" "</f>
        <v xml:space="preserve"> </v>
      </c>
      <c r="M411" s="1" t="str">
        <f>"122扣除金额 基金代码：940018,发生份额：99.04"</f>
        <v>122扣除金额 基金代码：940018,发生份额：99.04</v>
      </c>
    </row>
    <row r="412" spans="1:13" x14ac:dyDescent="0.2">
      <c r="A412" s="3" t="str">
        <f>"2021"</f>
        <v>2021</v>
      </c>
      <c r="B412" s="4">
        <v>43290</v>
      </c>
      <c r="C412" s="4" t="s">
        <v>34</v>
      </c>
      <c r="D412" s="11">
        <v>940018</v>
      </c>
      <c r="E412" s="1" t="str">
        <f t="shared" si="80"/>
        <v>卖出</v>
      </c>
      <c r="F412" s="1" t="str">
        <f>"基金资金拨出"</f>
        <v>基金资金拨出</v>
      </c>
      <c r="G412" s="13">
        <v>0</v>
      </c>
      <c r="H412" s="1">
        <v>0</v>
      </c>
      <c r="I412" s="5">
        <v>-1</v>
      </c>
      <c r="J412" s="5">
        <v>0</v>
      </c>
      <c r="K412" s="1">
        <v>0</v>
      </c>
      <c r="L412" s="1" t="str">
        <f t="shared" si="82"/>
        <v xml:space="preserve"> </v>
      </c>
      <c r="M412" s="1" t="str">
        <f>"122扣除金额 基金代码：940018,发生份额：1"</f>
        <v>122扣除金额 基金代码：940018,发生份额：1</v>
      </c>
    </row>
    <row r="413" spans="1:13" x14ac:dyDescent="0.2">
      <c r="A413" s="3" t="str">
        <f>"6212"</f>
        <v>6212</v>
      </c>
      <c r="B413" s="4">
        <v>43290</v>
      </c>
      <c r="C413" s="1" t="str">
        <f>"华宝添益"</f>
        <v>华宝添益</v>
      </c>
      <c r="D413" s="11" t="str">
        <f>"511990"</f>
        <v>511990</v>
      </c>
      <c r="E413" s="1" t="str">
        <f t="shared" si="80"/>
        <v>卖出</v>
      </c>
      <c r="F413" s="1" t="str">
        <f>"ETF现金替代退款"</f>
        <v>ETF现金替代退款</v>
      </c>
      <c r="G413" s="13">
        <v>100.023</v>
      </c>
      <c r="H413" s="1">
        <v>0</v>
      </c>
      <c r="I413" s="5">
        <v>4.66</v>
      </c>
      <c r="J413" s="5">
        <v>4.66</v>
      </c>
      <c r="K413" s="1">
        <v>0</v>
      </c>
      <c r="L413" s="1" t="str">
        <f>"A280737240"</f>
        <v>A280737240</v>
      </c>
      <c r="M413" s="1" t="str">
        <f>"ETF现金替代退款,证券代码:511990,委托时间:20180706,成交编号:32"</f>
        <v>ETF现金替代退款,证券代码:511990,委托时间:20180706,成交编号:32</v>
      </c>
    </row>
    <row r="414" spans="1:13" x14ac:dyDescent="0.2">
      <c r="A414" s="3" t="str">
        <f>"2373"</f>
        <v>2373</v>
      </c>
      <c r="B414" s="4">
        <v>43291</v>
      </c>
      <c r="C414" s="4" t="s">
        <v>34</v>
      </c>
      <c r="D414" s="11">
        <v>940018</v>
      </c>
      <c r="E414" s="1" t="str">
        <f t="shared" si="80"/>
        <v>卖出</v>
      </c>
      <c r="F414" s="1" t="str">
        <f>"基金资金拨出"</f>
        <v>基金资金拨出</v>
      </c>
      <c r="G414" s="13">
        <v>0</v>
      </c>
      <c r="H414" s="1">
        <v>0</v>
      </c>
      <c r="I414" s="5">
        <v>-4.66</v>
      </c>
      <c r="J414" s="5">
        <v>0</v>
      </c>
      <c r="K414" s="1">
        <v>0</v>
      </c>
      <c r="L414" s="1" t="str">
        <f>" "</f>
        <v xml:space="preserve"> </v>
      </c>
      <c r="M414" s="1" t="str">
        <f>"122扣除金额 基金代码：940018,发生份额：4.66"</f>
        <v>122扣除金额 基金代码：940018,发生份额：4.66</v>
      </c>
    </row>
    <row r="415" spans="1:13" x14ac:dyDescent="0.2">
      <c r="A415" s="3" t="str">
        <f>"1962"</f>
        <v>1962</v>
      </c>
      <c r="B415" s="4">
        <v>43297</v>
      </c>
      <c r="C415" s="1" t="str">
        <f>"传媒ETF"</f>
        <v>传媒ETF</v>
      </c>
      <c r="D415" s="11" t="str">
        <f>"512980"</f>
        <v>512980</v>
      </c>
      <c r="E415" s="1" t="str">
        <f>"买入"</f>
        <v>买入</v>
      </c>
      <c r="F415" s="1" t="str">
        <f>"证券买入"</f>
        <v>证券买入</v>
      </c>
      <c r="G415" s="13">
        <v>0.81799999999999995</v>
      </c>
      <c r="H415" s="1">
        <v>7800</v>
      </c>
      <c r="I415" s="5">
        <v>-6381.68</v>
      </c>
      <c r="J415" s="5">
        <v>-6381.68</v>
      </c>
      <c r="K415" s="1">
        <v>1.28</v>
      </c>
      <c r="L415" s="1" t="str">
        <f>"A280737240"</f>
        <v>A280737240</v>
      </c>
      <c r="M415" s="1" t="str">
        <f>"证券买入"</f>
        <v>证券买入</v>
      </c>
    </row>
    <row r="416" spans="1:13" x14ac:dyDescent="0.2">
      <c r="A416" s="3" t="str">
        <f>"1963"</f>
        <v>1963</v>
      </c>
      <c r="B416" s="4">
        <v>43297</v>
      </c>
      <c r="C416" s="1" t="str">
        <f>"银华日利"</f>
        <v>银华日利</v>
      </c>
      <c r="D416" s="11" t="str">
        <f>"511880"</f>
        <v>511880</v>
      </c>
      <c r="E416" s="1" t="str">
        <f t="shared" ref="E416:E425" si="83">"卖出"</f>
        <v>卖出</v>
      </c>
      <c r="F416" s="1" t="str">
        <f>"证券卖出"</f>
        <v>证券卖出</v>
      </c>
      <c r="G416" s="13">
        <v>102.277</v>
      </c>
      <c r="H416" s="1">
        <v>-100</v>
      </c>
      <c r="I416" s="5">
        <v>10227.700000000001</v>
      </c>
      <c r="J416" s="5">
        <v>3846.02</v>
      </c>
      <c r="K416" s="1">
        <v>0</v>
      </c>
      <c r="L416" s="1" t="str">
        <f>"A280737240"</f>
        <v>A280737240</v>
      </c>
      <c r="M416" s="1" t="str">
        <f>"证券卖出"</f>
        <v>证券卖出</v>
      </c>
    </row>
    <row r="417" spans="1:13" x14ac:dyDescent="0.2">
      <c r="A417" s="3" t="str">
        <f>"1964"</f>
        <v>1964</v>
      </c>
      <c r="B417" s="4">
        <v>43297</v>
      </c>
      <c r="C417" s="1" t="str">
        <f>"银华日利"</f>
        <v>银华日利</v>
      </c>
      <c r="D417" s="11" t="str">
        <f>"511880"</f>
        <v>511880</v>
      </c>
      <c r="E417" s="1" t="str">
        <f t="shared" si="83"/>
        <v>卖出</v>
      </c>
      <c r="F417" s="1" t="str">
        <f>"证券卖出"</f>
        <v>证券卖出</v>
      </c>
      <c r="G417" s="13">
        <v>102.277</v>
      </c>
      <c r="H417" s="1">
        <v>-100</v>
      </c>
      <c r="I417" s="5">
        <v>10227.700000000001</v>
      </c>
      <c r="J417" s="5">
        <v>14073.72</v>
      </c>
      <c r="K417" s="1">
        <v>0</v>
      </c>
      <c r="L417" s="1" t="str">
        <f>"A280737240"</f>
        <v>A280737240</v>
      </c>
      <c r="M417" s="1" t="str">
        <f>"证券卖出"</f>
        <v>证券卖出</v>
      </c>
    </row>
    <row r="418" spans="1:13" x14ac:dyDescent="0.2">
      <c r="A418" s="3" t="str">
        <f>"5010"</f>
        <v>5010</v>
      </c>
      <c r="B418" s="4">
        <v>43297</v>
      </c>
      <c r="C418" s="4" t="s">
        <v>34</v>
      </c>
      <c r="D418" s="11">
        <v>940018</v>
      </c>
      <c r="E418" s="1" t="str">
        <f t="shared" si="83"/>
        <v>卖出</v>
      </c>
      <c r="F418" s="1" t="str">
        <f>"基金资金拨出"</f>
        <v>基金资金拨出</v>
      </c>
      <c r="G418" s="13">
        <v>0</v>
      </c>
      <c r="H418" s="1">
        <v>0</v>
      </c>
      <c r="I418" s="5">
        <v>-14072.72</v>
      </c>
      <c r="J418" s="5">
        <v>1</v>
      </c>
      <c r="K418" s="1">
        <v>0</v>
      </c>
      <c r="L418" s="1" t="str">
        <f t="shared" ref="C418:L424" si="84">" "</f>
        <v xml:space="preserve"> </v>
      </c>
      <c r="M418" s="1" t="str">
        <f>"122扣除金额 基金代码：940018,发生份额：14072.72"</f>
        <v>122扣除金额 基金代码：940018,发生份额：14072.72</v>
      </c>
    </row>
    <row r="419" spans="1:13" x14ac:dyDescent="0.2">
      <c r="A419" s="3" t="str">
        <f>"745"</f>
        <v>745</v>
      </c>
      <c r="B419" s="4">
        <v>43298</v>
      </c>
      <c r="C419" s="4" t="s">
        <v>34</v>
      </c>
      <c r="D419" s="11">
        <v>940018</v>
      </c>
      <c r="E419" s="1" t="str">
        <f t="shared" si="83"/>
        <v>卖出</v>
      </c>
      <c r="F419" s="1" t="str">
        <f>"资管转让资金上账"</f>
        <v>资管转让资金上账</v>
      </c>
      <c r="G419" s="13">
        <v>0</v>
      </c>
      <c r="H419" s="1">
        <v>0</v>
      </c>
      <c r="I419" s="5">
        <v>1000</v>
      </c>
      <c r="J419" s="5">
        <v>1001</v>
      </c>
      <c r="K419" s="1">
        <v>0</v>
      </c>
      <c r="L419" s="1" t="str">
        <f t="shared" si="84"/>
        <v xml:space="preserve"> </v>
      </c>
      <c r="M419" s="1" t="str">
        <f>"快速取现退出资金拨入,产品代码940018,对方资产账户40000545correct_balance=0"</f>
        <v>快速取现退出资金拨入,产品代码940018,对方资产账户40000545correct_balance=0</v>
      </c>
    </row>
    <row r="420" spans="1:13" x14ac:dyDescent="0.2">
      <c r="A420" s="3" t="str">
        <f>"748"</f>
        <v>748</v>
      </c>
      <c r="B420" s="4">
        <v>43298</v>
      </c>
      <c r="C420" s="1" t="str">
        <f t="shared" si="84"/>
        <v xml:space="preserve"> </v>
      </c>
      <c r="D420" s="11"/>
      <c r="E420" s="1" t="str">
        <f t="shared" si="83"/>
        <v>卖出</v>
      </c>
      <c r="F420" s="1" t="str">
        <f>"银行转取"</f>
        <v>银行转取</v>
      </c>
      <c r="G420" s="13">
        <v>0</v>
      </c>
      <c r="H420" s="1">
        <v>0</v>
      </c>
      <c r="I420" s="5">
        <v>-36.5</v>
      </c>
      <c r="J420" s="5">
        <v>964.5</v>
      </c>
      <c r="K420" s="1">
        <v>0</v>
      </c>
      <c r="L420" s="1" t="str">
        <f t="shared" si="84"/>
        <v xml:space="preserve"> </v>
      </c>
      <c r="M420" s="1" t="str">
        <f>"银行返回码[ ]返回信息[0000 交易成功]|转账成功 转账账号:6225881012906292 correct_balance=36.5"</f>
        <v>银行返回码[ ]返回信息[0000 交易成功]|转账成功 转账账号:6225881012906292 correct_balance=36.5</v>
      </c>
    </row>
    <row r="421" spans="1:13" x14ac:dyDescent="0.2">
      <c r="A421" s="3" t="str">
        <f>"1959"</f>
        <v>1959</v>
      </c>
      <c r="B421" s="4">
        <v>43298</v>
      </c>
      <c r="C421" s="4" t="s">
        <v>34</v>
      </c>
      <c r="D421" s="11">
        <v>940018</v>
      </c>
      <c r="E421" s="1" t="str">
        <f t="shared" si="83"/>
        <v>卖出</v>
      </c>
      <c r="F421" s="1" t="str">
        <f>"基金资金拨出"</f>
        <v>基金资金拨出</v>
      </c>
      <c r="G421" s="13">
        <v>0</v>
      </c>
      <c r="H421" s="1">
        <v>0</v>
      </c>
      <c r="I421" s="5">
        <v>-964.5</v>
      </c>
      <c r="J421" s="5">
        <v>0</v>
      </c>
      <c r="K421" s="1">
        <v>0</v>
      </c>
      <c r="L421" s="1" t="str">
        <f t="shared" si="84"/>
        <v xml:space="preserve"> </v>
      </c>
      <c r="M421" s="1" t="str">
        <f>"122扣除金额 基金代码：940018,发生份额：964.5"</f>
        <v>122扣除金额 基金代码：940018,发生份额：964.5</v>
      </c>
    </row>
    <row r="422" spans="1:13" x14ac:dyDescent="0.2">
      <c r="A422" s="3" t="str">
        <f>"932"</f>
        <v>932</v>
      </c>
      <c r="B422" s="4">
        <v>43301</v>
      </c>
      <c r="C422" s="4" t="s">
        <v>34</v>
      </c>
      <c r="D422" s="11">
        <v>940018</v>
      </c>
      <c r="E422" s="1" t="str">
        <f t="shared" si="83"/>
        <v>卖出</v>
      </c>
      <c r="F422" s="1" t="str">
        <f>"资管转让资金上账"</f>
        <v>资管转让资金上账</v>
      </c>
      <c r="G422" s="13">
        <v>0</v>
      </c>
      <c r="H422" s="1">
        <v>0</v>
      </c>
      <c r="I422" s="5">
        <v>19200</v>
      </c>
      <c r="J422" s="5">
        <v>19200</v>
      </c>
      <c r="K422" s="1">
        <v>0</v>
      </c>
      <c r="L422" s="1" t="str">
        <f t="shared" si="84"/>
        <v xml:space="preserve"> </v>
      </c>
      <c r="M422" s="1" t="str">
        <f>"快速取现退出资金拨入,产品代码940018,对方资产账户40000545correct_balance=0"</f>
        <v>快速取现退出资金拨入,产品代码940018,对方资产账户40000545correct_balance=0</v>
      </c>
    </row>
    <row r="423" spans="1:13" x14ac:dyDescent="0.2">
      <c r="A423" s="3" t="str">
        <f>"935"</f>
        <v>935</v>
      </c>
      <c r="B423" s="4">
        <v>43301</v>
      </c>
      <c r="C423" s="1" t="str">
        <f t="shared" si="84"/>
        <v xml:space="preserve"> </v>
      </c>
      <c r="D423" s="11"/>
      <c r="E423" s="1" t="str">
        <f t="shared" si="83"/>
        <v>卖出</v>
      </c>
      <c r="F423" s="1" t="str">
        <f>"银行转取"</f>
        <v>银行转取</v>
      </c>
      <c r="G423" s="13">
        <v>0</v>
      </c>
      <c r="H423" s="1">
        <v>0</v>
      </c>
      <c r="I423" s="5">
        <v>-19200</v>
      </c>
      <c r="J423" s="5">
        <v>0</v>
      </c>
      <c r="K423" s="1">
        <v>0</v>
      </c>
      <c r="L423" s="1" t="str">
        <f t="shared" si="84"/>
        <v xml:space="preserve"> </v>
      </c>
      <c r="M423" s="1" t="str">
        <f>"银行返回码[ ]返回信息[0000 交易成功]|转账成功 转账账号:6225881012906292 correct_balance=19200"</f>
        <v>银行返回码[ ]返回信息[0000 交易成功]|转账成功 转账账号:6225881012906292 correct_balance=19200</v>
      </c>
    </row>
    <row r="424" spans="1:13" x14ac:dyDescent="0.2">
      <c r="A424" s="3" t="str">
        <f>"1828"</f>
        <v>1828</v>
      </c>
      <c r="B424" s="4">
        <v>43313</v>
      </c>
      <c r="C424" s="4" t="s">
        <v>34</v>
      </c>
      <c r="D424" s="11">
        <v>940018</v>
      </c>
      <c r="E424" s="1" t="str">
        <f t="shared" si="83"/>
        <v>卖出</v>
      </c>
      <c r="F424" s="1" t="str">
        <f>"基金资金拨出"</f>
        <v>基金资金拨出</v>
      </c>
      <c r="G424" s="13">
        <v>0</v>
      </c>
      <c r="H424" s="1">
        <v>0</v>
      </c>
      <c r="I424" s="5">
        <v>-475.45</v>
      </c>
      <c r="J424" s="5">
        <v>-475.45</v>
      </c>
      <c r="K424" s="1">
        <v>0</v>
      </c>
      <c r="L424" s="1" t="str">
        <f t="shared" si="84"/>
        <v xml:space="preserve"> </v>
      </c>
      <c r="M424" s="1" t="str">
        <f>"122扣除金额 基金代码：940018,发生份额：475.45"</f>
        <v>122扣除金额 基金代码：940018,发生份额：475.45</v>
      </c>
    </row>
    <row r="425" spans="1:13" x14ac:dyDescent="0.2">
      <c r="A425" s="3" t="str">
        <f>"3506"</f>
        <v>3506</v>
      </c>
      <c r="B425" s="4">
        <v>43313</v>
      </c>
      <c r="C425" s="1" t="str">
        <f>"银华日利"</f>
        <v>银华日利</v>
      </c>
      <c r="D425" s="11" t="str">
        <f>"511880"</f>
        <v>511880</v>
      </c>
      <c r="E425" s="1" t="str">
        <f t="shared" si="83"/>
        <v>卖出</v>
      </c>
      <c r="F425" s="1" t="str">
        <f>"证券卖出"</f>
        <v>证券卖出</v>
      </c>
      <c r="G425" s="13">
        <v>102.43600000000001</v>
      </c>
      <c r="H425" s="1">
        <v>-100</v>
      </c>
      <c r="I425" s="5">
        <v>10243.6</v>
      </c>
      <c r="J425" s="5">
        <v>9768.15</v>
      </c>
      <c r="K425" s="1">
        <v>0</v>
      </c>
      <c r="L425" s="1" t="str">
        <f>"A280737240"</f>
        <v>A280737240</v>
      </c>
      <c r="M425" s="1" t="str">
        <f>"证券卖出"</f>
        <v>证券卖出</v>
      </c>
    </row>
    <row r="426" spans="1:13" x14ac:dyDescent="0.2">
      <c r="A426" s="3" t="str">
        <f>"3507"</f>
        <v>3507</v>
      </c>
      <c r="B426" s="4">
        <v>43313</v>
      </c>
      <c r="C426" s="1" t="str">
        <f>"500ETF"</f>
        <v>500ETF</v>
      </c>
      <c r="D426" s="11" t="str">
        <f>"510500"</f>
        <v>510500</v>
      </c>
      <c r="E426" s="1" t="str">
        <f>"买入"</f>
        <v>买入</v>
      </c>
      <c r="F426" s="1" t="str">
        <f>"证券买入"</f>
        <v>证券买入</v>
      </c>
      <c r="G426" s="13">
        <v>5.4210000000000003</v>
      </c>
      <c r="H426" s="1">
        <v>1200</v>
      </c>
      <c r="I426" s="5">
        <v>-6506.5</v>
      </c>
      <c r="J426" s="5">
        <v>3261.65</v>
      </c>
      <c r="K426" s="1">
        <v>1.3</v>
      </c>
      <c r="L426" s="1" t="str">
        <f>"A280737240"</f>
        <v>A280737240</v>
      </c>
      <c r="M426" s="1" t="str">
        <f>"证券买入"</f>
        <v>证券买入</v>
      </c>
    </row>
    <row r="427" spans="1:13" x14ac:dyDescent="0.2">
      <c r="A427" s="3" t="str">
        <f>"3508"</f>
        <v>3508</v>
      </c>
      <c r="B427" s="4">
        <v>43313</v>
      </c>
      <c r="C427" s="1" t="str">
        <f>"1000ETF"</f>
        <v>1000ETF</v>
      </c>
      <c r="D427" s="11" t="str">
        <f>"512100"</f>
        <v>512100</v>
      </c>
      <c r="E427" s="1" t="str">
        <f>"买入"</f>
        <v>买入</v>
      </c>
      <c r="F427" s="1" t="str">
        <f>"证券买入"</f>
        <v>证券买入</v>
      </c>
      <c r="G427" s="13">
        <v>0.65200000000000002</v>
      </c>
      <c r="H427" s="1">
        <v>5000</v>
      </c>
      <c r="I427" s="5">
        <v>-3260.65</v>
      </c>
      <c r="J427" s="5">
        <v>1</v>
      </c>
      <c r="K427" s="1">
        <v>0.65</v>
      </c>
      <c r="L427" s="1" t="str">
        <f>"A280737240"</f>
        <v>A280737240</v>
      </c>
      <c r="M427" s="1" t="str">
        <f>"证券买入"</f>
        <v>证券买入</v>
      </c>
    </row>
    <row r="428" spans="1:13" x14ac:dyDescent="0.2">
      <c r="A428" s="3" t="str">
        <f>"2436"</f>
        <v>2436</v>
      </c>
      <c r="B428" s="4">
        <v>43314</v>
      </c>
      <c r="C428" s="4" t="s">
        <v>34</v>
      </c>
      <c r="D428" s="11">
        <v>940018</v>
      </c>
      <c r="E428" s="1" t="str">
        <f>"卖出"</f>
        <v>卖出</v>
      </c>
      <c r="F428" s="1" t="str">
        <f>"基金资金拨出"</f>
        <v>基金资金拨出</v>
      </c>
      <c r="G428" s="13">
        <v>0</v>
      </c>
      <c r="H428" s="1">
        <v>0</v>
      </c>
      <c r="I428" s="5">
        <v>-1</v>
      </c>
      <c r="J428" s="5">
        <v>0</v>
      </c>
      <c r="K428" s="1">
        <v>0</v>
      </c>
      <c r="L428" s="1" t="str">
        <f t="shared" ref="C428:L431" si="85">" "</f>
        <v xml:space="preserve"> </v>
      </c>
      <c r="M428" s="1" t="str">
        <f>"122扣除金额 基金代码：940018,发生份额：1"</f>
        <v>122扣除金额 基金代码：940018,发生份额：1</v>
      </c>
    </row>
    <row r="429" spans="1:13" x14ac:dyDescent="0.2">
      <c r="A429" s="3" t="str">
        <f>"796"</f>
        <v>796</v>
      </c>
      <c r="B429" s="4">
        <v>43318</v>
      </c>
      <c r="C429" s="1" t="str">
        <f t="shared" si="85"/>
        <v xml:space="preserve"> </v>
      </c>
      <c r="D429" s="11"/>
      <c r="E429" s="1" t="str">
        <f>"卖出"</f>
        <v>卖出</v>
      </c>
      <c r="F429" s="1" t="str">
        <f>"银行转存"</f>
        <v>银行转存</v>
      </c>
      <c r="G429" s="13">
        <v>0</v>
      </c>
      <c r="H429" s="1">
        <v>0</v>
      </c>
      <c r="I429" s="5">
        <v>3200</v>
      </c>
      <c r="J429" s="5">
        <v>3200</v>
      </c>
      <c r="K429" s="1">
        <v>0</v>
      </c>
      <c r="L429" s="1" t="str">
        <f t="shared" si="85"/>
        <v xml:space="preserve"> </v>
      </c>
      <c r="M429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30" spans="1:13" x14ac:dyDescent="0.2">
      <c r="A430" s="3" t="str">
        <f>"797"</f>
        <v>797</v>
      </c>
      <c r="B430" s="4">
        <v>43318</v>
      </c>
      <c r="C430" s="1" t="str">
        <f t="shared" si="85"/>
        <v xml:space="preserve"> </v>
      </c>
      <c r="D430" s="11"/>
      <c r="E430" s="1" t="str">
        <f>"卖出"</f>
        <v>卖出</v>
      </c>
      <c r="F430" s="1" t="str">
        <f>"银行转存"</f>
        <v>银行转存</v>
      </c>
      <c r="G430" s="13">
        <v>0</v>
      </c>
      <c r="H430" s="1">
        <v>0</v>
      </c>
      <c r="I430" s="5">
        <v>800</v>
      </c>
      <c r="J430" s="5">
        <v>4000</v>
      </c>
      <c r="K430" s="1">
        <v>0</v>
      </c>
      <c r="L430" s="1" t="str">
        <f t="shared" si="85"/>
        <v xml:space="preserve"> </v>
      </c>
      <c r="M430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31" spans="1:13" x14ac:dyDescent="0.2">
      <c r="A431" s="3" t="str">
        <f>"1658"</f>
        <v>1658</v>
      </c>
      <c r="B431" s="4">
        <v>43318</v>
      </c>
      <c r="C431" s="4" t="s">
        <v>34</v>
      </c>
      <c r="D431" s="11">
        <v>940018</v>
      </c>
      <c r="E431" s="1" t="str">
        <f>"卖出"</f>
        <v>卖出</v>
      </c>
      <c r="F431" s="1" t="str">
        <f>"基金资金拨出"</f>
        <v>基金资金拨出</v>
      </c>
      <c r="G431" s="13">
        <v>0</v>
      </c>
      <c r="H431" s="1">
        <v>0</v>
      </c>
      <c r="I431" s="5">
        <v>-2348.2800000000002</v>
      </c>
      <c r="J431" s="5">
        <v>1651.72</v>
      </c>
      <c r="K431" s="1">
        <v>0</v>
      </c>
      <c r="L431" s="1" t="str">
        <f t="shared" si="85"/>
        <v xml:space="preserve"> </v>
      </c>
      <c r="M431" s="1" t="str">
        <f>"122扣除金额 基金代码：940018,发生份额：2348.28"</f>
        <v>122扣除金额 基金代码：940018,发生份额：2348.28</v>
      </c>
    </row>
    <row r="432" spans="1:13" x14ac:dyDescent="0.2">
      <c r="A432" s="3" t="str">
        <f>"3629"</f>
        <v>3629</v>
      </c>
      <c r="B432" s="4">
        <v>43318</v>
      </c>
      <c r="C432" s="1" t="str">
        <f>"银华日利"</f>
        <v>银华日利</v>
      </c>
      <c r="D432" s="11" t="str">
        <f>"511880"</f>
        <v>511880</v>
      </c>
      <c r="E432" s="1" t="str">
        <f>"卖出"</f>
        <v>卖出</v>
      </c>
      <c r="F432" s="1" t="str">
        <f>"证券卖出"</f>
        <v>证券卖出</v>
      </c>
      <c r="G432" s="13">
        <v>102.499</v>
      </c>
      <c r="H432" s="1">
        <v>-100</v>
      </c>
      <c r="I432" s="5">
        <v>10249.9</v>
      </c>
      <c r="J432" s="5">
        <v>11901.62</v>
      </c>
      <c r="K432" s="1">
        <v>0</v>
      </c>
      <c r="L432" s="1" t="str">
        <f>"A280737240"</f>
        <v>A280737240</v>
      </c>
      <c r="M432" s="1" t="str">
        <f>"证券卖出"</f>
        <v>证券卖出</v>
      </c>
    </row>
    <row r="433" spans="1:13" x14ac:dyDescent="0.2">
      <c r="A433" s="3" t="str">
        <f>"3630"</f>
        <v>3630</v>
      </c>
      <c r="B433" s="4">
        <v>43318</v>
      </c>
      <c r="C433" s="1" t="str">
        <f>"1000ETF"</f>
        <v>1000ETF</v>
      </c>
      <c r="D433" s="11" t="str">
        <f>"512100"</f>
        <v>512100</v>
      </c>
      <c r="E433" s="1" t="str">
        <f>"买入"</f>
        <v>买入</v>
      </c>
      <c r="F433" s="1" t="str">
        <f>"证券买入"</f>
        <v>证券买入</v>
      </c>
      <c r="G433" s="13">
        <v>0.61899999999999999</v>
      </c>
      <c r="H433" s="1">
        <v>5200</v>
      </c>
      <c r="I433" s="5">
        <v>-3219.44</v>
      </c>
      <c r="J433" s="5">
        <v>8682.18</v>
      </c>
      <c r="K433" s="1">
        <v>0.64</v>
      </c>
      <c r="L433" s="1" t="str">
        <f>"A280737240"</f>
        <v>A280737240</v>
      </c>
      <c r="M433" s="1" t="str">
        <f>"证券买入"</f>
        <v>证券买入</v>
      </c>
    </row>
    <row r="434" spans="1:13" x14ac:dyDescent="0.2">
      <c r="A434" s="3" t="str">
        <f>"3631"</f>
        <v>3631</v>
      </c>
      <c r="B434" s="4">
        <v>43318</v>
      </c>
      <c r="C434" s="1" t="str">
        <f>"银华日利"</f>
        <v>银华日利</v>
      </c>
      <c r="D434" s="11" t="str">
        <f>"511880"</f>
        <v>511880</v>
      </c>
      <c r="E434" s="1" t="str">
        <f>"卖出"</f>
        <v>卖出</v>
      </c>
      <c r="F434" s="1" t="str">
        <f>"证券卖出"</f>
        <v>证券卖出</v>
      </c>
      <c r="G434" s="13">
        <v>102.496</v>
      </c>
      <c r="H434" s="1">
        <v>-100</v>
      </c>
      <c r="I434" s="5">
        <v>10249.6</v>
      </c>
      <c r="J434" s="5">
        <v>18931.78</v>
      </c>
      <c r="K434" s="1">
        <v>0</v>
      </c>
      <c r="L434" s="1" t="str">
        <f>"A280737240"</f>
        <v>A280737240</v>
      </c>
      <c r="M434" s="1" t="str">
        <f>"证券卖出"</f>
        <v>证券卖出</v>
      </c>
    </row>
    <row r="435" spans="1:13" x14ac:dyDescent="0.2">
      <c r="A435" s="3" t="str">
        <f>"3632"</f>
        <v>3632</v>
      </c>
      <c r="B435" s="4">
        <v>43318</v>
      </c>
      <c r="C435" s="1" t="str">
        <f>"300ETF"</f>
        <v>300ETF</v>
      </c>
      <c r="D435" s="11" t="str">
        <f>"510300"</f>
        <v>510300</v>
      </c>
      <c r="E435" s="1" t="str">
        <f>"买入"</f>
        <v>买入</v>
      </c>
      <c r="F435" s="1" t="str">
        <f>"证券买入"</f>
        <v>证券买入</v>
      </c>
      <c r="G435" s="13">
        <v>3.3359999999999999</v>
      </c>
      <c r="H435" s="1">
        <v>1900</v>
      </c>
      <c r="I435" s="5">
        <v>-6339.67</v>
      </c>
      <c r="J435" s="5">
        <v>12592.11</v>
      </c>
      <c r="K435" s="1">
        <v>1.27</v>
      </c>
      <c r="L435" s="1" t="str">
        <f>"A280737240"</f>
        <v>A280737240</v>
      </c>
      <c r="M435" s="1" t="str">
        <f>"证券买入"</f>
        <v>证券买入</v>
      </c>
    </row>
    <row r="436" spans="1:13" x14ac:dyDescent="0.2">
      <c r="A436" s="3" t="str">
        <f>"3633"</f>
        <v>3633</v>
      </c>
      <c r="B436" s="4">
        <v>43318</v>
      </c>
      <c r="C436" s="1" t="str">
        <f>"500ETF"</f>
        <v>500ETF</v>
      </c>
      <c r="D436" s="11" t="str">
        <f>"510500"</f>
        <v>510500</v>
      </c>
      <c r="E436" s="1" t="str">
        <f>"买入"</f>
        <v>买入</v>
      </c>
      <c r="F436" s="1" t="str">
        <f>"证券买入"</f>
        <v>证券买入</v>
      </c>
      <c r="G436" s="13">
        <v>5.1440000000000001</v>
      </c>
      <c r="H436" s="1">
        <v>1200</v>
      </c>
      <c r="I436" s="5">
        <v>-6174.03</v>
      </c>
      <c r="J436" s="5">
        <v>6418.08</v>
      </c>
      <c r="K436" s="1">
        <v>1.23</v>
      </c>
      <c r="L436" s="1" t="str">
        <f>"A280737240"</f>
        <v>A280737240</v>
      </c>
      <c r="M436" s="1" t="str">
        <f>"证券买入"</f>
        <v>证券买入</v>
      </c>
    </row>
    <row r="437" spans="1:13" x14ac:dyDescent="0.2">
      <c r="A437" s="3" t="str">
        <f>"6755"</f>
        <v>6755</v>
      </c>
      <c r="B437" s="4">
        <v>43318</v>
      </c>
      <c r="C437" s="1" t="str">
        <f>"广发医药"</f>
        <v>广发医药</v>
      </c>
      <c r="D437" s="11" t="str">
        <f>"159938"</f>
        <v>159938</v>
      </c>
      <c r="E437" s="1" t="str">
        <f>"买入"</f>
        <v>买入</v>
      </c>
      <c r="F437" s="1" t="str">
        <f>"证券买入"</f>
        <v>证券买入</v>
      </c>
      <c r="G437" s="13">
        <v>1.258</v>
      </c>
      <c r="H437" s="1">
        <v>5100</v>
      </c>
      <c r="I437" s="5">
        <v>-6417.08</v>
      </c>
      <c r="J437" s="5">
        <v>1</v>
      </c>
      <c r="K437" s="1">
        <v>1.28</v>
      </c>
      <c r="L437" s="1" t="str">
        <f>"0184500716"</f>
        <v>0184500716</v>
      </c>
      <c r="M437" s="1" t="str">
        <f>"证券买入"</f>
        <v>证券买入</v>
      </c>
    </row>
    <row r="438" spans="1:13" x14ac:dyDescent="0.2">
      <c r="A438" s="3" t="str">
        <f>"1802"</f>
        <v>1802</v>
      </c>
      <c r="B438" s="4">
        <v>43319</v>
      </c>
      <c r="C438" s="4" t="s">
        <v>34</v>
      </c>
      <c r="D438" s="11">
        <v>940018</v>
      </c>
      <c r="E438" s="1" t="str">
        <f>"卖出"</f>
        <v>卖出</v>
      </c>
      <c r="F438" s="1" t="str">
        <f>"基金资金拨出"</f>
        <v>基金资金拨出</v>
      </c>
      <c r="G438" s="13">
        <v>0</v>
      </c>
      <c r="H438" s="1">
        <v>0</v>
      </c>
      <c r="I438" s="5">
        <v>-1</v>
      </c>
      <c r="J438" s="5">
        <v>0</v>
      </c>
      <c r="K438" s="1">
        <v>0</v>
      </c>
      <c r="L438" s="1" t="str">
        <f t="shared" ref="L438:L439" si="86">" "</f>
        <v xml:space="preserve"> </v>
      </c>
      <c r="M438" s="1" t="str">
        <f>"122扣除金额 基金代码：940018,发生份额：1"</f>
        <v>122扣除金额 基金代码：940018,发生份额：1</v>
      </c>
    </row>
    <row r="439" spans="1:13" x14ac:dyDescent="0.2">
      <c r="A439" s="3" t="str">
        <f>"1440"</f>
        <v>1440</v>
      </c>
      <c r="B439" s="4">
        <v>43332</v>
      </c>
      <c r="C439" s="4" t="s">
        <v>34</v>
      </c>
      <c r="D439" s="11">
        <v>940018</v>
      </c>
      <c r="E439" s="1" t="str">
        <f>"卖出"</f>
        <v>卖出</v>
      </c>
      <c r="F439" s="1" t="str">
        <f>"基金资金拨出"</f>
        <v>基金资金拨出</v>
      </c>
      <c r="G439" s="13">
        <v>0</v>
      </c>
      <c r="H439" s="1">
        <v>0</v>
      </c>
      <c r="I439" s="5">
        <v>-3889.53</v>
      </c>
      <c r="J439" s="5">
        <v>-3889.53</v>
      </c>
      <c r="K439" s="1">
        <v>0</v>
      </c>
      <c r="L439" s="1" t="str">
        <f t="shared" si="86"/>
        <v xml:space="preserve"> </v>
      </c>
      <c r="M439" s="1" t="str">
        <f>"122扣除金额 基金代码：940018,发生份额：3889.53"</f>
        <v>122扣除金额 基金代码：940018,发生份额：3889.53</v>
      </c>
    </row>
    <row r="440" spans="1:13" x14ac:dyDescent="0.2">
      <c r="A440" s="3" t="str">
        <f>"3280"</f>
        <v>3280</v>
      </c>
      <c r="B440" s="4">
        <v>43332</v>
      </c>
      <c r="C440" s="1" t="str">
        <f>"银华日利"</f>
        <v>银华日利</v>
      </c>
      <c r="D440" s="11" t="str">
        <f>"511880"</f>
        <v>511880</v>
      </c>
      <c r="E440" s="1" t="str">
        <f>"卖出"</f>
        <v>卖出</v>
      </c>
      <c r="F440" s="1" t="str">
        <f>"证券卖出"</f>
        <v>证券卖出</v>
      </c>
      <c r="G440" s="13">
        <v>102.602</v>
      </c>
      <c r="H440" s="1">
        <v>-100</v>
      </c>
      <c r="I440" s="5">
        <v>10260.200000000001</v>
      </c>
      <c r="J440" s="5">
        <v>6370.67</v>
      </c>
      <c r="K440" s="1">
        <v>0</v>
      </c>
      <c r="L440" s="1" t="str">
        <f>"A280737240"</f>
        <v>A280737240</v>
      </c>
      <c r="M440" s="1" t="str">
        <f>"证券卖出"</f>
        <v>证券卖出</v>
      </c>
    </row>
    <row r="441" spans="1:13" x14ac:dyDescent="0.2">
      <c r="A441" s="3" t="str">
        <f>"3281"</f>
        <v>3281</v>
      </c>
      <c r="B441" s="4">
        <v>43332</v>
      </c>
      <c r="C441" s="1" t="str">
        <f>"传媒ETF"</f>
        <v>传媒ETF</v>
      </c>
      <c r="D441" s="11" t="str">
        <f>"512980"</f>
        <v>512980</v>
      </c>
      <c r="E441" s="1" t="str">
        <f>"买入"</f>
        <v>买入</v>
      </c>
      <c r="F441" s="1" t="str">
        <f>"证券买入"</f>
        <v>证券买入</v>
      </c>
      <c r="G441" s="13">
        <v>0.73199999999999998</v>
      </c>
      <c r="H441" s="1">
        <v>8700</v>
      </c>
      <c r="I441" s="5">
        <v>-6369.67</v>
      </c>
      <c r="J441" s="5">
        <v>1</v>
      </c>
      <c r="K441" s="1">
        <v>1.27</v>
      </c>
      <c r="L441" s="1" t="str">
        <f>"A280737240"</f>
        <v>A280737240</v>
      </c>
      <c r="M441" s="1" t="str">
        <f>"证券买入"</f>
        <v>证券买入</v>
      </c>
    </row>
    <row r="442" spans="1:13" x14ac:dyDescent="0.2">
      <c r="A442" s="3" t="str">
        <f>"1623"</f>
        <v>1623</v>
      </c>
      <c r="B442" s="4">
        <v>43333</v>
      </c>
      <c r="C442" s="4" t="s">
        <v>34</v>
      </c>
      <c r="D442" s="11">
        <v>940018</v>
      </c>
      <c r="E442" s="1" t="str">
        <f>"卖出"</f>
        <v>卖出</v>
      </c>
      <c r="F442" s="1" t="str">
        <f>"基金资金拨出"</f>
        <v>基金资金拨出</v>
      </c>
      <c r="G442" s="13">
        <v>0</v>
      </c>
      <c r="H442" s="1">
        <v>0</v>
      </c>
      <c r="I442" s="5">
        <v>-1</v>
      </c>
      <c r="J442" s="5">
        <v>0</v>
      </c>
      <c r="K442" s="1">
        <v>0</v>
      </c>
      <c r="L442" s="1" t="str">
        <f t="shared" ref="L442:L444" si="87">" "</f>
        <v xml:space="preserve"> </v>
      </c>
      <c r="M442" s="1" t="str">
        <f>"122扣除金额 基金代码：940018,发生份额：1"</f>
        <v>122扣除金额 基金代码：940018,发生份额：1</v>
      </c>
    </row>
    <row r="443" spans="1:13" x14ac:dyDescent="0.2">
      <c r="A443" s="3" t="str">
        <f>"1958"</f>
        <v>1958</v>
      </c>
      <c r="B443" s="4">
        <v>43336</v>
      </c>
      <c r="C443" s="4" t="s">
        <v>34</v>
      </c>
      <c r="D443" s="11">
        <v>940018</v>
      </c>
      <c r="E443" s="1" t="str">
        <f>"卖出"</f>
        <v>卖出</v>
      </c>
      <c r="F443" s="1" t="str">
        <f>"基金资金拨出"</f>
        <v>基金资金拨出</v>
      </c>
      <c r="G443" s="13">
        <v>0</v>
      </c>
      <c r="H443" s="1">
        <v>0</v>
      </c>
      <c r="I443" s="5">
        <v>-2093.0100000000002</v>
      </c>
      <c r="J443" s="5">
        <v>-2093.0100000000002</v>
      </c>
      <c r="K443" s="1">
        <v>0</v>
      </c>
      <c r="L443" s="1" t="str">
        <f t="shared" si="87"/>
        <v xml:space="preserve"> </v>
      </c>
      <c r="M443" s="1" t="str">
        <f>"122扣除金额 基金代码：940018,发生份额：2093.01"</f>
        <v>122扣除金额 基金代码：940018,发生份额：2093.01</v>
      </c>
    </row>
    <row r="444" spans="1:13" x14ac:dyDescent="0.2">
      <c r="A444" s="3" t="str">
        <f>"1959"</f>
        <v>1959</v>
      </c>
      <c r="B444" s="4">
        <v>43336</v>
      </c>
      <c r="C444" s="4" t="s">
        <v>34</v>
      </c>
      <c r="D444" s="11">
        <v>940018</v>
      </c>
      <c r="E444" s="1" t="str">
        <f>"卖出"</f>
        <v>卖出</v>
      </c>
      <c r="F444" s="1" t="str">
        <f>"基金资金拨入"</f>
        <v>基金资金拨入</v>
      </c>
      <c r="G444" s="13">
        <v>0</v>
      </c>
      <c r="H444" s="1">
        <v>0</v>
      </c>
      <c r="I444" s="5">
        <v>8274.0499999999993</v>
      </c>
      <c r="J444" s="5">
        <v>6181.04</v>
      </c>
      <c r="K444" s="1">
        <v>0</v>
      </c>
      <c r="L444" s="1" t="str">
        <f t="shared" si="87"/>
        <v xml:space="preserve"> </v>
      </c>
      <c r="M444" s="1" t="str">
        <f>"124增加金额 基金代码：940018,发生份额：8274.05"</f>
        <v>124增加金额 基金代码：940018,发生份额：8274.05</v>
      </c>
    </row>
    <row r="445" spans="1:13" x14ac:dyDescent="0.2">
      <c r="A445" s="3" t="str">
        <f>"3596"</f>
        <v>3596</v>
      </c>
      <c r="B445" s="4">
        <v>43336</v>
      </c>
      <c r="C445" s="1" t="str">
        <f>"500ETF"</f>
        <v>500ETF</v>
      </c>
      <c r="D445" s="11" t="str">
        <f>"510500"</f>
        <v>510500</v>
      </c>
      <c r="E445" s="1" t="str">
        <f>"买入"</f>
        <v>买入</v>
      </c>
      <c r="F445" s="1" t="str">
        <f>"证券买入"</f>
        <v>证券买入</v>
      </c>
      <c r="G445" s="13">
        <v>5.149</v>
      </c>
      <c r="H445" s="1">
        <v>1200</v>
      </c>
      <c r="I445" s="5">
        <v>-6180.04</v>
      </c>
      <c r="J445" s="5">
        <v>1</v>
      </c>
      <c r="K445" s="1">
        <v>1.24</v>
      </c>
      <c r="L445" s="1" t="str">
        <f>"A280737240"</f>
        <v>A280737240</v>
      </c>
      <c r="M445" s="1" t="str">
        <f>"证券买入"</f>
        <v>证券买入</v>
      </c>
    </row>
    <row r="446" spans="1:13" x14ac:dyDescent="0.2">
      <c r="A446" s="3" t="str">
        <f>"1595"</f>
        <v>1595</v>
      </c>
      <c r="B446" s="4">
        <v>43339</v>
      </c>
      <c r="C446" s="4" t="s">
        <v>34</v>
      </c>
      <c r="D446" s="11">
        <v>940018</v>
      </c>
      <c r="E446" s="1" t="str">
        <f>"卖出"</f>
        <v>卖出</v>
      </c>
      <c r="F446" s="1" t="str">
        <f>"基金资金拨出"</f>
        <v>基金资金拨出</v>
      </c>
      <c r="G446" s="13">
        <v>0</v>
      </c>
      <c r="H446" s="1">
        <v>0</v>
      </c>
      <c r="I446" s="5">
        <v>-1</v>
      </c>
      <c r="J446" s="5">
        <v>0</v>
      </c>
      <c r="K446" s="1">
        <v>0</v>
      </c>
      <c r="L446" s="1" t="str">
        <f t="shared" ref="L446:L448" si="88">" "</f>
        <v xml:space="preserve"> </v>
      </c>
      <c r="M446" s="1" t="str">
        <f>"122扣除金额 基金代码：940018,发生份额：1"</f>
        <v>122扣除金额 基金代码：940018,发生份额：1</v>
      </c>
    </row>
    <row r="447" spans="1:13" x14ac:dyDescent="0.2">
      <c r="A447" s="3" t="str">
        <f>"1609"</f>
        <v>1609</v>
      </c>
      <c r="B447" s="4">
        <v>43343</v>
      </c>
      <c r="C447" s="4" t="s">
        <v>34</v>
      </c>
      <c r="D447" s="11">
        <v>940018</v>
      </c>
      <c r="E447" s="1" t="str">
        <f>"卖出"</f>
        <v>卖出</v>
      </c>
      <c r="F447" s="1" t="str">
        <f>"基金资金拨出"</f>
        <v>基金资金拨出</v>
      </c>
      <c r="G447" s="13">
        <v>0</v>
      </c>
      <c r="H447" s="1">
        <v>0</v>
      </c>
      <c r="I447" s="5">
        <v>-1586.96</v>
      </c>
      <c r="J447" s="5">
        <v>-1586.96</v>
      </c>
      <c r="K447" s="1">
        <v>0</v>
      </c>
      <c r="L447" s="1" t="str">
        <f t="shared" si="88"/>
        <v xml:space="preserve"> </v>
      </c>
      <c r="M447" s="1" t="str">
        <f>"122扣除金额 基金代码：940018,发生份额：1586.96"</f>
        <v>122扣除金额 基金代码：940018,发生份额：1586.96</v>
      </c>
    </row>
    <row r="448" spans="1:13" x14ac:dyDescent="0.2">
      <c r="A448" s="3" t="str">
        <f>"1610"</f>
        <v>1610</v>
      </c>
      <c r="B448" s="4">
        <v>43343</v>
      </c>
      <c r="C448" s="4" t="s">
        <v>34</v>
      </c>
      <c r="D448" s="11">
        <v>940018</v>
      </c>
      <c r="E448" s="1" t="str">
        <f>"卖出"</f>
        <v>卖出</v>
      </c>
      <c r="F448" s="1" t="str">
        <f>"基金资金拨入"</f>
        <v>基金资金拨入</v>
      </c>
      <c r="G448" s="13">
        <v>0</v>
      </c>
      <c r="H448" s="1">
        <v>0</v>
      </c>
      <c r="I448" s="5">
        <v>2101.2600000000002</v>
      </c>
      <c r="J448" s="5">
        <v>514.29999999999995</v>
      </c>
      <c r="K448" s="1">
        <v>0</v>
      </c>
      <c r="L448" s="1" t="str">
        <f t="shared" si="88"/>
        <v xml:space="preserve"> </v>
      </c>
      <c r="M448" s="1" t="str">
        <f>"124增加金额 基金代码：940018,发生份额：2101.26"</f>
        <v>124增加金额 基金代码：940018,发生份额：2101.26</v>
      </c>
    </row>
    <row r="449" spans="1:13" x14ac:dyDescent="0.2">
      <c r="A449" s="3" t="str">
        <f>"3353"</f>
        <v>3353</v>
      </c>
      <c r="B449" s="4">
        <v>43343</v>
      </c>
      <c r="C449" s="1" t="str">
        <f>"500ETF"</f>
        <v>500ETF</v>
      </c>
      <c r="D449" s="11" t="str">
        <f>"510500"</f>
        <v>510500</v>
      </c>
      <c r="E449" s="1" t="str">
        <f>"买入"</f>
        <v>买入</v>
      </c>
      <c r="F449" s="1" t="str">
        <f>"证券买入"</f>
        <v>证券买入</v>
      </c>
      <c r="G449" s="13">
        <v>5.1319999999999997</v>
      </c>
      <c r="H449" s="1">
        <v>100</v>
      </c>
      <c r="I449" s="5">
        <v>-513.29999999999995</v>
      </c>
      <c r="J449" s="5">
        <v>1</v>
      </c>
      <c r="K449" s="1">
        <v>0.1</v>
      </c>
      <c r="L449" s="1" t="str">
        <f>"A280737240"</f>
        <v>A280737240</v>
      </c>
      <c r="M449" s="1" t="str">
        <f>"证券买入"</f>
        <v>证券买入</v>
      </c>
    </row>
    <row r="450" spans="1:13" x14ac:dyDescent="0.2">
      <c r="A450" s="3" t="str">
        <f>"656"</f>
        <v>656</v>
      </c>
      <c r="B450" s="4">
        <v>43346</v>
      </c>
      <c r="C450" s="1" t="str">
        <f t="shared" ref="C450:L452" si="89">" "</f>
        <v xml:space="preserve"> </v>
      </c>
      <c r="D450" s="11"/>
      <c r="E450" s="1" t="str">
        <f>"卖出"</f>
        <v>卖出</v>
      </c>
      <c r="F450" s="1" t="str">
        <f>"银行转存"</f>
        <v>银行转存</v>
      </c>
      <c r="G450" s="13">
        <v>0</v>
      </c>
      <c r="H450" s="1">
        <v>0</v>
      </c>
      <c r="I450" s="5">
        <v>12000</v>
      </c>
      <c r="J450" s="5">
        <v>12001</v>
      </c>
      <c r="K450" s="1">
        <v>0</v>
      </c>
      <c r="L450" s="1" t="str">
        <f t="shared" si="89"/>
        <v xml:space="preserve"> </v>
      </c>
      <c r="M450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51" spans="1:13" x14ac:dyDescent="0.2">
      <c r="A451" s="3" t="str">
        <f>"1728"</f>
        <v>1728</v>
      </c>
      <c r="B451" s="4">
        <v>43346</v>
      </c>
      <c r="C451" s="4" t="s">
        <v>34</v>
      </c>
      <c r="D451" s="11">
        <v>940018</v>
      </c>
      <c r="E451" s="1" t="str">
        <f>"卖出"</f>
        <v>卖出</v>
      </c>
      <c r="F451" s="1" t="str">
        <f>"基金资金拨出"</f>
        <v>基金资金拨出</v>
      </c>
      <c r="G451" s="13">
        <v>0</v>
      </c>
      <c r="H451" s="1">
        <v>0</v>
      </c>
      <c r="I451" s="5">
        <v>-613.76</v>
      </c>
      <c r="J451" s="5">
        <v>11387.24</v>
      </c>
      <c r="K451" s="1">
        <v>0</v>
      </c>
      <c r="L451" s="1" t="str">
        <f t="shared" si="89"/>
        <v xml:space="preserve"> </v>
      </c>
      <c r="M451" s="1" t="str">
        <f>"122扣除金额 基金代码：940018,发生份额：613.76"</f>
        <v>122扣除金额 基金代码：940018,发生份额：613.76</v>
      </c>
    </row>
    <row r="452" spans="1:13" x14ac:dyDescent="0.2">
      <c r="A452" s="3" t="str">
        <f>"1730"</f>
        <v>1730</v>
      </c>
      <c r="B452" s="4">
        <v>43346</v>
      </c>
      <c r="C452" s="4" t="s">
        <v>34</v>
      </c>
      <c r="D452" s="11">
        <v>940018</v>
      </c>
      <c r="E452" s="1" t="str">
        <f>"卖出"</f>
        <v>卖出</v>
      </c>
      <c r="F452" s="1" t="str">
        <f>"基金资金拨入"</f>
        <v>基金资金拨入</v>
      </c>
      <c r="G452" s="13">
        <v>0</v>
      </c>
      <c r="H452" s="1">
        <v>0</v>
      </c>
      <c r="I452" s="5">
        <v>1586.96</v>
      </c>
      <c r="J452" s="5">
        <v>12974.2</v>
      </c>
      <c r="K452" s="1">
        <v>0</v>
      </c>
      <c r="L452" s="1" t="str">
        <f t="shared" si="89"/>
        <v xml:space="preserve"> </v>
      </c>
      <c r="M452" s="1" t="str">
        <f>"124增加金额 基金代码：940018,发生份额：1586.96"</f>
        <v>124增加金额 基金代码：940018,发生份额：1586.96</v>
      </c>
    </row>
    <row r="453" spans="1:13" x14ac:dyDescent="0.2">
      <c r="A453" s="3" t="str">
        <f>"3073"</f>
        <v>3073</v>
      </c>
      <c r="B453" s="4">
        <v>43346</v>
      </c>
      <c r="C453" s="1" t="str">
        <f>"500ETF"</f>
        <v>500ETF</v>
      </c>
      <c r="D453" s="11" t="str">
        <f>"510500"</f>
        <v>510500</v>
      </c>
      <c r="E453" s="1" t="str">
        <f>"买入"</f>
        <v>买入</v>
      </c>
      <c r="F453" s="1" t="str">
        <f>"证券买入"</f>
        <v>证券买入</v>
      </c>
      <c r="G453" s="13">
        <v>5.0709999999999997</v>
      </c>
      <c r="H453" s="1">
        <v>1300</v>
      </c>
      <c r="I453" s="5">
        <v>-6593.62</v>
      </c>
      <c r="J453" s="5">
        <v>6380.58</v>
      </c>
      <c r="K453" s="1">
        <v>1.32</v>
      </c>
      <c r="L453" s="1" t="str">
        <f>"A280737240"</f>
        <v>A280737240</v>
      </c>
      <c r="M453" s="1" t="str">
        <f>"证券买入"</f>
        <v>证券买入</v>
      </c>
    </row>
    <row r="454" spans="1:13" x14ac:dyDescent="0.2">
      <c r="A454" s="3" t="str">
        <f>"3074"</f>
        <v>3074</v>
      </c>
      <c r="B454" s="4">
        <v>43346</v>
      </c>
      <c r="C454" s="1" t="str">
        <f>"300ETF"</f>
        <v>300ETF</v>
      </c>
      <c r="D454" s="11" t="str">
        <f>"510300"</f>
        <v>510300</v>
      </c>
      <c r="E454" s="1" t="str">
        <f>"买入"</f>
        <v>买入</v>
      </c>
      <c r="F454" s="1" t="str">
        <f>"证券买入"</f>
        <v>证券买入</v>
      </c>
      <c r="G454" s="13">
        <v>3.3570000000000002</v>
      </c>
      <c r="H454" s="1">
        <v>1900</v>
      </c>
      <c r="I454" s="5">
        <v>-6379.58</v>
      </c>
      <c r="J454" s="5">
        <v>1</v>
      </c>
      <c r="K454" s="1">
        <v>1.28</v>
      </c>
      <c r="L454" s="1" t="str">
        <f>"A280737240"</f>
        <v>A280737240</v>
      </c>
      <c r="M454" s="1" t="str">
        <f>"证券买入"</f>
        <v>证券买入</v>
      </c>
    </row>
    <row r="455" spans="1:13" x14ac:dyDescent="0.2">
      <c r="A455" s="3" t="str">
        <f>"1792"</f>
        <v>1792</v>
      </c>
      <c r="B455" s="4">
        <v>43347</v>
      </c>
      <c r="C455" s="4" t="s">
        <v>34</v>
      </c>
      <c r="D455" s="11">
        <v>940018</v>
      </c>
      <c r="E455" s="1" t="str">
        <f>"卖出"</f>
        <v>卖出</v>
      </c>
      <c r="F455" s="1" t="str">
        <f>"基金资金拨入"</f>
        <v>基金资金拨入</v>
      </c>
      <c r="G455" s="13">
        <v>0</v>
      </c>
      <c r="H455" s="1">
        <v>0</v>
      </c>
      <c r="I455" s="5">
        <v>613.76</v>
      </c>
      <c r="J455" s="5">
        <v>614.76</v>
      </c>
      <c r="K455" s="1">
        <v>0</v>
      </c>
      <c r="L455" s="1" t="str">
        <f>" "</f>
        <v xml:space="preserve"> </v>
      </c>
      <c r="M455" s="1" t="str">
        <f>"124增加金额 基金代码：940018,发生份额：613.76"</f>
        <v>124增加金额 基金代码：940018,发生份额：613.76</v>
      </c>
    </row>
    <row r="456" spans="1:13" x14ac:dyDescent="0.2">
      <c r="A456" s="3" t="str">
        <f>"3452"</f>
        <v>3452</v>
      </c>
      <c r="B456" s="4">
        <v>43347</v>
      </c>
      <c r="C456" s="1" t="str">
        <f>"银华日利"</f>
        <v>银华日利</v>
      </c>
      <c r="D456" s="11" t="str">
        <f>"511880"</f>
        <v>511880</v>
      </c>
      <c r="E456" s="1" t="str">
        <f>"卖出"</f>
        <v>卖出</v>
      </c>
      <c r="F456" s="1" t="str">
        <f>"证券卖出"</f>
        <v>证券卖出</v>
      </c>
      <c r="G456" s="13">
        <v>102.744</v>
      </c>
      <c r="H456" s="1">
        <v>-1600</v>
      </c>
      <c r="I456" s="5">
        <v>164390.39999999999</v>
      </c>
      <c r="J456" s="5">
        <v>165005.16</v>
      </c>
      <c r="K456" s="1">
        <v>0</v>
      </c>
      <c r="L456" s="1" t="str">
        <f>"A280737240"</f>
        <v>A280737240</v>
      </c>
      <c r="M456" s="1" t="str">
        <f>"证券卖出"</f>
        <v>证券卖出</v>
      </c>
    </row>
    <row r="457" spans="1:13" x14ac:dyDescent="0.2">
      <c r="A457" s="3" t="str">
        <f>"256"</f>
        <v>256</v>
      </c>
      <c r="B457" s="4">
        <v>43348</v>
      </c>
      <c r="C457" s="1" t="str">
        <f t="shared" ref="C457:L459" si="90">" "</f>
        <v xml:space="preserve"> </v>
      </c>
      <c r="D457" s="11"/>
      <c r="E457" s="1" t="str">
        <f>"卖出"</f>
        <v>卖出</v>
      </c>
      <c r="F457" s="1" t="str">
        <f>"银行转取"</f>
        <v>银行转取</v>
      </c>
      <c r="G457" s="13">
        <v>0</v>
      </c>
      <c r="H457" s="1">
        <v>0</v>
      </c>
      <c r="I457" s="5">
        <v>-165005.16</v>
      </c>
      <c r="J457" s="5">
        <v>0</v>
      </c>
      <c r="K457" s="1">
        <v>0</v>
      </c>
      <c r="L457" s="1" t="str">
        <f t="shared" si="90"/>
        <v xml:space="preserve"> </v>
      </c>
      <c r="M457" s="1" t="str">
        <f>"银行返回码[ ]返回信息[0000 交易成功]|转账成功 转账账号:6225881012906292 correct_balance=165005.16"</f>
        <v>银行返回码[ ]返回信息[0000 交易成功]|转账成功 转账账号:6225881012906292 correct_balance=165005.16</v>
      </c>
    </row>
    <row r="458" spans="1:13" x14ac:dyDescent="0.2">
      <c r="A458" s="3" t="str">
        <f>"435"</f>
        <v>435</v>
      </c>
      <c r="B458" s="4">
        <v>43354</v>
      </c>
      <c r="C458" s="1" t="str">
        <f t="shared" si="90"/>
        <v xml:space="preserve"> </v>
      </c>
      <c r="D458" s="11"/>
      <c r="E458" s="1" t="str">
        <f>"卖出"</f>
        <v>卖出</v>
      </c>
      <c r="F458" s="1" t="str">
        <f>"银行转存"</f>
        <v>银行转存</v>
      </c>
      <c r="G458" s="13">
        <v>0</v>
      </c>
      <c r="H458" s="1">
        <v>0</v>
      </c>
      <c r="I458" s="5">
        <v>3210</v>
      </c>
      <c r="J458" s="5">
        <v>3210</v>
      </c>
      <c r="K458" s="1">
        <v>0</v>
      </c>
      <c r="L458" s="1" t="str">
        <f t="shared" si="90"/>
        <v xml:space="preserve"> </v>
      </c>
      <c r="M458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59" spans="1:13" x14ac:dyDescent="0.2">
      <c r="A459" s="3" t="str">
        <f>"1755"</f>
        <v>1755</v>
      </c>
      <c r="B459" s="4">
        <v>43354</v>
      </c>
      <c r="C459" s="4" t="s">
        <v>34</v>
      </c>
      <c r="D459" s="11">
        <v>940018</v>
      </c>
      <c r="E459" s="1" t="str">
        <f>"卖出"</f>
        <v>卖出</v>
      </c>
      <c r="F459" s="1" t="str">
        <f>"基金资金拨出"</f>
        <v>基金资金拨出</v>
      </c>
      <c r="G459" s="13">
        <v>0</v>
      </c>
      <c r="H459" s="1">
        <v>0</v>
      </c>
      <c r="I459" s="5">
        <v>-49.37</v>
      </c>
      <c r="J459" s="5">
        <v>3160.63</v>
      </c>
      <c r="K459" s="1">
        <v>0</v>
      </c>
      <c r="L459" s="1" t="str">
        <f t="shared" si="90"/>
        <v xml:space="preserve"> </v>
      </c>
      <c r="M459" s="1" t="str">
        <f>"122扣除金额 基金代码：940018,发生份额：49.37"</f>
        <v>122扣除金额 基金代码：940018,发生份额：49.37</v>
      </c>
    </row>
    <row r="460" spans="1:13" x14ac:dyDescent="0.2">
      <c r="A460" s="3" t="str">
        <f>"3338"</f>
        <v>3338</v>
      </c>
      <c r="B460" s="4">
        <v>43354</v>
      </c>
      <c r="C460" s="1" t="str">
        <f>"1000ETF"</f>
        <v>1000ETF</v>
      </c>
      <c r="D460" s="11" t="str">
        <f>"512100"</f>
        <v>512100</v>
      </c>
      <c r="E460" s="1" t="str">
        <f>"买入"</f>
        <v>买入</v>
      </c>
      <c r="F460" s="1" t="str">
        <f>"证券买入"</f>
        <v>证券买入</v>
      </c>
      <c r="G460" s="13">
        <v>0.58499999999999996</v>
      </c>
      <c r="H460" s="1">
        <v>5400</v>
      </c>
      <c r="I460" s="5">
        <v>-3159.63</v>
      </c>
      <c r="J460" s="5">
        <v>1</v>
      </c>
      <c r="K460" s="1">
        <v>0.63</v>
      </c>
      <c r="L460" s="1" t="str">
        <f>"A280737240"</f>
        <v>A280737240</v>
      </c>
      <c r="M460" s="1" t="str">
        <f>"证券买入"</f>
        <v>证券买入</v>
      </c>
    </row>
    <row r="461" spans="1:13" x14ac:dyDescent="0.2">
      <c r="A461" s="3" t="str">
        <f>"5232"</f>
        <v>5232</v>
      </c>
      <c r="B461" s="4">
        <v>43355</v>
      </c>
      <c r="C461" s="4" t="s">
        <v>34</v>
      </c>
      <c r="D461" s="11">
        <v>940018</v>
      </c>
      <c r="E461" s="1" t="str">
        <f>"卖出"</f>
        <v>卖出</v>
      </c>
      <c r="F461" s="1" t="str">
        <f>"基金资金拨出"</f>
        <v>基金资金拨出</v>
      </c>
      <c r="G461" s="13">
        <v>0</v>
      </c>
      <c r="H461" s="1">
        <v>0</v>
      </c>
      <c r="I461" s="5">
        <v>-1</v>
      </c>
      <c r="J461" s="5">
        <v>0</v>
      </c>
      <c r="K461" s="1">
        <v>0</v>
      </c>
      <c r="L461" s="1" t="str">
        <f t="shared" ref="C461:L463" si="91">" "</f>
        <v xml:space="preserve"> </v>
      </c>
      <c r="M461" s="1" t="str">
        <f>"122扣除金额 基金代码：940018,发生份额：1"</f>
        <v>122扣除金额 基金代码：940018,发生份额：1</v>
      </c>
    </row>
    <row r="462" spans="1:13" x14ac:dyDescent="0.2">
      <c r="A462" s="3" t="str">
        <f>"661"</f>
        <v>661</v>
      </c>
      <c r="B462" s="4">
        <v>43357</v>
      </c>
      <c r="C462" s="1" t="str">
        <f t="shared" si="91"/>
        <v xml:space="preserve"> </v>
      </c>
      <c r="D462" s="11"/>
      <c r="E462" s="1" t="str">
        <f>"卖出"</f>
        <v>卖出</v>
      </c>
      <c r="F462" s="1" t="str">
        <f>"银行转存"</f>
        <v>银行转存</v>
      </c>
      <c r="G462" s="13">
        <v>0</v>
      </c>
      <c r="H462" s="1">
        <v>0</v>
      </c>
      <c r="I462" s="5">
        <v>10000</v>
      </c>
      <c r="J462" s="5">
        <v>10000</v>
      </c>
      <c r="K462" s="1">
        <v>0</v>
      </c>
      <c r="L462" s="1" t="str">
        <f t="shared" si="91"/>
        <v xml:space="preserve"> </v>
      </c>
      <c r="M462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63" spans="1:13" x14ac:dyDescent="0.2">
      <c r="A463" s="3" t="str">
        <f>"1814"</f>
        <v>1814</v>
      </c>
      <c r="B463" s="4">
        <v>43357</v>
      </c>
      <c r="C463" s="4" t="s">
        <v>34</v>
      </c>
      <c r="D463" s="11">
        <v>940018</v>
      </c>
      <c r="E463" s="1" t="str">
        <f>"卖出"</f>
        <v>卖出</v>
      </c>
      <c r="F463" s="1" t="str">
        <f>"基金资金拨出"</f>
        <v>基金资金拨出</v>
      </c>
      <c r="G463" s="13">
        <v>0</v>
      </c>
      <c r="H463" s="1">
        <v>0</v>
      </c>
      <c r="I463" s="5">
        <v>-3530.21</v>
      </c>
      <c r="J463" s="5">
        <v>6469.79</v>
      </c>
      <c r="K463" s="1">
        <v>0</v>
      </c>
      <c r="L463" s="1" t="str">
        <f t="shared" si="91"/>
        <v xml:space="preserve"> </v>
      </c>
      <c r="M463" s="1" t="str">
        <f>"122扣除金额 基金代码：940018,发生份额：3530.21"</f>
        <v>122扣除金额 基金代码：940018,发生份额：3530.21</v>
      </c>
    </row>
    <row r="464" spans="1:13" x14ac:dyDescent="0.2">
      <c r="A464" s="3" t="str">
        <f>"3245"</f>
        <v>3245</v>
      </c>
      <c r="B464" s="4">
        <v>43357</v>
      </c>
      <c r="C464" s="1" t="str">
        <f>"500ETF"</f>
        <v>500ETF</v>
      </c>
      <c r="D464" s="11" t="str">
        <f>"510500"</f>
        <v>510500</v>
      </c>
      <c r="E464" s="1" t="str">
        <f>"买入"</f>
        <v>买入</v>
      </c>
      <c r="F464" s="1" t="str">
        <f>"证券买入"</f>
        <v>证券买入</v>
      </c>
      <c r="G464" s="13">
        <v>4.9749999999999996</v>
      </c>
      <c r="H464" s="1">
        <v>1300</v>
      </c>
      <c r="I464" s="5">
        <v>-6468.79</v>
      </c>
      <c r="J464" s="5">
        <v>1</v>
      </c>
      <c r="K464" s="1">
        <v>1.29</v>
      </c>
      <c r="L464" s="1" t="str">
        <f>"A280737240"</f>
        <v>A280737240</v>
      </c>
      <c r="M464" s="1" t="str">
        <f>"证券买入"</f>
        <v>证券买入</v>
      </c>
    </row>
    <row r="465" spans="1:13" x14ac:dyDescent="0.2">
      <c r="A465" s="3" t="str">
        <f>"1396"</f>
        <v>1396</v>
      </c>
      <c r="B465" s="4">
        <v>43360</v>
      </c>
      <c r="C465" s="4" t="s">
        <v>34</v>
      </c>
      <c r="D465" s="11">
        <v>940018</v>
      </c>
      <c r="E465" s="1" t="str">
        <f>"卖出"</f>
        <v>卖出</v>
      </c>
      <c r="F465" s="1" t="str">
        <f>"基金资金拨出"</f>
        <v>基金资金拨出</v>
      </c>
      <c r="G465" s="13">
        <v>0</v>
      </c>
      <c r="H465" s="1">
        <v>0</v>
      </c>
      <c r="I465" s="5">
        <v>-1</v>
      </c>
      <c r="J465" s="5">
        <v>0</v>
      </c>
      <c r="K465" s="1">
        <v>0</v>
      </c>
      <c r="L465" s="1" t="str">
        <f t="shared" ref="C465:L469" si="92">" "</f>
        <v xml:space="preserve"> </v>
      </c>
      <c r="M465" s="1" t="str">
        <f>"122扣除金额 基金代码：940018,发生份额：1"</f>
        <v>122扣除金额 基金代码：940018,发生份额：1</v>
      </c>
    </row>
    <row r="466" spans="1:13" x14ac:dyDescent="0.2">
      <c r="A466" s="3" t="str">
        <f>"688"</f>
        <v>688</v>
      </c>
      <c r="B466" s="4">
        <v>43364</v>
      </c>
      <c r="C466" s="1" t="str">
        <f t="shared" si="92"/>
        <v xml:space="preserve"> </v>
      </c>
      <c r="D466" s="11"/>
      <c r="E466" s="1" t="str">
        <f>"卖出"</f>
        <v>卖出</v>
      </c>
      <c r="F466" s="1" t="str">
        <f>"银行转存"</f>
        <v>银行转存</v>
      </c>
      <c r="G466" s="13">
        <v>0</v>
      </c>
      <c r="H466" s="1">
        <v>0</v>
      </c>
      <c r="I466" s="5">
        <v>3000</v>
      </c>
      <c r="J466" s="5">
        <v>3000</v>
      </c>
      <c r="K466" s="1">
        <v>0</v>
      </c>
      <c r="L466" s="1" t="str">
        <f t="shared" si="92"/>
        <v xml:space="preserve"> </v>
      </c>
      <c r="M466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67" spans="1:13" x14ac:dyDescent="0.2">
      <c r="A467" s="3" t="str">
        <f>"5948"</f>
        <v>5948</v>
      </c>
      <c r="B467" s="4">
        <v>43364</v>
      </c>
      <c r="C467" s="1" t="str">
        <f t="shared" si="92"/>
        <v xml:space="preserve"> </v>
      </c>
      <c r="D467" s="11"/>
      <c r="E467" s="1" t="str">
        <f>"卖出"</f>
        <v>卖出</v>
      </c>
      <c r="F467" s="1" t="str">
        <f>"利息归本"</f>
        <v>利息归本</v>
      </c>
      <c r="G467" s="13">
        <v>0</v>
      </c>
      <c r="H467" s="1">
        <v>0</v>
      </c>
      <c r="I467" s="5">
        <v>1.6</v>
      </c>
      <c r="J467" s="5">
        <v>3001.6</v>
      </c>
      <c r="K467" s="1">
        <v>0</v>
      </c>
      <c r="L467" s="1" t="str">
        <f t="shared" si="92"/>
        <v xml:space="preserve"> </v>
      </c>
      <c r="M467" s="1" t="str">
        <f>" 利息归本: 归本利息为 1.6correct_balance=0"</f>
        <v xml:space="preserve"> 利息归本: 归本利息为 1.6correct_balance=0</v>
      </c>
    </row>
    <row r="468" spans="1:13" x14ac:dyDescent="0.2">
      <c r="A468" s="3" t="str">
        <f>"9090"</f>
        <v>9090</v>
      </c>
      <c r="B468" s="4">
        <v>43364</v>
      </c>
      <c r="C468" s="4" t="s">
        <v>34</v>
      </c>
      <c r="D468" s="11">
        <v>940018</v>
      </c>
      <c r="E468" s="1" t="str">
        <f>"卖出"</f>
        <v>卖出</v>
      </c>
      <c r="F468" s="1" t="str">
        <f>"基金资金拨出"</f>
        <v>基金资金拨出</v>
      </c>
      <c r="G468" s="13">
        <v>0</v>
      </c>
      <c r="H468" s="1">
        <v>0</v>
      </c>
      <c r="I468" s="5">
        <v>-3000</v>
      </c>
      <c r="J468" s="5">
        <v>1.6</v>
      </c>
      <c r="K468" s="1">
        <v>0</v>
      </c>
      <c r="L468" s="1" t="str">
        <f t="shared" si="92"/>
        <v xml:space="preserve"> </v>
      </c>
      <c r="M468" s="1" t="str">
        <f>"122扣除金额 基金代码：940018,发生份额：3000"</f>
        <v>122扣除金额 基金代码：940018,发生份额：3000</v>
      </c>
    </row>
    <row r="469" spans="1:13" x14ac:dyDescent="0.2">
      <c r="A469" s="3" t="str">
        <f>"6647"</f>
        <v>6647</v>
      </c>
      <c r="B469" s="4">
        <v>43368</v>
      </c>
      <c r="C469" s="4" t="s">
        <v>34</v>
      </c>
      <c r="D469" s="11">
        <v>940018</v>
      </c>
      <c r="E469" s="1" t="str">
        <f>"卖出"</f>
        <v>卖出</v>
      </c>
      <c r="F469" s="1" t="str">
        <f>"基金资金拨出"</f>
        <v>基金资金拨出</v>
      </c>
      <c r="G469" s="13">
        <v>0</v>
      </c>
      <c r="H469" s="1">
        <v>0</v>
      </c>
      <c r="I469" s="5">
        <v>-1.6</v>
      </c>
      <c r="J469" s="5">
        <v>0</v>
      </c>
      <c r="K469" s="1">
        <v>0</v>
      </c>
      <c r="L469" s="1" t="str">
        <f t="shared" si="92"/>
        <v xml:space="preserve"> </v>
      </c>
      <c r="M469" s="1" t="str">
        <f>"122扣除金额 基金代码：940018,发生份额：1.6"</f>
        <v>122扣除金额 基金代码：940018,发生份额：1.6</v>
      </c>
    </row>
    <row r="470" spans="1:13" x14ac:dyDescent="0.2">
      <c r="A470" s="3" t="str">
        <f>"4110"</f>
        <v>4110</v>
      </c>
      <c r="B470" s="4">
        <v>43371</v>
      </c>
      <c r="C470" s="1" t="str">
        <f>"创业板"</f>
        <v>创业板</v>
      </c>
      <c r="D470" s="11" t="str">
        <f>"159915"</f>
        <v>159915</v>
      </c>
      <c r="E470" s="1" t="str">
        <f>"买入"</f>
        <v>买入</v>
      </c>
      <c r="F470" s="1" t="str">
        <f>"证券买入"</f>
        <v>证券买入</v>
      </c>
      <c r="G470" s="13">
        <v>1.335</v>
      </c>
      <c r="H470" s="1">
        <v>4800</v>
      </c>
      <c r="I470" s="5">
        <v>-6409.28</v>
      </c>
      <c r="J470" s="5">
        <v>-6409.28</v>
      </c>
      <c r="K470" s="1">
        <v>1.28</v>
      </c>
      <c r="L470" s="1" t="str">
        <f>"0184500716"</f>
        <v>0184500716</v>
      </c>
      <c r="M470" s="1" t="str">
        <f>"证券买入"</f>
        <v>证券买入</v>
      </c>
    </row>
    <row r="471" spans="1:13" x14ac:dyDescent="0.2">
      <c r="A471" s="3" t="str">
        <f>"5165"</f>
        <v>5165</v>
      </c>
      <c r="B471" s="4">
        <v>43371</v>
      </c>
      <c r="C471" s="4" t="s">
        <v>34</v>
      </c>
      <c r="D471" s="11">
        <v>940018</v>
      </c>
      <c r="E471" s="1" t="str">
        <f>"卖出"</f>
        <v>卖出</v>
      </c>
      <c r="F471" s="1" t="str">
        <f>"基金资金拨出"</f>
        <v>基金资金拨出</v>
      </c>
      <c r="G471" s="13">
        <v>0</v>
      </c>
      <c r="H471" s="1">
        <v>0</v>
      </c>
      <c r="I471" s="5">
        <v>-175.65</v>
      </c>
      <c r="J471" s="5">
        <v>-6584.93</v>
      </c>
      <c r="K471" s="1">
        <v>0</v>
      </c>
      <c r="L471" s="1" t="str">
        <f t="shared" ref="C471:L474" si="93">" "</f>
        <v xml:space="preserve"> </v>
      </c>
      <c r="M471" s="1" t="str">
        <f>"122扣除金额 基金代码：940018,发生份额：175.65"</f>
        <v>122扣除金额 基金代码：940018,发生份额：175.65</v>
      </c>
    </row>
    <row r="472" spans="1:13" x14ac:dyDescent="0.2">
      <c r="A472" s="3" t="str">
        <f>"5166"</f>
        <v>5166</v>
      </c>
      <c r="B472" s="4">
        <v>43371</v>
      </c>
      <c r="C472" s="4" t="s">
        <v>34</v>
      </c>
      <c r="D472" s="11">
        <v>940018</v>
      </c>
      <c r="E472" s="1" t="str">
        <f>"卖出"</f>
        <v>卖出</v>
      </c>
      <c r="F472" s="1" t="str">
        <f>"基金资金拨入"</f>
        <v>基金资金拨入</v>
      </c>
      <c r="G472" s="13">
        <v>0</v>
      </c>
      <c r="H472" s="1">
        <v>0</v>
      </c>
      <c r="I472" s="5">
        <v>6585.93</v>
      </c>
      <c r="J472" s="5">
        <v>1</v>
      </c>
      <c r="K472" s="1">
        <v>0</v>
      </c>
      <c r="L472" s="1" t="str">
        <f t="shared" si="93"/>
        <v xml:space="preserve"> </v>
      </c>
      <c r="M472" s="1" t="str">
        <f>"124增加金额 基金代码：940018,发生份额：6585.93"</f>
        <v>124增加金额 基金代码：940018,发生份额：6585.93</v>
      </c>
    </row>
    <row r="473" spans="1:13" x14ac:dyDescent="0.2">
      <c r="A473" s="3" t="str">
        <f>"2285"</f>
        <v>2285</v>
      </c>
      <c r="B473" s="4">
        <v>43381</v>
      </c>
      <c r="C473" s="4" t="s">
        <v>34</v>
      </c>
      <c r="D473" s="11">
        <v>940018</v>
      </c>
      <c r="E473" s="1" t="str">
        <f>"卖出"</f>
        <v>卖出</v>
      </c>
      <c r="F473" s="1" t="str">
        <f>"基金资金拨出"</f>
        <v>基金资金拨出</v>
      </c>
      <c r="G473" s="13">
        <v>0</v>
      </c>
      <c r="H473" s="1">
        <v>0</v>
      </c>
      <c r="I473" s="5">
        <v>-1</v>
      </c>
      <c r="J473" s="5">
        <v>0</v>
      </c>
      <c r="K473" s="1">
        <v>0</v>
      </c>
      <c r="L473" s="1" t="str">
        <f t="shared" si="93"/>
        <v xml:space="preserve"> </v>
      </c>
      <c r="M473" s="1" t="str">
        <f>"122扣除金额 基金代码：940018,发生份额：1"</f>
        <v>122扣除金额 基金代码：940018,发生份额：1</v>
      </c>
    </row>
    <row r="474" spans="1:13" x14ac:dyDescent="0.2">
      <c r="A474" s="3" t="str">
        <f>"687"</f>
        <v>687</v>
      </c>
      <c r="B474" s="4">
        <v>43384</v>
      </c>
      <c r="C474" s="1" t="str">
        <f t="shared" si="93"/>
        <v xml:space="preserve"> </v>
      </c>
      <c r="D474" s="11"/>
      <c r="E474" s="1" t="str">
        <f>"卖出"</f>
        <v>卖出</v>
      </c>
      <c r="F474" s="1" t="str">
        <f>"银行转存"</f>
        <v>银行转存</v>
      </c>
      <c r="G474" s="13">
        <v>0</v>
      </c>
      <c r="H474" s="1">
        <v>0</v>
      </c>
      <c r="I474" s="5">
        <v>6400</v>
      </c>
      <c r="J474" s="5">
        <v>6400</v>
      </c>
      <c r="K474" s="1">
        <v>0</v>
      </c>
      <c r="L474" s="1" t="str">
        <f t="shared" si="93"/>
        <v xml:space="preserve"> </v>
      </c>
      <c r="M474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75" spans="1:13" x14ac:dyDescent="0.2">
      <c r="A475" s="3" t="str">
        <f>"3579"</f>
        <v>3579</v>
      </c>
      <c r="B475" s="4">
        <v>43384</v>
      </c>
      <c r="C475" s="1" t="str">
        <f>"500ETF"</f>
        <v>500ETF</v>
      </c>
      <c r="D475" s="11" t="str">
        <f>"510500"</f>
        <v>510500</v>
      </c>
      <c r="E475" s="1" t="str">
        <f>"买入"</f>
        <v>买入</v>
      </c>
      <c r="F475" s="1" t="str">
        <f>"证券买入"</f>
        <v>证券买入</v>
      </c>
      <c r="G475" s="13">
        <v>4.6289999999999996</v>
      </c>
      <c r="H475" s="1">
        <v>1400</v>
      </c>
      <c r="I475" s="5">
        <v>-6481.9</v>
      </c>
      <c r="J475" s="5">
        <v>-81.900000000000006</v>
      </c>
      <c r="K475" s="1">
        <v>1.3</v>
      </c>
      <c r="L475" s="1" t="str">
        <f>"A280737240"</f>
        <v>A280737240</v>
      </c>
      <c r="M475" s="1" t="str">
        <f>"证券买入"</f>
        <v>证券买入</v>
      </c>
    </row>
    <row r="476" spans="1:13" x14ac:dyDescent="0.2">
      <c r="A476" s="3" t="str">
        <f>"4056"</f>
        <v>4056</v>
      </c>
      <c r="B476" s="4">
        <v>43384</v>
      </c>
      <c r="C476" s="4" t="s">
        <v>34</v>
      </c>
      <c r="D476" s="11">
        <v>940018</v>
      </c>
      <c r="E476" s="1" t="str">
        <f t="shared" ref="E476:E481" si="94">"卖出"</f>
        <v>卖出</v>
      </c>
      <c r="F476" s="1" t="str">
        <f>"基金资金拨出"</f>
        <v>基金资金拨出</v>
      </c>
      <c r="G476" s="13">
        <v>0</v>
      </c>
      <c r="H476" s="1">
        <v>0</v>
      </c>
      <c r="I476" s="5">
        <v>-93.75</v>
      </c>
      <c r="J476" s="5">
        <v>-175.65</v>
      </c>
      <c r="K476" s="1">
        <v>0</v>
      </c>
      <c r="L476" s="1" t="str">
        <f t="shared" ref="C476:L481" si="95">" "</f>
        <v xml:space="preserve"> </v>
      </c>
      <c r="M476" s="1" t="str">
        <f>"122扣除金额 基金代码：940018,发生份额：93.75"</f>
        <v>122扣除金额 基金代码：940018,发生份额：93.75</v>
      </c>
    </row>
    <row r="477" spans="1:13" x14ac:dyDescent="0.2">
      <c r="A477" s="3" t="str">
        <f>"4057"</f>
        <v>4057</v>
      </c>
      <c r="B477" s="4">
        <v>43384</v>
      </c>
      <c r="C477" s="4" t="s">
        <v>34</v>
      </c>
      <c r="D477" s="11">
        <v>940018</v>
      </c>
      <c r="E477" s="1" t="str">
        <f t="shared" si="94"/>
        <v>卖出</v>
      </c>
      <c r="F477" s="1" t="str">
        <f>"基金资金拨入"</f>
        <v>基金资金拨入</v>
      </c>
      <c r="G477" s="13">
        <v>0</v>
      </c>
      <c r="H477" s="1">
        <v>0</v>
      </c>
      <c r="I477" s="5">
        <v>176.65</v>
      </c>
      <c r="J477" s="5">
        <v>1</v>
      </c>
      <c r="K477" s="1">
        <v>0</v>
      </c>
      <c r="L477" s="1" t="str">
        <f t="shared" si="95"/>
        <v xml:space="preserve"> </v>
      </c>
      <c r="M477" s="1" t="str">
        <f>"124增加金额 基金代码：940018,发生份额：176.65"</f>
        <v>124增加金额 基金代码：940018,发生份额：176.65</v>
      </c>
    </row>
    <row r="478" spans="1:13" x14ac:dyDescent="0.2">
      <c r="A478" s="3" t="str">
        <f>"2123"</f>
        <v>2123</v>
      </c>
      <c r="B478" s="4">
        <v>43385</v>
      </c>
      <c r="C478" s="4" t="s">
        <v>34</v>
      </c>
      <c r="D478" s="11">
        <v>940018</v>
      </c>
      <c r="E478" s="1" t="str">
        <f t="shared" si="94"/>
        <v>卖出</v>
      </c>
      <c r="F478" s="1" t="str">
        <f>"基金资金拨出"</f>
        <v>基金资金拨出</v>
      </c>
      <c r="G478" s="13">
        <v>0</v>
      </c>
      <c r="H478" s="1">
        <v>0</v>
      </c>
      <c r="I478" s="5">
        <v>-1</v>
      </c>
      <c r="J478" s="5">
        <v>0</v>
      </c>
      <c r="K478" s="1">
        <v>0</v>
      </c>
      <c r="L478" s="1" t="str">
        <f t="shared" si="95"/>
        <v xml:space="preserve"> </v>
      </c>
      <c r="M478" s="1" t="str">
        <f>"122扣除金额 基金代码：940018,发生份额：1"</f>
        <v>122扣除金额 基金代码：940018,发生份额：1</v>
      </c>
    </row>
    <row r="479" spans="1:13" x14ac:dyDescent="0.2">
      <c r="A479" s="3" t="str">
        <f>"657"</f>
        <v>657</v>
      </c>
      <c r="B479" s="4">
        <v>43388</v>
      </c>
      <c r="C479" s="1" t="str">
        <f t="shared" si="95"/>
        <v xml:space="preserve"> </v>
      </c>
      <c r="D479" s="11"/>
      <c r="E479" s="1" t="str">
        <f t="shared" si="94"/>
        <v>卖出</v>
      </c>
      <c r="F479" s="1" t="str">
        <f>"银行转存"</f>
        <v>银行转存</v>
      </c>
      <c r="G479" s="13">
        <v>0</v>
      </c>
      <c r="H479" s="1">
        <v>0</v>
      </c>
      <c r="I479" s="5">
        <v>6400</v>
      </c>
      <c r="J479" s="5">
        <v>6400</v>
      </c>
      <c r="K479" s="1">
        <v>0</v>
      </c>
      <c r="L479" s="1" t="str">
        <f t="shared" si="95"/>
        <v xml:space="preserve"> </v>
      </c>
      <c r="M479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80" spans="1:13" x14ac:dyDescent="0.2">
      <c r="A480" s="3" t="str">
        <f>"1672"</f>
        <v>1672</v>
      </c>
      <c r="B480" s="4">
        <v>43388</v>
      </c>
      <c r="C480" s="4" t="s">
        <v>34</v>
      </c>
      <c r="D480" s="11">
        <v>940018</v>
      </c>
      <c r="E480" s="1" t="str">
        <f t="shared" si="94"/>
        <v>卖出</v>
      </c>
      <c r="F480" s="1" t="str">
        <f>"基金资金拨出"</f>
        <v>基金资金拨出</v>
      </c>
      <c r="G480" s="13">
        <v>0</v>
      </c>
      <c r="H480" s="1">
        <v>0</v>
      </c>
      <c r="I480" s="5">
        <v>-92.47</v>
      </c>
      <c r="J480" s="5">
        <v>6307.53</v>
      </c>
      <c r="K480" s="1">
        <v>0</v>
      </c>
      <c r="L480" s="1" t="str">
        <f t="shared" si="95"/>
        <v xml:space="preserve"> </v>
      </c>
      <c r="M480" s="1" t="str">
        <f>"122扣除金额 基金代码：940018,发生份额：92.47"</f>
        <v>122扣除金额 基金代码：940018,发生份额：92.47</v>
      </c>
    </row>
    <row r="481" spans="1:13" x14ac:dyDescent="0.2">
      <c r="A481" s="3" t="str">
        <f>"1673"</f>
        <v>1673</v>
      </c>
      <c r="B481" s="4">
        <v>43388</v>
      </c>
      <c r="C481" s="4" t="s">
        <v>34</v>
      </c>
      <c r="D481" s="11">
        <v>940018</v>
      </c>
      <c r="E481" s="1" t="str">
        <f t="shared" si="94"/>
        <v>卖出</v>
      </c>
      <c r="F481" s="1" t="str">
        <f>"基金资金拨入"</f>
        <v>基金资金拨入</v>
      </c>
      <c r="G481" s="13">
        <v>0</v>
      </c>
      <c r="H481" s="1">
        <v>0</v>
      </c>
      <c r="I481" s="5">
        <v>94.75</v>
      </c>
      <c r="J481" s="5">
        <v>6402.28</v>
      </c>
      <c r="K481" s="1">
        <v>0</v>
      </c>
      <c r="L481" s="1" t="str">
        <f t="shared" si="95"/>
        <v xml:space="preserve"> </v>
      </c>
      <c r="M481" s="1" t="str">
        <f>"124增加金额 基金代码：940018,发生份额：94.75"</f>
        <v>124增加金额 基金代码：940018,发生份额：94.75</v>
      </c>
    </row>
    <row r="482" spans="1:13" x14ac:dyDescent="0.2">
      <c r="A482" s="3" t="str">
        <f>"3182"</f>
        <v>3182</v>
      </c>
      <c r="B482" s="4">
        <v>43388</v>
      </c>
      <c r="C482" s="1" t="str">
        <f>"证券ETF"</f>
        <v>证券ETF</v>
      </c>
      <c r="D482" s="11" t="str">
        <f>"512880"</f>
        <v>512880</v>
      </c>
      <c r="E482" s="1" t="str">
        <f>"买入"</f>
        <v>买入</v>
      </c>
      <c r="F482" s="1" t="str">
        <f>"证券买入"</f>
        <v>证券买入</v>
      </c>
      <c r="G482" s="13">
        <v>0.64</v>
      </c>
      <c r="H482" s="1">
        <v>10000</v>
      </c>
      <c r="I482" s="5">
        <v>-6401.28</v>
      </c>
      <c r="J482" s="5">
        <v>1</v>
      </c>
      <c r="K482" s="1">
        <v>1.28</v>
      </c>
      <c r="L482" s="1" t="str">
        <f>"A280737240"</f>
        <v>A280737240</v>
      </c>
      <c r="M482" s="1" t="str">
        <f>"证券买入"</f>
        <v>证券买入</v>
      </c>
    </row>
    <row r="483" spans="1:13" x14ac:dyDescent="0.2">
      <c r="A483" s="3" t="str">
        <f>"1779"</f>
        <v>1779</v>
      </c>
      <c r="B483" s="4">
        <v>43389</v>
      </c>
      <c r="C483" s="4" t="s">
        <v>34</v>
      </c>
      <c r="D483" s="11">
        <v>940018</v>
      </c>
      <c r="E483" s="1" t="str">
        <f>"卖出"</f>
        <v>卖出</v>
      </c>
      <c r="F483" s="1" t="str">
        <f>"基金资金拨出"</f>
        <v>基金资金拨出</v>
      </c>
      <c r="G483" s="13">
        <v>0</v>
      </c>
      <c r="H483" s="1">
        <v>0</v>
      </c>
      <c r="I483" s="5">
        <v>-1</v>
      </c>
      <c r="J483" s="5">
        <v>0</v>
      </c>
      <c r="K483" s="1">
        <v>0</v>
      </c>
      <c r="L483" s="1" t="str">
        <f>" "</f>
        <v xml:space="preserve"> </v>
      </c>
      <c r="M483" s="1" t="str">
        <f>"122扣除金额 基金代码：940018,发生份额：1"</f>
        <v>122扣除金额 基金代码：940018,发生份额：1</v>
      </c>
    </row>
    <row r="484" spans="1:13" x14ac:dyDescent="0.2">
      <c r="A484" s="6">
        <v>4523</v>
      </c>
      <c r="B484" s="7">
        <v>43439</v>
      </c>
      <c r="C484" s="2" t="s">
        <v>1</v>
      </c>
      <c r="D484" s="12">
        <v>510050</v>
      </c>
      <c r="E484" s="2" t="s">
        <v>4</v>
      </c>
      <c r="F484" s="2" t="s">
        <v>5</v>
      </c>
      <c r="G484" s="14">
        <v>2.4790000000000001</v>
      </c>
      <c r="H484" s="2">
        <v>0</v>
      </c>
      <c r="I484" s="8">
        <v>132.30000000000001</v>
      </c>
      <c r="J484" s="8">
        <v>132.30000000000001</v>
      </c>
      <c r="K484" s="8">
        <v>0</v>
      </c>
      <c r="L484" s="2" t="s">
        <v>0</v>
      </c>
      <c r="M484" s="2" t="s">
        <v>6</v>
      </c>
    </row>
    <row r="485" spans="1:13" x14ac:dyDescent="0.2">
      <c r="A485" s="6">
        <v>1889</v>
      </c>
      <c r="B485" s="7">
        <v>43440</v>
      </c>
      <c r="C485" s="4" t="s">
        <v>34</v>
      </c>
      <c r="D485" s="11">
        <v>940018</v>
      </c>
      <c r="E485" s="2" t="s">
        <v>4</v>
      </c>
      <c r="F485" s="2" t="s">
        <v>7</v>
      </c>
      <c r="G485" s="14">
        <v>0</v>
      </c>
      <c r="H485" s="2">
        <v>0</v>
      </c>
      <c r="I485" s="8">
        <v>-132.30000000000001</v>
      </c>
      <c r="J485" s="8">
        <v>0</v>
      </c>
      <c r="K485" s="8">
        <v>0</v>
      </c>
      <c r="L485" s="2" t="s">
        <v>2</v>
      </c>
      <c r="M485" s="2" t="s">
        <v>8</v>
      </c>
    </row>
    <row r="486" spans="1:13" x14ac:dyDescent="0.2">
      <c r="A486" s="6">
        <v>3960</v>
      </c>
      <c r="B486" s="7">
        <v>43483</v>
      </c>
      <c r="C486" s="2" t="s">
        <v>3</v>
      </c>
      <c r="D486" s="12">
        <v>510300</v>
      </c>
      <c r="E486" s="2" t="s">
        <v>4</v>
      </c>
      <c r="F486" s="2" t="s">
        <v>5</v>
      </c>
      <c r="G486" s="14">
        <v>3.1659999999999999</v>
      </c>
      <c r="H486" s="2">
        <v>0</v>
      </c>
      <c r="I486" s="8">
        <v>436.6</v>
      </c>
      <c r="J486" s="8">
        <v>436.6</v>
      </c>
      <c r="K486" s="8">
        <v>0</v>
      </c>
      <c r="L486" s="2" t="s">
        <v>0</v>
      </c>
      <c r="M486" s="2" t="s">
        <v>9</v>
      </c>
    </row>
    <row r="487" spans="1:13" x14ac:dyDescent="0.2">
      <c r="A487" s="6">
        <v>4984</v>
      </c>
      <c r="B487" s="7">
        <v>43486</v>
      </c>
      <c r="C487" s="4" t="s">
        <v>34</v>
      </c>
      <c r="D487" s="11">
        <v>940018</v>
      </c>
      <c r="E487" s="2" t="s">
        <v>4</v>
      </c>
      <c r="F487" s="2" t="s">
        <v>7</v>
      </c>
      <c r="G487" s="14">
        <v>0</v>
      </c>
      <c r="H487" s="2">
        <v>0</v>
      </c>
      <c r="I487" s="8">
        <v>-436.6</v>
      </c>
      <c r="J487" s="8">
        <v>0</v>
      </c>
      <c r="K487" s="8">
        <v>0</v>
      </c>
      <c r="L487" s="2" t="s">
        <v>2</v>
      </c>
      <c r="M487" s="2" t="s">
        <v>10</v>
      </c>
    </row>
    <row r="488" spans="1:13" x14ac:dyDescent="0.2">
      <c r="A488" s="3" t="str">
        <f>"743"</f>
        <v>743</v>
      </c>
      <c r="B488" s="4">
        <v>43515</v>
      </c>
      <c r="C488" s="1" t="str">
        <f t="shared" ref="C488:L492" si="96">" "</f>
        <v xml:space="preserve"> </v>
      </c>
      <c r="D488" s="11"/>
      <c r="E488" s="1" t="str">
        <f t="shared" ref="E488:E499" si="97">"卖出"</f>
        <v>卖出</v>
      </c>
      <c r="F488" s="1" t="str">
        <f>"银行转存"</f>
        <v>银行转存</v>
      </c>
      <c r="G488" s="13">
        <v>0</v>
      </c>
      <c r="H488" s="1">
        <v>0</v>
      </c>
      <c r="I488" s="5">
        <v>10000</v>
      </c>
      <c r="J488" s="5">
        <v>10000</v>
      </c>
      <c r="K488" s="5">
        <v>0</v>
      </c>
      <c r="L488" s="1" t="str">
        <f t="shared" si="96"/>
        <v xml:space="preserve"> </v>
      </c>
      <c r="M488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89" spans="1:13" x14ac:dyDescent="0.2">
      <c r="A489" s="3" t="str">
        <f>"7303"</f>
        <v>7303</v>
      </c>
      <c r="B489" s="4">
        <v>43516</v>
      </c>
      <c r="C489" s="1" t="str">
        <f t="shared" si="96"/>
        <v xml:space="preserve"> </v>
      </c>
      <c r="D489" s="11" t="s">
        <v>33</v>
      </c>
      <c r="E489" s="1" t="str">
        <f t="shared" si="97"/>
        <v>卖出</v>
      </c>
      <c r="F489" s="1" t="str">
        <f>"基金资金拨出"</f>
        <v>基金资金拨出</v>
      </c>
      <c r="G489" s="13">
        <v>0</v>
      </c>
      <c r="H489" s="1">
        <v>0</v>
      </c>
      <c r="I489" s="5">
        <v>-10000</v>
      </c>
      <c r="J489" s="5">
        <v>0</v>
      </c>
      <c r="K489" s="5">
        <v>0</v>
      </c>
      <c r="L489" s="1" t="str">
        <f t="shared" si="96"/>
        <v xml:space="preserve"> </v>
      </c>
      <c r="M489" s="1" t="str">
        <f>"122扣除金额 基金代码：003474,发生份额：10000"</f>
        <v>122扣除金额 基金代码：003474,发生份额：10000</v>
      </c>
    </row>
    <row r="490" spans="1:13" x14ac:dyDescent="0.2">
      <c r="A490" s="3" t="str">
        <f>"3007"</f>
        <v>3007</v>
      </c>
      <c r="B490" s="4">
        <v>43518</v>
      </c>
      <c r="C490" s="1" t="str">
        <f t="shared" si="96"/>
        <v xml:space="preserve"> </v>
      </c>
      <c r="D490" s="11" t="s">
        <v>33</v>
      </c>
      <c r="E490" s="1" t="str">
        <f t="shared" si="97"/>
        <v>卖出</v>
      </c>
      <c r="F490" s="1" t="str">
        <f>"基金资金拨入"</f>
        <v>基金资金拨入</v>
      </c>
      <c r="G490" s="13">
        <v>0</v>
      </c>
      <c r="H490" s="1">
        <v>0</v>
      </c>
      <c r="I490" s="5">
        <v>10000</v>
      </c>
      <c r="J490" s="5">
        <v>10000</v>
      </c>
      <c r="K490" s="5">
        <v>0</v>
      </c>
      <c r="L490" s="1" t="str">
        <f t="shared" si="96"/>
        <v xml:space="preserve"> </v>
      </c>
      <c r="M490" s="1" t="str">
        <f>"124增加金额 基金代码：003474,发生份额：10000"</f>
        <v>124增加金额 基金代码：003474,发生份额：10000</v>
      </c>
    </row>
    <row r="491" spans="1:13" x14ac:dyDescent="0.2">
      <c r="A491" s="3" t="str">
        <f>"560"</f>
        <v>560</v>
      </c>
      <c r="B491" s="4">
        <v>43521</v>
      </c>
      <c r="C491" s="1" t="str">
        <f t="shared" si="96"/>
        <v xml:space="preserve"> </v>
      </c>
      <c r="D491" s="11"/>
      <c r="E491" s="1" t="str">
        <f t="shared" si="97"/>
        <v>卖出</v>
      </c>
      <c r="F491" s="1" t="str">
        <f>"银行转取"</f>
        <v>银行转取</v>
      </c>
      <c r="G491" s="13">
        <v>0</v>
      </c>
      <c r="H491" s="1">
        <v>0</v>
      </c>
      <c r="I491" s="5">
        <v>-10000</v>
      </c>
      <c r="J491" s="5">
        <v>0</v>
      </c>
      <c r="K491" s="5">
        <v>0</v>
      </c>
      <c r="L491" s="1" t="str">
        <f t="shared" si="96"/>
        <v xml:space="preserve"> </v>
      </c>
      <c r="M491" s="1" t="str">
        <f>"银行返回码[ ]返回信息[0000 交易成功]|转账成功 转账账号:6225881012906292 correct_balance=10000"</f>
        <v>银行返回码[ ]返回信息[0000 交易成功]|转账成功 转账账号:6225881012906292 correct_balance=10000</v>
      </c>
    </row>
    <row r="492" spans="1:13" x14ac:dyDescent="0.2">
      <c r="A492" s="3" t="str">
        <f>"3164"</f>
        <v>3164</v>
      </c>
      <c r="B492" s="4">
        <v>43531</v>
      </c>
      <c r="C492" s="4" t="s">
        <v>34</v>
      </c>
      <c r="D492" s="11">
        <v>940018</v>
      </c>
      <c r="E492" s="1" t="str">
        <f t="shared" si="97"/>
        <v>卖出</v>
      </c>
      <c r="F492" s="1" t="str">
        <f>"基金资金拨出"</f>
        <v>基金资金拨出</v>
      </c>
      <c r="G492" s="13">
        <v>0</v>
      </c>
      <c r="H492" s="1">
        <v>0</v>
      </c>
      <c r="I492" s="5">
        <v>-8160.77</v>
      </c>
      <c r="J492" s="5">
        <v>-8160.77</v>
      </c>
      <c r="K492" s="5">
        <v>0</v>
      </c>
      <c r="L492" s="1" t="str">
        <f t="shared" si="96"/>
        <v xml:space="preserve"> </v>
      </c>
      <c r="M492" s="1" t="str">
        <f>"122扣除金额 基金代码：940018,发生份额：8160.77"</f>
        <v>122扣除金额 基金代码：940018,发生份额：8160.77</v>
      </c>
    </row>
    <row r="493" spans="1:13" x14ac:dyDescent="0.2">
      <c r="A493" s="3" t="str">
        <f>"7329"</f>
        <v>7329</v>
      </c>
      <c r="B493" s="4">
        <v>43531</v>
      </c>
      <c r="C493" s="1" t="str">
        <f>"500ETF"</f>
        <v>500ETF</v>
      </c>
      <c r="D493" s="11" t="str">
        <f>"510500"</f>
        <v>510500</v>
      </c>
      <c r="E493" s="1" t="str">
        <f t="shared" si="97"/>
        <v>卖出</v>
      </c>
      <c r="F493" s="1" t="str">
        <f>"证券卖出"</f>
        <v>证券卖出</v>
      </c>
      <c r="G493" s="13">
        <v>5.8310000000000004</v>
      </c>
      <c r="H493" s="1">
        <v>-1400</v>
      </c>
      <c r="I493" s="5">
        <v>8161.77</v>
      </c>
      <c r="J493" s="5">
        <v>1</v>
      </c>
      <c r="K493" s="5">
        <v>1.63</v>
      </c>
      <c r="L493" s="1" t="str">
        <f>"A280737240"</f>
        <v>A280737240</v>
      </c>
      <c r="M493" s="1" t="str">
        <f>"证券卖出"</f>
        <v>证券卖出</v>
      </c>
    </row>
    <row r="494" spans="1:13" x14ac:dyDescent="0.2">
      <c r="A494" s="3" t="str">
        <f>"913"</f>
        <v>913</v>
      </c>
      <c r="B494" s="4">
        <v>43532</v>
      </c>
      <c r="C494" s="4" t="s">
        <v>34</v>
      </c>
      <c r="D494" s="11">
        <v>940018</v>
      </c>
      <c r="E494" s="1" t="str">
        <f t="shared" si="97"/>
        <v>卖出</v>
      </c>
      <c r="F494" s="1" t="str">
        <f>"资管转让资金上账"</f>
        <v>资管转让资金上账</v>
      </c>
      <c r="G494" s="13">
        <v>0</v>
      </c>
      <c r="H494" s="1">
        <v>0</v>
      </c>
      <c r="I494" s="5">
        <v>8830</v>
      </c>
      <c r="J494" s="5">
        <v>8831</v>
      </c>
      <c r="K494" s="5">
        <v>0</v>
      </c>
      <c r="L494" s="1" t="str">
        <f t="shared" ref="C494:L499" si="98">" "</f>
        <v xml:space="preserve"> </v>
      </c>
      <c r="M494" s="1" t="str">
        <f>"快速取现退出资金拨入,产品代码940018,对方资产账户40000545correct_balance=0"</f>
        <v>快速取现退出资金拨入,产品代码940018,对方资产账户40000545correct_balance=0</v>
      </c>
    </row>
    <row r="495" spans="1:13" x14ac:dyDescent="0.2">
      <c r="A495" s="3" t="str">
        <f>"916"</f>
        <v>916</v>
      </c>
      <c r="B495" s="4">
        <v>43532</v>
      </c>
      <c r="C495" s="1" t="str">
        <f t="shared" si="98"/>
        <v xml:space="preserve"> </v>
      </c>
      <c r="D495" s="11"/>
      <c r="E495" s="1" t="str">
        <f t="shared" si="97"/>
        <v>卖出</v>
      </c>
      <c r="F495" s="1" t="str">
        <f>"银行转取"</f>
        <v>银行转取</v>
      </c>
      <c r="G495" s="13">
        <v>0</v>
      </c>
      <c r="H495" s="1">
        <v>0</v>
      </c>
      <c r="I495" s="5">
        <v>-8831</v>
      </c>
      <c r="J495" s="5">
        <v>0</v>
      </c>
      <c r="K495" s="5">
        <v>0</v>
      </c>
      <c r="L495" s="1" t="str">
        <f t="shared" si="98"/>
        <v xml:space="preserve"> </v>
      </c>
      <c r="M495" s="1" t="str">
        <f>"银行返回码[ ]返回信息[0000 交易成功]|转账成功 转账账号:6225881012906292 correct_balance=8831"</f>
        <v>银行返回码[ ]返回信息[0000 交易成功]|转账成功 转账账号:6225881012906292 correct_balance=8831</v>
      </c>
    </row>
    <row r="496" spans="1:13" x14ac:dyDescent="0.2">
      <c r="A496" s="3" t="str">
        <f>"5947"</f>
        <v>5947</v>
      </c>
      <c r="B496" s="4">
        <v>43545</v>
      </c>
      <c r="C496" s="1" t="str">
        <f t="shared" si="98"/>
        <v xml:space="preserve"> </v>
      </c>
      <c r="D496" s="11"/>
      <c r="E496" s="1" t="str">
        <f t="shared" si="97"/>
        <v>卖出</v>
      </c>
      <c r="F496" s="1" t="str">
        <f>"利息归本"</f>
        <v>利息归本</v>
      </c>
      <c r="G496" s="13">
        <v>0</v>
      </c>
      <c r="H496" s="1">
        <v>0</v>
      </c>
      <c r="I496" s="5">
        <v>0.4</v>
      </c>
      <c r="J496" s="5">
        <v>0.4</v>
      </c>
      <c r="K496" s="5">
        <v>0</v>
      </c>
      <c r="L496" s="1" t="str">
        <f t="shared" si="98"/>
        <v xml:space="preserve"> </v>
      </c>
      <c r="M496" s="1" t="str">
        <f>" 利息归本: 归本利息为 0.4correct_balance=0"</f>
        <v xml:space="preserve"> 利息归本: 归本利息为 0.4correct_balance=0</v>
      </c>
    </row>
    <row r="497" spans="1:13" x14ac:dyDescent="0.2">
      <c r="A497" s="3" t="str">
        <f>"10861"</f>
        <v>10861</v>
      </c>
      <c r="B497" s="4">
        <v>43546</v>
      </c>
      <c r="C497" s="4" t="s">
        <v>34</v>
      </c>
      <c r="D497" s="11">
        <v>940018</v>
      </c>
      <c r="E497" s="1" t="str">
        <f t="shared" si="97"/>
        <v>卖出</v>
      </c>
      <c r="F497" s="1" t="str">
        <f>"基金资金拨出"</f>
        <v>基金资金拨出</v>
      </c>
      <c r="G497" s="13">
        <v>0</v>
      </c>
      <c r="H497" s="1">
        <v>0</v>
      </c>
      <c r="I497" s="5">
        <v>-0.4</v>
      </c>
      <c r="J497" s="5">
        <v>0</v>
      </c>
      <c r="K497" s="5">
        <v>0</v>
      </c>
      <c r="L497" s="1" t="str">
        <f t="shared" si="98"/>
        <v xml:space="preserve"> </v>
      </c>
      <c r="M497" s="1" t="str">
        <f>"122扣除金额 基金代码：940018,发生份额：.4"</f>
        <v>122扣除金额 基金代码：940018,发生份额：.4</v>
      </c>
    </row>
    <row r="498" spans="1:13" x14ac:dyDescent="0.2">
      <c r="A498" s="3" t="str">
        <f>"607"</f>
        <v>607</v>
      </c>
      <c r="B498" s="4">
        <v>43600</v>
      </c>
      <c r="C498" s="1" t="str">
        <f t="shared" si="98"/>
        <v xml:space="preserve"> </v>
      </c>
      <c r="D498" s="11"/>
      <c r="E498" s="1" t="str">
        <f t="shared" si="97"/>
        <v>卖出</v>
      </c>
      <c r="F498" s="1" t="str">
        <f>"银行转存"</f>
        <v>银行转存</v>
      </c>
      <c r="G498" s="13">
        <v>0</v>
      </c>
      <c r="H498" s="1">
        <v>0</v>
      </c>
      <c r="I498" s="5">
        <v>6500</v>
      </c>
      <c r="J498" s="5">
        <v>6500</v>
      </c>
      <c r="K498" s="5">
        <v>0</v>
      </c>
      <c r="L498" s="1" t="str">
        <f t="shared" si="98"/>
        <v xml:space="preserve"> </v>
      </c>
      <c r="M498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99" spans="1:13" x14ac:dyDescent="0.2">
      <c r="A499" s="3" t="str">
        <f>"2404"</f>
        <v>2404</v>
      </c>
      <c r="B499" s="4">
        <v>43600</v>
      </c>
      <c r="C499" s="4" t="s">
        <v>34</v>
      </c>
      <c r="D499" s="11">
        <v>940018</v>
      </c>
      <c r="E499" s="1" t="str">
        <f t="shared" si="97"/>
        <v>卖出</v>
      </c>
      <c r="F499" s="1" t="str">
        <f>"基金资金拨出"</f>
        <v>基金资金拨出</v>
      </c>
      <c r="G499" s="13">
        <v>0</v>
      </c>
      <c r="H499" s="1">
        <v>0</v>
      </c>
      <c r="I499" s="5">
        <v>-180.54</v>
      </c>
      <c r="J499" s="5">
        <v>6319.46</v>
      </c>
      <c r="K499" s="5">
        <v>0</v>
      </c>
      <c r="L499" s="1" t="str">
        <f t="shared" si="98"/>
        <v xml:space="preserve"> </v>
      </c>
      <c r="M499" s="1" t="str">
        <f>"122扣除金额 基金代码：940018,发生份额：180.54"</f>
        <v>122扣除金额 基金代码：940018,发生份额：180.54</v>
      </c>
    </row>
    <row r="500" spans="1:13" x14ac:dyDescent="0.2">
      <c r="A500" s="3" t="str">
        <f>"4855"</f>
        <v>4855</v>
      </c>
      <c r="B500" s="4">
        <v>43600</v>
      </c>
      <c r="C500" s="1" t="str">
        <f>"300ETF"</f>
        <v>300ETF</v>
      </c>
      <c r="D500" s="11" t="str">
        <f>"510300"</f>
        <v>510300</v>
      </c>
      <c r="E500" s="1" t="str">
        <f>"买入"</f>
        <v>买入</v>
      </c>
      <c r="F500" s="1" t="str">
        <f>"证券买入"</f>
        <v>证券买入</v>
      </c>
      <c r="G500" s="13">
        <v>3.7160000000000002</v>
      </c>
      <c r="H500" s="1">
        <v>1700</v>
      </c>
      <c r="I500" s="5">
        <v>-6318.46</v>
      </c>
      <c r="J500" s="5">
        <v>1</v>
      </c>
      <c r="K500" s="5">
        <v>1.26</v>
      </c>
      <c r="L500" s="1" t="str">
        <f>"A280737240"</f>
        <v>A280737240</v>
      </c>
      <c r="M500" s="1" t="str">
        <f>"证券买入"</f>
        <v>证券买入</v>
      </c>
    </row>
    <row r="501" spans="1:13" x14ac:dyDescent="0.2">
      <c r="A501" s="3" t="str">
        <f>"1932"</f>
        <v>1932</v>
      </c>
      <c r="B501" s="4">
        <v>43601</v>
      </c>
      <c r="C501" s="4" t="s">
        <v>34</v>
      </c>
      <c r="D501" s="11">
        <v>940018</v>
      </c>
      <c r="E501" s="1" t="str">
        <f>"卖出"</f>
        <v>卖出</v>
      </c>
      <c r="F501" s="1" t="str">
        <f>"基金资金拨出"</f>
        <v>基金资金拨出</v>
      </c>
      <c r="G501" s="13">
        <v>0</v>
      </c>
      <c r="H501" s="1">
        <v>0</v>
      </c>
      <c r="I501" s="5">
        <v>-1</v>
      </c>
      <c r="J501" s="5">
        <v>0</v>
      </c>
      <c r="K501" s="5">
        <v>0</v>
      </c>
      <c r="L501" s="1" t="str">
        <f t="shared" ref="C501:L504" si="99">" "</f>
        <v xml:space="preserve"> </v>
      </c>
      <c r="M501" s="1" t="str">
        <f>"122扣除金额 基金代码：940018,发生份额：1"</f>
        <v>122扣除金额 基金代码：940018,发生份额：1</v>
      </c>
    </row>
    <row r="502" spans="1:13" x14ac:dyDescent="0.2">
      <c r="A502" s="3" t="str">
        <f>"563"</f>
        <v>563</v>
      </c>
      <c r="B502" s="4">
        <v>43634</v>
      </c>
      <c r="C502" s="1" t="str">
        <f t="shared" si="99"/>
        <v xml:space="preserve"> </v>
      </c>
      <c r="D502" s="11"/>
      <c r="E502" s="1" t="str">
        <f>"卖出"</f>
        <v>卖出</v>
      </c>
      <c r="F502" s="1" t="str">
        <f>"银行转存"</f>
        <v>银行转存</v>
      </c>
      <c r="G502" s="13">
        <v>0</v>
      </c>
      <c r="H502" s="1">
        <v>0</v>
      </c>
      <c r="I502" s="5">
        <v>6400</v>
      </c>
      <c r="J502" s="5">
        <v>6400</v>
      </c>
      <c r="K502" s="5">
        <v>0</v>
      </c>
      <c r="L502" s="1" t="str">
        <f t="shared" si="99"/>
        <v xml:space="preserve"> </v>
      </c>
      <c r="M502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03" spans="1:13" x14ac:dyDescent="0.2">
      <c r="A503" s="3" t="str">
        <f>"816"</f>
        <v>816</v>
      </c>
      <c r="B503" s="4">
        <v>43634</v>
      </c>
      <c r="C503" s="1" t="str">
        <f t="shared" si="99"/>
        <v xml:space="preserve"> </v>
      </c>
      <c r="D503" s="11"/>
      <c r="E503" s="1" t="str">
        <f>"卖出"</f>
        <v>卖出</v>
      </c>
      <c r="F503" s="1" t="str">
        <f>"银行转存"</f>
        <v>银行转存</v>
      </c>
      <c r="G503" s="13">
        <v>0</v>
      </c>
      <c r="H503" s="1">
        <v>0</v>
      </c>
      <c r="I503" s="5">
        <v>6400</v>
      </c>
      <c r="J503" s="5">
        <v>12800</v>
      </c>
      <c r="K503" s="5">
        <v>0</v>
      </c>
      <c r="L503" s="1" t="str">
        <f t="shared" si="99"/>
        <v xml:space="preserve"> </v>
      </c>
      <c r="M503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04" spans="1:13" x14ac:dyDescent="0.2">
      <c r="A504" s="3" t="str">
        <f>"1963"</f>
        <v>1963</v>
      </c>
      <c r="B504" s="4">
        <v>43634</v>
      </c>
      <c r="C504" s="4" t="s">
        <v>34</v>
      </c>
      <c r="D504" s="11">
        <v>940018</v>
      </c>
      <c r="E504" s="1" t="str">
        <f>"卖出"</f>
        <v>卖出</v>
      </c>
      <c r="F504" s="1" t="str">
        <f>"基金资金拨出"</f>
        <v>基金资金拨出</v>
      </c>
      <c r="G504" s="13">
        <v>0</v>
      </c>
      <c r="H504" s="1">
        <v>0</v>
      </c>
      <c r="I504" s="5">
        <v>-241.48</v>
      </c>
      <c r="J504" s="5">
        <v>12558.52</v>
      </c>
      <c r="K504" s="5">
        <v>0</v>
      </c>
      <c r="L504" s="1" t="str">
        <f t="shared" si="99"/>
        <v xml:space="preserve"> </v>
      </c>
      <c r="M504" s="1" t="str">
        <f>"122扣除金额 基金代码：940018,发生份额：241.48"</f>
        <v>122扣除金额 基金代码：940018,发生份额：241.48</v>
      </c>
    </row>
    <row r="505" spans="1:13" x14ac:dyDescent="0.2">
      <c r="A505" s="3" t="str">
        <f>"5927"</f>
        <v>5927</v>
      </c>
      <c r="B505" s="4">
        <v>43634</v>
      </c>
      <c r="C505" s="1" t="str">
        <f>"1000ETF"</f>
        <v>1000ETF</v>
      </c>
      <c r="D505" s="11" t="str">
        <f>"512100"</f>
        <v>512100</v>
      </c>
      <c r="E505" s="1" t="str">
        <f>"买入"</f>
        <v>买入</v>
      </c>
      <c r="F505" s="1" t="str">
        <f>"证券买入"</f>
        <v>证券买入</v>
      </c>
      <c r="G505" s="13">
        <v>0.625</v>
      </c>
      <c r="H505" s="1">
        <v>10200</v>
      </c>
      <c r="I505" s="5">
        <v>-6376.28</v>
      </c>
      <c r="J505" s="5">
        <v>6182.24</v>
      </c>
      <c r="K505" s="5">
        <v>1.28</v>
      </c>
      <c r="L505" s="1" t="str">
        <f>"A280737240"</f>
        <v>A280737240</v>
      </c>
      <c r="M505" s="1" t="str">
        <f>"证券买入"</f>
        <v>证券买入</v>
      </c>
    </row>
    <row r="506" spans="1:13" x14ac:dyDescent="0.2">
      <c r="A506" s="3" t="str">
        <f>"5929"</f>
        <v>5929</v>
      </c>
      <c r="B506" s="4">
        <v>43634</v>
      </c>
      <c r="C506" s="1" t="str">
        <f>"500ETF"</f>
        <v>500ETF</v>
      </c>
      <c r="D506" s="11" t="str">
        <f>"510500"</f>
        <v>510500</v>
      </c>
      <c r="E506" s="1" t="str">
        <f>"买入"</f>
        <v>买入</v>
      </c>
      <c r="F506" s="1" t="str">
        <f>"证券买入"</f>
        <v>证券买入</v>
      </c>
      <c r="G506" s="13">
        <v>5.15</v>
      </c>
      <c r="H506" s="1">
        <v>1200</v>
      </c>
      <c r="I506" s="5">
        <v>-6181.24</v>
      </c>
      <c r="J506" s="5">
        <v>1</v>
      </c>
      <c r="K506" s="5">
        <v>1.24</v>
      </c>
      <c r="L506" s="1" t="str">
        <f>"A280737240"</f>
        <v>A280737240</v>
      </c>
      <c r="M506" s="1" t="str">
        <f>"证券买入"</f>
        <v>证券买入</v>
      </c>
    </row>
    <row r="507" spans="1:13" x14ac:dyDescent="0.2">
      <c r="A507" s="3" t="str">
        <f>"1957"</f>
        <v>1957</v>
      </c>
      <c r="B507" s="4">
        <v>43635</v>
      </c>
      <c r="C507" s="4" t="s">
        <v>34</v>
      </c>
      <c r="D507" s="11">
        <v>940018</v>
      </c>
      <c r="E507" s="1" t="str">
        <f>"卖出"</f>
        <v>卖出</v>
      </c>
      <c r="F507" s="1" t="str">
        <f>"基金资金拨出"</f>
        <v>基金资金拨出</v>
      </c>
      <c r="G507" s="13">
        <v>0</v>
      </c>
      <c r="H507" s="1">
        <v>0</v>
      </c>
      <c r="I507" s="5">
        <v>-1</v>
      </c>
      <c r="J507" s="5">
        <v>0</v>
      </c>
      <c r="K507" s="5">
        <v>0</v>
      </c>
      <c r="L507" s="1" t="str">
        <f t="shared" ref="C507:L508" si="100">" "</f>
        <v xml:space="preserve"> </v>
      </c>
      <c r="M507" s="1" t="str">
        <f>"122扣除金额 基金代码：940018,发生份额：1"</f>
        <v>122扣除金额 基金代码：940018,发生份额：1</v>
      </c>
    </row>
    <row r="508" spans="1:13" x14ac:dyDescent="0.2">
      <c r="A508" s="3" t="str">
        <f>"903"</f>
        <v>903</v>
      </c>
      <c r="B508" s="4">
        <v>43647</v>
      </c>
      <c r="C508" s="1" t="str">
        <f t="shared" si="100"/>
        <v xml:space="preserve"> </v>
      </c>
      <c r="D508" s="11"/>
      <c r="E508" s="1" t="str">
        <f>"卖出"</f>
        <v>卖出</v>
      </c>
      <c r="F508" s="1" t="str">
        <f>"银行转存"</f>
        <v>银行转存</v>
      </c>
      <c r="G508" s="13">
        <v>0</v>
      </c>
      <c r="H508" s="1">
        <v>0</v>
      </c>
      <c r="I508" s="5">
        <v>6100</v>
      </c>
      <c r="J508" s="5">
        <v>6100</v>
      </c>
      <c r="K508" s="5">
        <v>0</v>
      </c>
      <c r="L508" s="1" t="str">
        <f t="shared" si="100"/>
        <v xml:space="preserve"> </v>
      </c>
      <c r="M508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09" spans="1:13" x14ac:dyDescent="0.2">
      <c r="A509" s="3" t="str">
        <f>"5542"</f>
        <v>5542</v>
      </c>
      <c r="B509" s="4">
        <v>43647</v>
      </c>
      <c r="C509" s="1" t="str">
        <f>"黄金ETF"</f>
        <v>黄金ETF</v>
      </c>
      <c r="D509" s="11" t="str">
        <f>"518880"</f>
        <v>518880</v>
      </c>
      <c r="E509" s="1" t="str">
        <f>"买入"</f>
        <v>买入</v>
      </c>
      <c r="F509" s="1" t="str">
        <f>"证券买入"</f>
        <v>证券买入</v>
      </c>
      <c r="G509" s="13">
        <v>3.052</v>
      </c>
      <c r="H509" s="1">
        <v>2100</v>
      </c>
      <c r="I509" s="5">
        <v>-6410.48</v>
      </c>
      <c r="J509" s="5">
        <v>-310.48</v>
      </c>
      <c r="K509" s="5">
        <v>1.28</v>
      </c>
      <c r="L509" s="1" t="str">
        <f>"A280737240"</f>
        <v>A280737240</v>
      </c>
      <c r="M509" s="1" t="str">
        <f>"证券买入"</f>
        <v>证券买入</v>
      </c>
    </row>
    <row r="510" spans="1:13" x14ac:dyDescent="0.2">
      <c r="A510" s="3" t="str">
        <f>"6958"</f>
        <v>6958</v>
      </c>
      <c r="B510" s="4">
        <v>43647</v>
      </c>
      <c r="C510" s="4" t="s">
        <v>34</v>
      </c>
      <c r="D510" s="11">
        <v>940018</v>
      </c>
      <c r="E510" s="1" t="str">
        <f>"卖出"</f>
        <v>卖出</v>
      </c>
      <c r="F510" s="1" t="str">
        <f>"基金资金拨出"</f>
        <v>基金资金拨出</v>
      </c>
      <c r="G510" s="13">
        <v>0</v>
      </c>
      <c r="H510" s="1">
        <v>0</v>
      </c>
      <c r="I510" s="5">
        <v>-114</v>
      </c>
      <c r="J510" s="5">
        <v>-424.48</v>
      </c>
      <c r="K510" s="5">
        <v>0</v>
      </c>
      <c r="L510" s="1" t="str">
        <f t="shared" ref="L510:L512" si="101">" "</f>
        <v xml:space="preserve"> </v>
      </c>
      <c r="M510" s="1" t="str">
        <f>"122扣除金额 基金代码：940018,发生份额：114"</f>
        <v>122扣除金额 基金代码：940018,发生份额：114</v>
      </c>
    </row>
    <row r="511" spans="1:13" x14ac:dyDescent="0.2">
      <c r="A511" s="3" t="str">
        <f>"6959"</f>
        <v>6959</v>
      </c>
      <c r="B511" s="4">
        <v>43647</v>
      </c>
      <c r="C511" s="4" t="s">
        <v>34</v>
      </c>
      <c r="D511" s="11">
        <v>940018</v>
      </c>
      <c r="E511" s="1" t="str">
        <f>"卖出"</f>
        <v>卖出</v>
      </c>
      <c r="F511" s="1" t="str">
        <f>"基金资金拨入"</f>
        <v>基金资金拨入</v>
      </c>
      <c r="G511" s="13">
        <v>0</v>
      </c>
      <c r="H511" s="1">
        <v>0</v>
      </c>
      <c r="I511" s="5">
        <v>425.48</v>
      </c>
      <c r="J511" s="5">
        <v>1</v>
      </c>
      <c r="K511" s="5">
        <v>0</v>
      </c>
      <c r="L511" s="1" t="str">
        <f t="shared" si="101"/>
        <v xml:space="preserve"> </v>
      </c>
      <c r="M511" s="1" t="str">
        <f>"124增加金额 基金代码：940018,发生份额：425.48"</f>
        <v>124增加金额 基金代码：940018,发生份额：425.48</v>
      </c>
    </row>
    <row r="512" spans="1:13" x14ac:dyDescent="0.2">
      <c r="A512" s="3" t="str">
        <f>"2381"</f>
        <v>2381</v>
      </c>
      <c r="B512" s="4">
        <v>43648</v>
      </c>
      <c r="C512" s="4" t="s">
        <v>34</v>
      </c>
      <c r="D512" s="11">
        <v>940018</v>
      </c>
      <c r="E512" s="1" t="str">
        <f>"卖出"</f>
        <v>卖出</v>
      </c>
      <c r="F512" s="1" t="str">
        <f>"基金资金拨出"</f>
        <v>基金资金拨出</v>
      </c>
      <c r="G512" s="13">
        <v>0</v>
      </c>
      <c r="H512" s="1">
        <v>0</v>
      </c>
      <c r="I512" s="5">
        <v>-1</v>
      </c>
      <c r="J512" s="5">
        <v>0</v>
      </c>
      <c r="K512" s="5">
        <v>0</v>
      </c>
      <c r="L512" s="1" t="str">
        <f t="shared" si="101"/>
        <v xml:space="preserve"> </v>
      </c>
      <c r="M512" s="1" t="str">
        <f>"122扣除金额 基金代码：940018,发生份额：1"</f>
        <v>122扣除金额 基金代码：940018,发生份额：1</v>
      </c>
    </row>
    <row r="513" spans="1:13" x14ac:dyDescent="0.2">
      <c r="A513" s="3" t="str">
        <f>"6670"</f>
        <v>6670</v>
      </c>
      <c r="B513" s="4">
        <v>43668</v>
      </c>
      <c r="C513" s="1" t="str">
        <f>"1000ETF"</f>
        <v>1000ETF</v>
      </c>
      <c r="D513" s="11" t="str">
        <f>"512100"</f>
        <v>512100</v>
      </c>
      <c r="E513" s="1" t="str">
        <f>"卖出"</f>
        <v>卖出</v>
      </c>
      <c r="F513" s="1" t="str">
        <f>"证券卖出"</f>
        <v>证券卖出</v>
      </c>
      <c r="G513" s="13">
        <v>0.63</v>
      </c>
      <c r="H513" s="1">
        <v>-64800</v>
      </c>
      <c r="I513" s="5">
        <v>40815.839999999997</v>
      </c>
      <c r="J513" s="5">
        <v>40815.839999999997</v>
      </c>
      <c r="K513" s="5">
        <v>8.16</v>
      </c>
      <c r="L513" s="1" t="str">
        <f>"A280737240"</f>
        <v>A280737240</v>
      </c>
      <c r="M513" s="1" t="str">
        <f>"证券卖出"</f>
        <v>证券卖出</v>
      </c>
    </row>
    <row r="514" spans="1:13" x14ac:dyDescent="0.2">
      <c r="A514" s="3" t="str">
        <f>"6671"</f>
        <v>6671</v>
      </c>
      <c r="B514" s="4">
        <v>43668</v>
      </c>
      <c r="C514" s="1" t="str">
        <f>"500ETF"</f>
        <v>500ETF</v>
      </c>
      <c r="D514" s="11" t="str">
        <f>"510500"</f>
        <v>510500</v>
      </c>
      <c r="E514" s="1" t="str">
        <f>"买入"</f>
        <v>买入</v>
      </c>
      <c r="F514" s="1" t="str">
        <f>"证券买入"</f>
        <v>证券买入</v>
      </c>
      <c r="G514" s="13">
        <v>5.1669999999999998</v>
      </c>
      <c r="H514" s="1">
        <v>7900</v>
      </c>
      <c r="I514" s="5">
        <v>-40827.46</v>
      </c>
      <c r="J514" s="5">
        <v>-11.62</v>
      </c>
      <c r="K514" s="5">
        <v>8.16</v>
      </c>
      <c r="L514" s="1" t="str">
        <f>"A280737240"</f>
        <v>A280737240</v>
      </c>
      <c r="M514" s="1" t="str">
        <f>"证券买入"</f>
        <v>证券买入</v>
      </c>
    </row>
    <row r="515" spans="1:13" x14ac:dyDescent="0.2">
      <c r="A515" s="3" t="str">
        <f>"8122"</f>
        <v>8122</v>
      </c>
      <c r="B515" s="4">
        <v>43668</v>
      </c>
      <c r="C515" s="4" t="s">
        <v>34</v>
      </c>
      <c r="D515" s="11">
        <v>940018</v>
      </c>
      <c r="E515" s="1" t="str">
        <f>"卖出"</f>
        <v>卖出</v>
      </c>
      <c r="F515" s="1" t="str">
        <f>"基金资金拨出"</f>
        <v>基金资金拨出</v>
      </c>
      <c r="G515" s="13">
        <v>0</v>
      </c>
      <c r="H515" s="1">
        <v>0</v>
      </c>
      <c r="I515" s="5">
        <v>-102.38</v>
      </c>
      <c r="J515" s="5">
        <v>-114</v>
      </c>
      <c r="K515" s="5">
        <v>0</v>
      </c>
      <c r="L515" s="1" t="str">
        <f t="shared" ref="L515:L517" si="102">" "</f>
        <v xml:space="preserve"> </v>
      </c>
      <c r="M515" s="1" t="str">
        <f>"122扣除金额 基金代码：940018,发生份额：102.38"</f>
        <v>122扣除金额 基金代码：940018,发生份额：102.38</v>
      </c>
    </row>
    <row r="516" spans="1:13" x14ac:dyDescent="0.2">
      <c r="A516" s="3" t="str">
        <f>"8123"</f>
        <v>8123</v>
      </c>
      <c r="B516" s="4">
        <v>43668</v>
      </c>
      <c r="C516" s="4" t="s">
        <v>34</v>
      </c>
      <c r="D516" s="11">
        <v>940018</v>
      </c>
      <c r="E516" s="1" t="str">
        <f>"卖出"</f>
        <v>卖出</v>
      </c>
      <c r="F516" s="1" t="str">
        <f>"基金资金拨入"</f>
        <v>基金资金拨入</v>
      </c>
      <c r="G516" s="13">
        <v>0</v>
      </c>
      <c r="H516" s="1">
        <v>0</v>
      </c>
      <c r="I516" s="5">
        <v>115</v>
      </c>
      <c r="J516" s="5">
        <v>1</v>
      </c>
      <c r="K516" s="5">
        <v>0</v>
      </c>
      <c r="L516" s="1" t="str">
        <f t="shared" si="102"/>
        <v xml:space="preserve"> </v>
      </c>
      <c r="M516" s="1" t="str">
        <f>"124增加金额 基金代码：940018,发生份额：115"</f>
        <v>124增加金额 基金代码：940018,发生份额：115</v>
      </c>
    </row>
    <row r="517" spans="1:13" x14ac:dyDescent="0.2">
      <c r="A517" s="3" t="str">
        <f>"13237"</f>
        <v>13237</v>
      </c>
      <c r="B517" s="4">
        <v>43669</v>
      </c>
      <c r="C517" s="4" t="s">
        <v>34</v>
      </c>
      <c r="D517" s="11">
        <v>940018</v>
      </c>
      <c r="E517" s="1" t="str">
        <f>"卖出"</f>
        <v>卖出</v>
      </c>
      <c r="F517" s="1" t="str">
        <f>"基金资金拨出"</f>
        <v>基金资金拨出</v>
      </c>
      <c r="G517" s="13">
        <v>0</v>
      </c>
      <c r="H517" s="1">
        <v>0</v>
      </c>
      <c r="I517" s="5">
        <v>-1</v>
      </c>
      <c r="J517" s="5">
        <v>0</v>
      </c>
      <c r="K517" s="5">
        <v>0</v>
      </c>
      <c r="L517" s="1" t="str">
        <f t="shared" si="102"/>
        <v xml:space="preserve"> </v>
      </c>
      <c r="M517" s="1" t="str">
        <f>"122扣除金额 基金代码：940018,发生份额：1"</f>
        <v>122扣除金额 基金代码：940018,发生份额：1</v>
      </c>
    </row>
    <row r="518" spans="1:13" x14ac:dyDescent="0.2">
      <c r="A518" s="6">
        <v>870</v>
      </c>
      <c r="B518" s="7">
        <v>43734</v>
      </c>
      <c r="C518" s="2" t="s">
        <v>2</v>
      </c>
      <c r="D518" s="11"/>
      <c r="E518" s="2" t="s">
        <v>4</v>
      </c>
      <c r="F518" s="2" t="s">
        <v>11</v>
      </c>
      <c r="G518" s="14">
        <v>0</v>
      </c>
      <c r="H518" s="2">
        <v>0</v>
      </c>
      <c r="I518" s="8">
        <v>3500</v>
      </c>
      <c r="J518" s="8">
        <v>3500</v>
      </c>
      <c r="K518" s="8">
        <v>0</v>
      </c>
      <c r="L518" s="2" t="s">
        <v>2</v>
      </c>
      <c r="M518" s="2" t="s">
        <v>12</v>
      </c>
    </row>
    <row r="519" spans="1:13" x14ac:dyDescent="0.2">
      <c r="A519" s="6">
        <v>7288</v>
      </c>
      <c r="B519" s="7">
        <v>43734</v>
      </c>
      <c r="C519" s="2" t="s">
        <v>13</v>
      </c>
      <c r="D519" s="12">
        <v>159902</v>
      </c>
      <c r="E519" s="2" t="s">
        <v>14</v>
      </c>
      <c r="F519" s="2" t="s">
        <v>15</v>
      </c>
      <c r="G519" s="14">
        <v>2.9489999999999998</v>
      </c>
      <c r="H519" s="2">
        <v>1200</v>
      </c>
      <c r="I519" s="8">
        <v>-3539.51</v>
      </c>
      <c r="J519" s="8">
        <v>-39.51</v>
      </c>
      <c r="K519" s="8">
        <v>0.71</v>
      </c>
      <c r="L519" s="2">
        <v>184500716</v>
      </c>
      <c r="M519" s="2" t="s">
        <v>15</v>
      </c>
    </row>
    <row r="520" spans="1:13" x14ac:dyDescent="0.2">
      <c r="A520" s="6">
        <v>10483</v>
      </c>
      <c r="B520" s="7">
        <v>43734</v>
      </c>
      <c r="C520" s="4" t="s">
        <v>34</v>
      </c>
      <c r="D520" s="11">
        <v>940018</v>
      </c>
      <c r="E520" s="2" t="s">
        <v>4</v>
      </c>
      <c r="F520" s="2" t="s">
        <v>7</v>
      </c>
      <c r="G520" s="14">
        <v>0</v>
      </c>
      <c r="H520" s="2">
        <v>0</v>
      </c>
      <c r="I520" s="8">
        <v>-63.67</v>
      </c>
      <c r="J520" s="8">
        <v>-103.18</v>
      </c>
      <c r="K520" s="8">
        <v>0</v>
      </c>
      <c r="L520" s="2" t="s">
        <v>2</v>
      </c>
      <c r="M520" s="2" t="s">
        <v>16</v>
      </c>
    </row>
    <row r="521" spans="1:13" x14ac:dyDescent="0.2">
      <c r="A521" s="6">
        <v>10485</v>
      </c>
      <c r="B521" s="7">
        <v>43734</v>
      </c>
      <c r="C521" s="4" t="s">
        <v>34</v>
      </c>
      <c r="D521" s="11">
        <v>940018</v>
      </c>
      <c r="E521" s="2" t="s">
        <v>4</v>
      </c>
      <c r="F521" s="2" t="s">
        <v>17</v>
      </c>
      <c r="G521" s="14">
        <v>0</v>
      </c>
      <c r="H521" s="2">
        <v>0</v>
      </c>
      <c r="I521" s="8">
        <v>104.18</v>
      </c>
      <c r="J521" s="8">
        <v>1</v>
      </c>
      <c r="K521" s="8">
        <v>0</v>
      </c>
      <c r="L521" s="2" t="s">
        <v>2</v>
      </c>
      <c r="M521" s="2" t="s">
        <v>18</v>
      </c>
    </row>
    <row r="522" spans="1:13" x14ac:dyDescent="0.2">
      <c r="A522" s="6">
        <v>8840</v>
      </c>
      <c r="B522" s="7">
        <v>43735</v>
      </c>
      <c r="C522" s="4" t="s">
        <v>34</v>
      </c>
      <c r="D522" s="11">
        <v>940018</v>
      </c>
      <c r="E522" s="2" t="s">
        <v>4</v>
      </c>
      <c r="F522" s="2" t="s">
        <v>7</v>
      </c>
      <c r="G522" s="14">
        <v>0</v>
      </c>
      <c r="H522" s="2">
        <v>0</v>
      </c>
      <c r="I522" s="8">
        <v>-1</v>
      </c>
      <c r="J522" s="8">
        <v>0</v>
      </c>
      <c r="K522" s="8">
        <v>0</v>
      </c>
      <c r="L522" s="2" t="s">
        <v>2</v>
      </c>
      <c r="M522" s="2" t="s">
        <v>19</v>
      </c>
    </row>
    <row r="523" spans="1:13" x14ac:dyDescent="0.2">
      <c r="A523" s="3" t="str">
        <f>"1775"</f>
        <v>1775</v>
      </c>
      <c r="B523" s="4">
        <v>43774</v>
      </c>
      <c r="C523" s="4" t="s">
        <v>34</v>
      </c>
      <c r="D523" s="11">
        <v>940018</v>
      </c>
      <c r="E523" s="1" t="str">
        <f t="shared" ref="E523:E529" si="103">"卖出"</f>
        <v>卖出</v>
      </c>
      <c r="F523" s="1" t="str">
        <f>"基金资金拨出"</f>
        <v>基金资金拨出</v>
      </c>
      <c r="G523" s="13">
        <v>0</v>
      </c>
      <c r="H523" s="1">
        <v>0</v>
      </c>
      <c r="I523" s="5">
        <v>-3662.71</v>
      </c>
      <c r="J523" s="5">
        <v>-3662.71</v>
      </c>
      <c r="K523" s="5">
        <v>0</v>
      </c>
      <c r="L523" s="1" t="str">
        <f>" "</f>
        <v xml:space="preserve"> </v>
      </c>
      <c r="M523" s="1" t="str">
        <f>"122扣除金额 基金代码：940018,发生份额：3662.71"</f>
        <v>122扣除金额 基金代码：940018,发生份额：3662.71</v>
      </c>
    </row>
    <row r="524" spans="1:13" x14ac:dyDescent="0.2">
      <c r="A524" s="3" t="str">
        <f>"7033"</f>
        <v>7033</v>
      </c>
      <c r="B524" s="4">
        <v>43774</v>
      </c>
      <c r="C524" s="1" t="str">
        <f>"中 小 板"</f>
        <v>中 小 板</v>
      </c>
      <c r="D524" s="11" t="str">
        <f>"159902"</f>
        <v>159902</v>
      </c>
      <c r="E524" s="1" t="str">
        <f t="shared" si="103"/>
        <v>卖出</v>
      </c>
      <c r="F524" s="1" t="str">
        <f>"证券卖出"</f>
        <v>证券卖出</v>
      </c>
      <c r="G524" s="13">
        <v>3.1080000000000001</v>
      </c>
      <c r="H524" s="1">
        <v>-1200</v>
      </c>
      <c r="I524" s="5">
        <v>3728.85</v>
      </c>
      <c r="J524" s="5">
        <v>66.14</v>
      </c>
      <c r="K524" s="5">
        <v>0.75</v>
      </c>
      <c r="L524" s="1" t="str">
        <f>"0184500716"</f>
        <v>0184500716</v>
      </c>
      <c r="M524" s="1" t="str">
        <f>"证券卖出"</f>
        <v>证券卖出</v>
      </c>
    </row>
    <row r="525" spans="1:13" x14ac:dyDescent="0.2">
      <c r="A525" s="3" t="str">
        <f>"254"</f>
        <v>254</v>
      </c>
      <c r="B525" s="4">
        <v>43775</v>
      </c>
      <c r="C525" s="1" t="str">
        <f t="shared" ref="C525:L529" si="104">" "</f>
        <v xml:space="preserve"> </v>
      </c>
      <c r="D525" s="11"/>
      <c r="E525" s="1" t="str">
        <f t="shared" si="103"/>
        <v>卖出</v>
      </c>
      <c r="F525" s="1" t="str">
        <f>"银行转取"</f>
        <v>银行转取</v>
      </c>
      <c r="G525" s="13">
        <v>0</v>
      </c>
      <c r="H525" s="1">
        <v>0</v>
      </c>
      <c r="I525" s="5">
        <v>-66.14</v>
      </c>
      <c r="J525" s="5">
        <v>0</v>
      </c>
      <c r="K525" s="5">
        <v>0</v>
      </c>
      <c r="L525" s="1" t="str">
        <f t="shared" si="104"/>
        <v xml:space="preserve"> </v>
      </c>
      <c r="M525" s="1" t="str">
        <f>"银行返回码[ ]返回信息[0000 交易成功]|转账成功 转账账号:6225881012906292 correct_balance=66.14"</f>
        <v>银行返回码[ ]返回信息[0000 交易成功]|转账成功 转账账号:6225881012906292 correct_balance=66.14</v>
      </c>
    </row>
    <row r="526" spans="1:13" x14ac:dyDescent="0.2">
      <c r="A526" s="3" t="str">
        <f>"368"</f>
        <v>368</v>
      </c>
      <c r="B526" s="4">
        <v>43775</v>
      </c>
      <c r="C526" s="4" t="s">
        <v>34</v>
      </c>
      <c r="D526" s="11">
        <v>940018</v>
      </c>
      <c r="E526" s="1" t="str">
        <f t="shared" si="103"/>
        <v>卖出</v>
      </c>
      <c r="F526" s="1" t="str">
        <f>"资管转让资金上账"</f>
        <v>资管转让资金上账</v>
      </c>
      <c r="G526" s="13">
        <v>0</v>
      </c>
      <c r="H526" s="1">
        <v>0</v>
      </c>
      <c r="I526" s="5">
        <v>3727</v>
      </c>
      <c r="J526" s="5">
        <v>3727</v>
      </c>
      <c r="K526" s="5">
        <v>0</v>
      </c>
      <c r="L526" s="1" t="str">
        <f t="shared" si="104"/>
        <v xml:space="preserve"> </v>
      </c>
      <c r="M526" s="1" t="str">
        <f>"快速取现退出资金拨入,产品代码940018,对方资产账户40000545correct_balance=0"</f>
        <v>快速取现退出资金拨入,产品代码940018,对方资产账户40000545correct_balance=0</v>
      </c>
    </row>
    <row r="527" spans="1:13" x14ac:dyDescent="0.2">
      <c r="A527" s="3" t="str">
        <f>"1004"</f>
        <v>1004</v>
      </c>
      <c r="B527" s="4">
        <v>43775</v>
      </c>
      <c r="C527" s="1" t="str">
        <f t="shared" si="104"/>
        <v xml:space="preserve"> </v>
      </c>
      <c r="D527" s="11"/>
      <c r="E527" s="1" t="str">
        <f t="shared" si="103"/>
        <v>卖出</v>
      </c>
      <c r="F527" s="1" t="str">
        <f>"银行转取"</f>
        <v>银行转取</v>
      </c>
      <c r="G527" s="13">
        <v>0</v>
      </c>
      <c r="H527" s="1">
        <v>0</v>
      </c>
      <c r="I527" s="5">
        <v>-3727</v>
      </c>
      <c r="J527" s="5">
        <v>0</v>
      </c>
      <c r="K527" s="5">
        <v>0</v>
      </c>
      <c r="L527" s="1" t="str">
        <f t="shared" si="104"/>
        <v xml:space="preserve"> </v>
      </c>
      <c r="M527" s="1" t="str">
        <f>"银行返回码[ ]返回信息[0000 交易成功]|转账成功 转账账号:6225881012906292 correct_balance=3727"</f>
        <v>银行返回码[ ]返回信息[0000 交易成功]|转账成功 转账账号:6225881012906292 correct_balance=3727</v>
      </c>
    </row>
    <row r="528" spans="1:13" x14ac:dyDescent="0.2">
      <c r="A528" s="3" t="str">
        <f>"455"</f>
        <v>455</v>
      </c>
      <c r="B528" s="4">
        <v>43780</v>
      </c>
      <c r="C528" s="1" t="str">
        <f t="shared" si="104"/>
        <v xml:space="preserve"> </v>
      </c>
      <c r="D528" s="11"/>
      <c r="E528" s="1" t="str">
        <f t="shared" si="103"/>
        <v>卖出</v>
      </c>
      <c r="F528" s="1" t="str">
        <f>"银行转存"</f>
        <v>银行转存</v>
      </c>
      <c r="G528" s="13">
        <v>0</v>
      </c>
      <c r="H528" s="1">
        <v>0</v>
      </c>
      <c r="I528" s="5">
        <v>3300</v>
      </c>
      <c r="J528" s="5">
        <v>3300</v>
      </c>
      <c r="K528" s="5">
        <v>0</v>
      </c>
      <c r="L528" s="1" t="str">
        <f t="shared" si="104"/>
        <v xml:space="preserve"> </v>
      </c>
      <c r="M528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29" spans="1:13" x14ac:dyDescent="0.2">
      <c r="A529" s="3" t="str">
        <f>"3822"</f>
        <v>3822</v>
      </c>
      <c r="B529" s="4">
        <v>43780</v>
      </c>
      <c r="C529" s="4" t="s">
        <v>34</v>
      </c>
      <c r="D529" s="11">
        <v>940018</v>
      </c>
      <c r="E529" s="1" t="str">
        <f t="shared" si="103"/>
        <v>卖出</v>
      </c>
      <c r="F529" s="1" t="str">
        <f>"基金资金拨出"</f>
        <v>基金资金拨出</v>
      </c>
      <c r="G529" s="13">
        <v>0</v>
      </c>
      <c r="H529" s="1">
        <v>0</v>
      </c>
      <c r="I529" s="5">
        <v>-129.77000000000001</v>
      </c>
      <c r="J529" s="5">
        <v>3170.23</v>
      </c>
      <c r="K529" s="5">
        <v>0</v>
      </c>
      <c r="L529" s="1" t="str">
        <f t="shared" si="104"/>
        <v xml:space="preserve"> </v>
      </c>
      <c r="M529" s="1" t="str">
        <f>"122扣除金额 基金代码：940018,发生份额：129.77"</f>
        <v>122扣除金额 基金代码：940018,发生份额：129.77</v>
      </c>
    </row>
    <row r="530" spans="1:13" x14ac:dyDescent="0.2">
      <c r="A530" s="3" t="str">
        <f>"4256"</f>
        <v>4256</v>
      </c>
      <c r="B530" s="4">
        <v>43780</v>
      </c>
      <c r="C530" s="1" t="str">
        <f>"500ETF"</f>
        <v>500ETF</v>
      </c>
      <c r="D530" s="11" t="str">
        <f>"510500"</f>
        <v>510500</v>
      </c>
      <c r="E530" s="1" t="str">
        <f>"买入"</f>
        <v>买入</v>
      </c>
      <c r="F530" s="1" t="str">
        <f>"证券买入"</f>
        <v>证券买入</v>
      </c>
      <c r="G530" s="13">
        <v>5.2809999999999997</v>
      </c>
      <c r="H530" s="1">
        <v>600</v>
      </c>
      <c r="I530" s="5">
        <v>-3169.23</v>
      </c>
      <c r="J530" s="5">
        <v>1</v>
      </c>
      <c r="K530" s="5">
        <v>0.63</v>
      </c>
      <c r="L530" s="1" t="str">
        <f>"A280737240"</f>
        <v>A280737240</v>
      </c>
      <c r="M530" s="1" t="str">
        <f>"证券买入"</f>
        <v>证券买入</v>
      </c>
    </row>
    <row r="531" spans="1:13" x14ac:dyDescent="0.2">
      <c r="A531" s="3" t="str">
        <f>"2028"</f>
        <v>2028</v>
      </c>
      <c r="B531" s="4">
        <v>43781</v>
      </c>
      <c r="C531" s="4" t="s">
        <v>34</v>
      </c>
      <c r="D531" s="11">
        <v>940018</v>
      </c>
      <c r="E531" s="1" t="str">
        <f t="shared" ref="E531:E538" si="105">"卖出"</f>
        <v>卖出</v>
      </c>
      <c r="F531" s="1" t="str">
        <f>"基金资金拨出"</f>
        <v>基金资金拨出</v>
      </c>
      <c r="G531" s="13">
        <v>0</v>
      </c>
      <c r="H531" s="1">
        <v>0</v>
      </c>
      <c r="I531" s="5">
        <v>-1</v>
      </c>
      <c r="J531" s="5">
        <v>0</v>
      </c>
      <c r="K531" s="5">
        <v>0</v>
      </c>
      <c r="L531" s="1" t="str">
        <f t="shared" ref="C531:L538" si="106">" "</f>
        <v xml:space="preserve"> </v>
      </c>
      <c r="M531" s="1" t="str">
        <f>"122扣除金额 基金代码：940018,发生份额：1"</f>
        <v>122扣除金额 基金代码：940018,发生份额：1</v>
      </c>
    </row>
    <row r="532" spans="1:13" x14ac:dyDescent="0.2">
      <c r="A532" s="3" t="str">
        <f>"388"</f>
        <v>388</v>
      </c>
      <c r="B532" s="4">
        <v>43789</v>
      </c>
      <c r="C532" s="1" t="str">
        <f t="shared" si="106"/>
        <v xml:space="preserve"> </v>
      </c>
      <c r="D532" s="11"/>
      <c r="E532" s="1" t="str">
        <f t="shared" si="105"/>
        <v>卖出</v>
      </c>
      <c r="F532" s="1" t="str">
        <f>"银行转存"</f>
        <v>银行转存</v>
      </c>
      <c r="G532" s="13">
        <v>0</v>
      </c>
      <c r="H532" s="1">
        <v>0</v>
      </c>
      <c r="I532" s="5">
        <v>32000</v>
      </c>
      <c r="J532" s="5">
        <v>32000</v>
      </c>
      <c r="K532" s="5">
        <v>0</v>
      </c>
      <c r="L532" s="1" t="str">
        <f t="shared" si="106"/>
        <v xml:space="preserve"> </v>
      </c>
      <c r="M532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33" spans="1:13" x14ac:dyDescent="0.2">
      <c r="A533" s="3" t="str">
        <f>"5749"</f>
        <v>5749</v>
      </c>
      <c r="B533" s="4">
        <v>43789</v>
      </c>
      <c r="C533" s="4" t="s">
        <v>34</v>
      </c>
      <c r="D533" s="11">
        <v>940018</v>
      </c>
      <c r="E533" s="1" t="str">
        <f t="shared" si="105"/>
        <v>卖出</v>
      </c>
      <c r="F533" s="1" t="str">
        <f>"基金资金拨出"</f>
        <v>基金资金拨出</v>
      </c>
      <c r="G533" s="13">
        <v>0</v>
      </c>
      <c r="H533" s="1">
        <v>0</v>
      </c>
      <c r="I533" s="5">
        <v>-32000</v>
      </c>
      <c r="J533" s="5">
        <v>0</v>
      </c>
      <c r="K533" s="5">
        <v>0</v>
      </c>
      <c r="L533" s="1" t="str">
        <f t="shared" si="106"/>
        <v xml:space="preserve"> </v>
      </c>
      <c r="M533" s="1" t="str">
        <f>"122扣除金额 基金代码：940018,发生份额：32000"</f>
        <v>122扣除金额 基金代码：940018,发生份额：32000</v>
      </c>
    </row>
    <row r="534" spans="1:13" x14ac:dyDescent="0.2">
      <c r="A534" s="3" t="str">
        <f>"421"</f>
        <v>421</v>
      </c>
      <c r="B534" s="4">
        <v>43790</v>
      </c>
      <c r="C534" s="4" t="s">
        <v>34</v>
      </c>
      <c r="D534" s="11">
        <v>940018</v>
      </c>
      <c r="E534" s="1" t="str">
        <f t="shared" si="105"/>
        <v>卖出</v>
      </c>
      <c r="F534" s="1" t="str">
        <f>"资管转让资金上账"</f>
        <v>资管转让资金上账</v>
      </c>
      <c r="G534" s="13">
        <v>0</v>
      </c>
      <c r="H534" s="1">
        <v>0</v>
      </c>
      <c r="I534" s="5">
        <v>32131</v>
      </c>
      <c r="J534" s="5">
        <v>32131</v>
      </c>
      <c r="K534" s="5">
        <v>0</v>
      </c>
      <c r="L534" s="1" t="str">
        <f t="shared" si="106"/>
        <v xml:space="preserve"> </v>
      </c>
      <c r="M534" s="1" t="str">
        <f>"快速取现退出资金拨入,产品代码940018,对方资产账户40000545correct_balance=0"</f>
        <v>快速取现退出资金拨入,产品代码940018,对方资产账户40000545correct_balance=0</v>
      </c>
    </row>
    <row r="535" spans="1:13" x14ac:dyDescent="0.2">
      <c r="A535" s="3" t="str">
        <f>"425"</f>
        <v>425</v>
      </c>
      <c r="B535" s="4">
        <v>43790</v>
      </c>
      <c r="C535" s="1" t="str">
        <f t="shared" si="106"/>
        <v xml:space="preserve"> </v>
      </c>
      <c r="D535" s="11"/>
      <c r="E535" s="1" t="str">
        <f t="shared" si="105"/>
        <v>卖出</v>
      </c>
      <c r="F535" s="1" t="str">
        <f>"银行转取"</f>
        <v>银行转取</v>
      </c>
      <c r="G535" s="13">
        <v>0</v>
      </c>
      <c r="H535" s="1">
        <v>0</v>
      </c>
      <c r="I535" s="5">
        <v>-32131</v>
      </c>
      <c r="J535" s="5">
        <v>0</v>
      </c>
      <c r="K535" s="5">
        <v>0</v>
      </c>
      <c r="L535" s="1" t="str">
        <f t="shared" si="106"/>
        <v xml:space="preserve"> </v>
      </c>
      <c r="M535" s="1" t="str">
        <f>"银行返回码[ ]返回信息[0000 交易成功]|转账成功 转账账号:6225881012906292 correct_balance=32131"</f>
        <v>银行返回码[ ]返回信息[0000 交易成功]|转账成功 转账账号:6225881012906292 correct_balance=32131</v>
      </c>
    </row>
    <row r="536" spans="1:13" x14ac:dyDescent="0.2">
      <c r="A536" s="3" t="str">
        <f>"720"</f>
        <v>720</v>
      </c>
      <c r="B536" s="4">
        <v>43794</v>
      </c>
      <c r="C536" s="1" t="str">
        <f t="shared" si="106"/>
        <v xml:space="preserve"> </v>
      </c>
      <c r="D536" s="11"/>
      <c r="E536" s="1" t="str">
        <f t="shared" si="105"/>
        <v>卖出</v>
      </c>
      <c r="F536" s="1" t="str">
        <f>"银行转存"</f>
        <v>银行转存</v>
      </c>
      <c r="G536" s="13">
        <v>0</v>
      </c>
      <c r="H536" s="1">
        <v>0</v>
      </c>
      <c r="I536" s="5">
        <v>3600</v>
      </c>
      <c r="J536" s="5">
        <v>3600</v>
      </c>
      <c r="K536" s="5">
        <v>0</v>
      </c>
      <c r="L536" s="1" t="str">
        <f t="shared" si="106"/>
        <v xml:space="preserve"> </v>
      </c>
      <c r="M536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37" spans="1:13" x14ac:dyDescent="0.2">
      <c r="A537" s="3" t="str">
        <f>"2105"</f>
        <v>2105</v>
      </c>
      <c r="B537" s="4">
        <v>43794</v>
      </c>
      <c r="C537" s="4" t="s">
        <v>34</v>
      </c>
      <c r="D537" s="11">
        <v>940018</v>
      </c>
      <c r="E537" s="1" t="str">
        <f t="shared" si="105"/>
        <v>卖出</v>
      </c>
      <c r="F537" s="1" t="str">
        <f>"基金资金拨出"</f>
        <v>基金资金拨出</v>
      </c>
      <c r="G537" s="13">
        <v>0</v>
      </c>
      <c r="H537" s="1">
        <v>0</v>
      </c>
      <c r="I537" s="5">
        <v>-30.49</v>
      </c>
      <c r="J537" s="5">
        <v>3569.51</v>
      </c>
      <c r="K537" s="5">
        <v>0</v>
      </c>
      <c r="L537" s="1" t="str">
        <f t="shared" si="106"/>
        <v xml:space="preserve"> </v>
      </c>
      <c r="M537" s="1" t="str">
        <f>"122扣除金额 基金代码：940018,发生份额：30.49"</f>
        <v>122扣除金额 基金代码：940018,发生份额：30.49</v>
      </c>
    </row>
    <row r="538" spans="1:13" x14ac:dyDescent="0.2">
      <c r="A538" s="3" t="str">
        <f>"699"</f>
        <v>699</v>
      </c>
      <c r="B538" s="4">
        <v>43797</v>
      </c>
      <c r="C538" s="1" t="str">
        <f t="shared" si="106"/>
        <v xml:space="preserve"> </v>
      </c>
      <c r="D538" s="11"/>
      <c r="E538" s="1" t="str">
        <f t="shared" si="105"/>
        <v>卖出</v>
      </c>
      <c r="F538" s="1" t="str">
        <f>"银行转取"</f>
        <v>银行转取</v>
      </c>
      <c r="G538" s="13">
        <v>0</v>
      </c>
      <c r="H538" s="1">
        <v>0</v>
      </c>
      <c r="I538" s="5">
        <v>-3569.51</v>
      </c>
      <c r="J538" s="5">
        <v>0</v>
      </c>
      <c r="K538" s="5">
        <v>0</v>
      </c>
      <c r="L538" s="1" t="str">
        <f t="shared" si="106"/>
        <v xml:space="preserve"> </v>
      </c>
      <c r="M538" s="1" t="str">
        <f>"银行返回码[ ]返回信息[0000 交易成功]|转账成功 转账账号:6225881012906292 correct_balance=3569.51"</f>
        <v>银行返回码[ ]返回信息[0000 交易成功]|转账成功 转账账号:6225881012906292 correct_balance=3569.51</v>
      </c>
    </row>
  </sheetData>
  <autoFilter ref="A1:M538" xr:uid="{D615065F-1E63-4838-9B08-B8815FEA0DD5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8F411-A598-409E-ABF1-775ACEA88B2C}">
  <dimension ref="A1:M689"/>
  <sheetViews>
    <sheetView tabSelected="1" workbookViewId="0">
      <pane ySplit="1" topLeftCell="A629" activePane="bottomLeft" state="frozen"/>
      <selection pane="bottomLeft" activeCell="A686" sqref="A686"/>
    </sheetView>
  </sheetViews>
  <sheetFormatPr defaultRowHeight="14.25" x14ac:dyDescent="0.2"/>
  <cols>
    <col min="1" max="1" width="6.375" bestFit="1" customWidth="1"/>
    <col min="2" max="2" width="11.125" bestFit="1" customWidth="1"/>
    <col min="3" max="3" width="8.875" bestFit="1" customWidth="1"/>
    <col min="4" max="5" width="8" bestFit="1" customWidth="1"/>
    <col min="6" max="6" width="15" bestFit="1" customWidth="1"/>
    <col min="7" max="8" width="8" bestFit="1" customWidth="1"/>
    <col min="9" max="10" width="9.5" bestFit="1" customWidth="1"/>
    <col min="11" max="11" width="6.375" bestFit="1" customWidth="1"/>
    <col min="12" max="12" width="10.5" bestFit="1" customWidth="1"/>
    <col min="13" max="13" width="85.375" bestFit="1" customWidth="1"/>
  </cols>
  <sheetData>
    <row r="1" spans="1:13" x14ac:dyDescent="0.2">
      <c r="A1" s="9" t="s">
        <v>20</v>
      </c>
      <c r="B1" s="9" t="s">
        <v>21</v>
      </c>
      <c r="C1" s="9" t="s">
        <v>22</v>
      </c>
      <c r="D1" s="10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x14ac:dyDescent="0.2">
      <c r="A2" s="2">
        <v>-1</v>
      </c>
      <c r="B2" s="7">
        <v>42240</v>
      </c>
      <c r="C2" s="12" t="s">
        <v>35</v>
      </c>
      <c r="D2" s="12" t="s">
        <v>36</v>
      </c>
      <c r="E2" s="12" t="s">
        <v>37</v>
      </c>
      <c r="F2" s="12" t="s">
        <v>37</v>
      </c>
      <c r="G2" s="14">
        <v>2.411</v>
      </c>
      <c r="H2" s="15">
        <v>4000</v>
      </c>
      <c r="I2" s="8">
        <v>-9644</v>
      </c>
      <c r="J2" s="8">
        <v>0</v>
      </c>
      <c r="K2" s="8">
        <v>2.0299999999999998</v>
      </c>
    </row>
    <row r="3" spans="1:13" x14ac:dyDescent="0.2">
      <c r="A3" s="2">
        <v>-1</v>
      </c>
      <c r="B3" s="7">
        <v>42247</v>
      </c>
      <c r="C3" s="12" t="s">
        <v>38</v>
      </c>
      <c r="D3" s="12" t="s">
        <v>39</v>
      </c>
      <c r="E3" s="12" t="s">
        <v>37</v>
      </c>
      <c r="F3" s="12" t="s">
        <v>37</v>
      </c>
      <c r="G3" s="14">
        <v>6.8250000000000002</v>
      </c>
      <c r="H3" s="15">
        <v>2000</v>
      </c>
      <c r="I3" s="8">
        <v>-13650</v>
      </c>
      <c r="J3" s="8">
        <v>0</v>
      </c>
      <c r="K3" s="8">
        <v>2.87</v>
      </c>
    </row>
    <row r="4" spans="1:13" x14ac:dyDescent="0.2">
      <c r="A4" s="2">
        <v>-1</v>
      </c>
      <c r="B4" s="7">
        <v>42248</v>
      </c>
      <c r="C4" s="12" t="s">
        <v>38</v>
      </c>
      <c r="D4" s="12" t="s">
        <v>39</v>
      </c>
      <c r="E4" s="12" t="s">
        <v>40</v>
      </c>
      <c r="F4" s="12" t="s">
        <v>40</v>
      </c>
      <c r="G4" s="14">
        <v>6.3949999999999996</v>
      </c>
      <c r="H4" s="15">
        <v>-2000</v>
      </c>
      <c r="I4" s="8">
        <v>12790</v>
      </c>
      <c r="J4" s="8">
        <v>0</v>
      </c>
      <c r="K4" s="8">
        <v>2.87</v>
      </c>
    </row>
    <row r="5" spans="1:13" x14ac:dyDescent="0.2">
      <c r="A5" s="2">
        <v>-1</v>
      </c>
      <c r="B5" s="7">
        <v>42255</v>
      </c>
      <c r="C5" s="12" t="s">
        <v>35</v>
      </c>
      <c r="D5" s="12" t="s">
        <v>36</v>
      </c>
      <c r="E5" s="12" t="s">
        <v>40</v>
      </c>
      <c r="F5" s="12" t="s">
        <v>40</v>
      </c>
      <c r="G5" s="14">
        <v>2.3090000000000002</v>
      </c>
      <c r="H5" s="15">
        <v>-4000</v>
      </c>
      <c r="I5" s="8">
        <v>9236</v>
      </c>
      <c r="J5" s="8">
        <v>0</v>
      </c>
      <c r="K5" s="8">
        <v>2.02</v>
      </c>
    </row>
    <row r="6" spans="1:13" x14ac:dyDescent="0.2">
      <c r="A6" s="2">
        <v>-1</v>
      </c>
      <c r="B6" s="7">
        <v>42270</v>
      </c>
      <c r="C6" s="12" t="s">
        <v>41</v>
      </c>
      <c r="D6" s="12" t="s">
        <v>42</v>
      </c>
      <c r="E6" s="12" t="s">
        <v>37</v>
      </c>
      <c r="F6" s="12" t="s">
        <v>37</v>
      </c>
      <c r="G6" s="14">
        <v>16.57</v>
      </c>
      <c r="H6" s="15">
        <v>1200</v>
      </c>
      <c r="I6" s="8">
        <v>-19884</v>
      </c>
      <c r="J6" s="8">
        <v>0</v>
      </c>
      <c r="K6" s="8">
        <v>5</v>
      </c>
    </row>
    <row r="7" spans="1:13" x14ac:dyDescent="0.2">
      <c r="A7" s="2">
        <v>-1</v>
      </c>
      <c r="B7" s="7">
        <v>42271</v>
      </c>
      <c r="C7" s="12" t="s">
        <v>41</v>
      </c>
      <c r="D7" s="12" t="s">
        <v>42</v>
      </c>
      <c r="E7" s="12" t="s">
        <v>40</v>
      </c>
      <c r="F7" s="12" t="s">
        <v>40</v>
      </c>
      <c r="G7" s="14">
        <v>18.059999999999999</v>
      </c>
      <c r="H7" s="15">
        <v>-1200</v>
      </c>
      <c r="I7" s="8">
        <v>21672</v>
      </c>
      <c r="J7" s="8">
        <v>0</v>
      </c>
      <c r="K7" s="8">
        <v>31.02</v>
      </c>
    </row>
    <row r="8" spans="1:13" x14ac:dyDescent="0.2">
      <c r="A8" s="2">
        <v>-1</v>
      </c>
      <c r="B8" s="7">
        <v>42285</v>
      </c>
      <c r="C8" s="12" t="s">
        <v>38</v>
      </c>
      <c r="D8" s="12" t="s">
        <v>39</v>
      </c>
      <c r="E8" s="12" t="s">
        <v>37</v>
      </c>
      <c r="F8" s="12" t="s">
        <v>37</v>
      </c>
      <c r="G8" s="14">
        <v>6.49</v>
      </c>
      <c r="H8" s="15">
        <v>6000</v>
      </c>
      <c r="I8" s="8">
        <v>-38940</v>
      </c>
      <c r="J8" s="8">
        <v>0</v>
      </c>
      <c r="K8" s="8">
        <v>8.18</v>
      </c>
    </row>
    <row r="9" spans="1:13" x14ac:dyDescent="0.2">
      <c r="A9" s="2">
        <v>-1</v>
      </c>
      <c r="B9" s="7">
        <v>42296</v>
      </c>
      <c r="C9" s="12" t="s">
        <v>38</v>
      </c>
      <c r="D9" s="12" t="s">
        <v>39</v>
      </c>
      <c r="E9" s="12" t="s">
        <v>37</v>
      </c>
      <c r="F9" s="12" t="s">
        <v>37</v>
      </c>
      <c r="G9" s="14">
        <v>7.1710000000000003</v>
      </c>
      <c r="H9" s="15">
        <v>3200</v>
      </c>
      <c r="I9" s="8">
        <v>-22947.200000000001</v>
      </c>
      <c r="J9" s="8">
        <v>0</v>
      </c>
      <c r="K9" s="8">
        <v>4.82</v>
      </c>
    </row>
    <row r="10" spans="1:13" x14ac:dyDescent="0.2">
      <c r="A10" s="2">
        <v>-1</v>
      </c>
      <c r="B10" s="7">
        <v>42298</v>
      </c>
      <c r="C10" s="12" t="s">
        <v>43</v>
      </c>
      <c r="D10" s="12" t="s">
        <v>44</v>
      </c>
      <c r="E10" s="12" t="s">
        <v>37</v>
      </c>
      <c r="F10" s="12" t="s">
        <v>37</v>
      </c>
      <c r="G10" s="14">
        <v>18.05</v>
      </c>
      <c r="H10" s="15">
        <v>300</v>
      </c>
      <c r="I10" s="8">
        <v>-5415</v>
      </c>
      <c r="J10" s="8">
        <v>0</v>
      </c>
      <c r="K10" s="8">
        <v>5.1100000000000003</v>
      </c>
    </row>
    <row r="11" spans="1:13" x14ac:dyDescent="0.2">
      <c r="A11" s="2">
        <v>-1</v>
      </c>
      <c r="B11" s="7">
        <v>42298</v>
      </c>
      <c r="C11" s="12" t="s">
        <v>38</v>
      </c>
      <c r="D11" s="12" t="s">
        <v>39</v>
      </c>
      <c r="E11" s="12" t="s">
        <v>37</v>
      </c>
      <c r="F11" s="12" t="s">
        <v>37</v>
      </c>
      <c r="G11" s="14">
        <v>7</v>
      </c>
      <c r="H11" s="15">
        <v>700</v>
      </c>
      <c r="I11" s="8">
        <v>-4900</v>
      </c>
      <c r="J11" s="8">
        <v>0</v>
      </c>
      <c r="K11" s="8">
        <v>1.03</v>
      </c>
    </row>
    <row r="12" spans="1:13" x14ac:dyDescent="0.2">
      <c r="A12" s="2">
        <v>-1</v>
      </c>
      <c r="B12" s="7">
        <v>42299</v>
      </c>
      <c r="C12" s="12" t="s">
        <v>38</v>
      </c>
      <c r="D12" s="12" t="s">
        <v>39</v>
      </c>
      <c r="E12" s="12" t="s">
        <v>40</v>
      </c>
      <c r="F12" s="12" t="s">
        <v>40</v>
      </c>
      <c r="G12" s="14">
        <v>7.12</v>
      </c>
      <c r="H12" s="15">
        <v>-5000</v>
      </c>
      <c r="I12" s="8">
        <v>35600</v>
      </c>
      <c r="J12" s="8">
        <v>0</v>
      </c>
      <c r="K12" s="8">
        <v>7.47</v>
      </c>
    </row>
    <row r="13" spans="1:13" x14ac:dyDescent="0.2">
      <c r="A13" s="2">
        <v>-1</v>
      </c>
      <c r="B13" s="7">
        <v>42304</v>
      </c>
      <c r="C13" s="12" t="s">
        <v>43</v>
      </c>
      <c r="D13" s="12" t="s">
        <v>44</v>
      </c>
      <c r="E13" s="12" t="s">
        <v>40</v>
      </c>
      <c r="F13" s="12" t="s">
        <v>40</v>
      </c>
      <c r="G13" s="14">
        <v>19.600000000000001</v>
      </c>
      <c r="H13" s="15">
        <v>-300</v>
      </c>
      <c r="I13" s="8">
        <v>5880</v>
      </c>
      <c r="J13" s="8">
        <v>0</v>
      </c>
      <c r="K13" s="8">
        <v>11</v>
      </c>
    </row>
    <row r="14" spans="1:13" x14ac:dyDescent="0.2">
      <c r="A14" s="2">
        <v>-1</v>
      </c>
      <c r="B14" s="7">
        <v>42305</v>
      </c>
      <c r="C14" s="12" t="s">
        <v>38</v>
      </c>
      <c r="D14" s="12" t="s">
        <v>39</v>
      </c>
      <c r="E14" s="12" t="s">
        <v>37</v>
      </c>
      <c r="F14" s="12" t="s">
        <v>37</v>
      </c>
      <c r="G14" s="14">
        <v>7.18</v>
      </c>
      <c r="H14" s="15">
        <v>4100</v>
      </c>
      <c r="I14" s="8">
        <v>-29438</v>
      </c>
      <c r="J14" s="8">
        <v>0</v>
      </c>
      <c r="K14" s="8">
        <v>4.92</v>
      </c>
    </row>
    <row r="15" spans="1:13" x14ac:dyDescent="0.2">
      <c r="A15" s="2">
        <v>-1</v>
      </c>
      <c r="B15" s="7">
        <v>42306</v>
      </c>
      <c r="C15" s="12" t="s">
        <v>38</v>
      </c>
      <c r="D15" s="12" t="s">
        <v>39</v>
      </c>
      <c r="E15" s="12" t="s">
        <v>40</v>
      </c>
      <c r="F15" s="12" t="s">
        <v>40</v>
      </c>
      <c r="G15" s="14">
        <v>7.2990000000000004</v>
      </c>
      <c r="H15" s="15">
        <v>-9000</v>
      </c>
      <c r="I15" s="8">
        <v>65691</v>
      </c>
      <c r="J15" s="8">
        <v>0</v>
      </c>
      <c r="K15" s="8">
        <v>13.8</v>
      </c>
    </row>
    <row r="16" spans="1:13" x14ac:dyDescent="0.2">
      <c r="A16" s="2">
        <v>-1</v>
      </c>
      <c r="B16" s="7">
        <v>42313</v>
      </c>
      <c r="C16" s="12" t="s">
        <v>45</v>
      </c>
      <c r="D16" s="12" t="s">
        <v>46</v>
      </c>
      <c r="E16" s="12" t="s">
        <v>37</v>
      </c>
      <c r="F16" s="12" t="s">
        <v>37</v>
      </c>
      <c r="G16" s="14">
        <v>11.5</v>
      </c>
      <c r="H16" s="15">
        <v>800</v>
      </c>
      <c r="I16" s="8">
        <v>-9200</v>
      </c>
      <c r="J16" s="8">
        <v>0</v>
      </c>
      <c r="K16" s="8">
        <v>5</v>
      </c>
    </row>
    <row r="17" spans="1:11" x14ac:dyDescent="0.2">
      <c r="A17" s="2">
        <v>-1</v>
      </c>
      <c r="B17" s="7">
        <v>42317</v>
      </c>
      <c r="C17" s="12" t="s">
        <v>45</v>
      </c>
      <c r="D17" s="12" t="s">
        <v>46</v>
      </c>
      <c r="E17" s="12" t="s">
        <v>40</v>
      </c>
      <c r="F17" s="12" t="s">
        <v>40</v>
      </c>
      <c r="G17" s="14">
        <v>11.91</v>
      </c>
      <c r="H17" s="15">
        <v>-800</v>
      </c>
      <c r="I17" s="8">
        <v>9528</v>
      </c>
      <c r="J17" s="8">
        <v>0</v>
      </c>
      <c r="K17" s="8">
        <v>14.53</v>
      </c>
    </row>
    <row r="18" spans="1:11" x14ac:dyDescent="0.2">
      <c r="A18" s="2">
        <v>-1</v>
      </c>
      <c r="B18" s="7">
        <v>42318</v>
      </c>
      <c r="C18" s="12" t="s">
        <v>38</v>
      </c>
      <c r="D18" s="12" t="s">
        <v>39</v>
      </c>
      <c r="E18" s="12" t="s">
        <v>37</v>
      </c>
      <c r="F18" s="12" t="s">
        <v>37</v>
      </c>
      <c r="G18" s="14">
        <v>7.819</v>
      </c>
      <c r="H18" s="15">
        <v>1300</v>
      </c>
      <c r="I18" s="8">
        <v>-10164.700000000001</v>
      </c>
      <c r="J18" s="8">
        <v>0</v>
      </c>
      <c r="K18" s="8">
        <v>2.13</v>
      </c>
    </row>
    <row r="19" spans="1:11" x14ac:dyDescent="0.2">
      <c r="A19" s="2">
        <v>-1</v>
      </c>
      <c r="B19" s="7">
        <v>42318</v>
      </c>
      <c r="C19" s="12" t="s">
        <v>41</v>
      </c>
      <c r="D19" s="12" t="s">
        <v>42</v>
      </c>
      <c r="E19" s="12" t="s">
        <v>37</v>
      </c>
      <c r="F19" s="12" t="s">
        <v>37</v>
      </c>
      <c r="G19" s="14">
        <v>19.54</v>
      </c>
      <c r="H19" s="15">
        <v>7600</v>
      </c>
      <c r="I19" s="8">
        <v>-148504</v>
      </c>
      <c r="J19" s="8">
        <v>0</v>
      </c>
      <c r="K19" s="8">
        <v>31.2</v>
      </c>
    </row>
    <row r="20" spans="1:11" x14ac:dyDescent="0.2">
      <c r="A20" s="2">
        <v>-1</v>
      </c>
      <c r="B20" s="7">
        <v>42319</v>
      </c>
      <c r="C20" s="12" t="s">
        <v>41</v>
      </c>
      <c r="D20" s="12" t="s">
        <v>42</v>
      </c>
      <c r="E20" s="12" t="s">
        <v>40</v>
      </c>
      <c r="F20" s="12" t="s">
        <v>40</v>
      </c>
      <c r="G20" s="14">
        <v>20.329999999999998</v>
      </c>
      <c r="H20" s="15">
        <v>-7600</v>
      </c>
      <c r="I20" s="8">
        <v>154508</v>
      </c>
      <c r="J20" s="8">
        <v>0</v>
      </c>
      <c r="K20" s="8">
        <v>186.96</v>
      </c>
    </row>
    <row r="21" spans="1:11" x14ac:dyDescent="0.2">
      <c r="A21" s="2">
        <v>-1</v>
      </c>
      <c r="B21" s="7">
        <v>42319</v>
      </c>
      <c r="C21" s="12" t="s">
        <v>38</v>
      </c>
      <c r="D21" s="12" t="s">
        <v>39</v>
      </c>
      <c r="E21" s="12" t="s">
        <v>40</v>
      </c>
      <c r="F21" s="12" t="s">
        <v>40</v>
      </c>
      <c r="G21" s="14">
        <v>7.7619999999999996</v>
      </c>
      <c r="H21" s="15">
        <v>-1300</v>
      </c>
      <c r="I21" s="8">
        <v>10090.599999999999</v>
      </c>
      <c r="J21" s="8">
        <v>0</v>
      </c>
      <c r="K21" s="8">
        <v>2.12</v>
      </c>
    </row>
    <row r="22" spans="1:11" x14ac:dyDescent="0.2">
      <c r="A22" s="2">
        <v>-1</v>
      </c>
      <c r="B22" s="7">
        <v>42319</v>
      </c>
      <c r="C22" s="12" t="s">
        <v>47</v>
      </c>
      <c r="D22" s="12" t="s">
        <v>48</v>
      </c>
      <c r="E22" s="12" t="s">
        <v>37</v>
      </c>
      <c r="F22" s="12" t="s">
        <v>37</v>
      </c>
      <c r="G22" s="14">
        <v>18.100000000000001</v>
      </c>
      <c r="H22" s="15">
        <v>2200</v>
      </c>
      <c r="I22" s="8">
        <v>-39820</v>
      </c>
      <c r="J22" s="8">
        <v>0</v>
      </c>
      <c r="K22" s="8">
        <v>9.16</v>
      </c>
    </row>
    <row r="23" spans="1:11" x14ac:dyDescent="0.2">
      <c r="A23" s="2">
        <v>-1</v>
      </c>
      <c r="B23" s="7">
        <v>42319</v>
      </c>
      <c r="C23" s="12" t="s">
        <v>47</v>
      </c>
      <c r="D23" s="12" t="s">
        <v>48</v>
      </c>
      <c r="E23" s="12" t="s">
        <v>37</v>
      </c>
      <c r="F23" s="12" t="s">
        <v>37</v>
      </c>
      <c r="G23" s="14">
        <v>18.399999999999999</v>
      </c>
      <c r="H23" s="15">
        <v>9000</v>
      </c>
      <c r="I23" s="8">
        <v>-165600</v>
      </c>
      <c r="J23" s="8">
        <v>0</v>
      </c>
      <c r="K23" s="8">
        <v>38.090000000000003</v>
      </c>
    </row>
    <row r="24" spans="1:11" x14ac:dyDescent="0.2">
      <c r="A24" s="2">
        <v>-1</v>
      </c>
      <c r="B24" s="7">
        <v>42324</v>
      </c>
      <c r="C24" s="12" t="s">
        <v>47</v>
      </c>
      <c r="D24" s="12" t="s">
        <v>48</v>
      </c>
      <c r="E24" s="12" t="s">
        <v>37</v>
      </c>
      <c r="F24" s="12" t="s">
        <v>37</v>
      </c>
      <c r="G24" s="14">
        <v>17.5</v>
      </c>
      <c r="H24" s="15">
        <v>600</v>
      </c>
      <c r="I24" s="8">
        <v>-10500</v>
      </c>
      <c r="J24" s="8">
        <v>0</v>
      </c>
      <c r="K24" s="8">
        <v>5.21</v>
      </c>
    </row>
    <row r="25" spans="1:11" x14ac:dyDescent="0.2">
      <c r="A25" s="2">
        <v>-1</v>
      </c>
      <c r="B25" s="7">
        <v>42335</v>
      </c>
      <c r="C25" s="12" t="s">
        <v>38</v>
      </c>
      <c r="D25" s="12" t="s">
        <v>39</v>
      </c>
      <c r="E25" s="12" t="s">
        <v>37</v>
      </c>
      <c r="F25" s="12" t="s">
        <v>37</v>
      </c>
      <c r="G25" s="14">
        <v>7.8860000000000001</v>
      </c>
      <c r="H25" s="15">
        <v>1200</v>
      </c>
      <c r="I25" s="8">
        <v>-9463.2000000000007</v>
      </c>
      <c r="J25" s="8">
        <v>0</v>
      </c>
      <c r="K25" s="8">
        <v>1.99</v>
      </c>
    </row>
    <row r="26" spans="1:11" x14ac:dyDescent="0.2">
      <c r="A26" s="2">
        <v>-1</v>
      </c>
      <c r="B26" s="7">
        <v>42363</v>
      </c>
      <c r="C26" s="12" t="s">
        <v>49</v>
      </c>
      <c r="D26" s="12" t="s">
        <v>50</v>
      </c>
      <c r="E26" s="12" t="s">
        <v>37</v>
      </c>
      <c r="F26" s="12" t="s">
        <v>37</v>
      </c>
      <c r="G26" s="14">
        <v>19.22</v>
      </c>
      <c r="H26" s="15">
        <v>300</v>
      </c>
      <c r="I26" s="8">
        <v>-5766</v>
      </c>
      <c r="J26" s="8">
        <v>0</v>
      </c>
      <c r="K26" s="8">
        <v>5.12</v>
      </c>
    </row>
    <row r="27" spans="1:11" x14ac:dyDescent="0.2">
      <c r="A27" s="2">
        <v>-1</v>
      </c>
      <c r="B27" s="7">
        <v>42363</v>
      </c>
      <c r="C27" s="12" t="s">
        <v>51</v>
      </c>
      <c r="D27" s="12" t="s">
        <v>52</v>
      </c>
      <c r="E27" s="12" t="s">
        <v>37</v>
      </c>
      <c r="F27" s="12" t="s">
        <v>37</v>
      </c>
      <c r="G27" s="14">
        <v>10.25</v>
      </c>
      <c r="H27" s="15">
        <v>800</v>
      </c>
      <c r="I27" s="8">
        <v>-8200</v>
      </c>
      <c r="J27" s="8">
        <v>0</v>
      </c>
      <c r="K27" s="8">
        <v>5</v>
      </c>
    </row>
    <row r="28" spans="1:11" x14ac:dyDescent="0.2">
      <c r="A28" s="2">
        <v>-1</v>
      </c>
      <c r="B28" s="7">
        <v>42375</v>
      </c>
      <c r="C28" s="12" t="s">
        <v>38</v>
      </c>
      <c r="D28" s="12" t="s">
        <v>39</v>
      </c>
      <c r="E28" s="12" t="s">
        <v>37</v>
      </c>
      <c r="F28" s="12" t="s">
        <v>37</v>
      </c>
      <c r="G28" s="14">
        <v>7.117</v>
      </c>
      <c r="H28" s="15">
        <v>1200</v>
      </c>
      <c r="I28" s="8">
        <v>-8540.4</v>
      </c>
      <c r="J28" s="8">
        <v>0</v>
      </c>
      <c r="K28" s="8">
        <v>1.79</v>
      </c>
    </row>
    <row r="29" spans="1:11" x14ac:dyDescent="0.2">
      <c r="A29" s="2">
        <v>-1</v>
      </c>
      <c r="B29" s="7">
        <v>42376</v>
      </c>
      <c r="C29" s="12" t="s">
        <v>47</v>
      </c>
      <c r="D29" s="12" t="s">
        <v>48</v>
      </c>
      <c r="E29" s="12" t="s">
        <v>37</v>
      </c>
      <c r="F29" s="12" t="s">
        <v>37</v>
      </c>
      <c r="G29" s="14">
        <v>17.43</v>
      </c>
      <c r="H29" s="15">
        <v>1200</v>
      </c>
      <c r="I29" s="8">
        <v>-20916</v>
      </c>
      <c r="J29" s="8">
        <v>0</v>
      </c>
      <c r="K29" s="8">
        <v>5.42</v>
      </c>
    </row>
    <row r="30" spans="1:11" x14ac:dyDescent="0.2">
      <c r="A30" s="2">
        <v>-1</v>
      </c>
      <c r="B30" s="7">
        <v>42377</v>
      </c>
      <c r="C30" s="12" t="s">
        <v>51</v>
      </c>
      <c r="D30" s="12" t="s">
        <v>52</v>
      </c>
      <c r="E30" s="12" t="s">
        <v>40</v>
      </c>
      <c r="F30" s="12" t="s">
        <v>40</v>
      </c>
      <c r="G30" s="14">
        <v>8.4700000000000006</v>
      </c>
      <c r="H30" s="15">
        <v>-800</v>
      </c>
      <c r="I30" s="8">
        <v>6776.0000000000009</v>
      </c>
      <c r="J30" s="8">
        <v>0</v>
      </c>
      <c r="K30" s="8">
        <v>11.78</v>
      </c>
    </row>
    <row r="31" spans="1:11" x14ac:dyDescent="0.2">
      <c r="A31" s="2">
        <v>-1</v>
      </c>
      <c r="B31" s="7">
        <v>42377</v>
      </c>
      <c r="C31" s="12" t="s">
        <v>49</v>
      </c>
      <c r="D31" s="12" t="s">
        <v>50</v>
      </c>
      <c r="E31" s="12" t="s">
        <v>40</v>
      </c>
      <c r="F31" s="12" t="s">
        <v>40</v>
      </c>
      <c r="G31" s="14">
        <v>14.85</v>
      </c>
      <c r="H31" s="15">
        <v>-300</v>
      </c>
      <c r="I31" s="8">
        <v>4455</v>
      </c>
      <c r="J31" s="8">
        <v>0</v>
      </c>
      <c r="K31" s="8">
        <v>9.5500000000000007</v>
      </c>
    </row>
    <row r="32" spans="1:11" x14ac:dyDescent="0.2">
      <c r="A32" s="2">
        <v>-1</v>
      </c>
      <c r="B32" s="7">
        <v>42377</v>
      </c>
      <c r="C32" s="12" t="s">
        <v>47</v>
      </c>
      <c r="D32" s="12" t="s">
        <v>48</v>
      </c>
      <c r="E32" s="12" t="s">
        <v>40</v>
      </c>
      <c r="F32" s="12" t="s">
        <v>40</v>
      </c>
      <c r="G32" s="14">
        <v>17.32</v>
      </c>
      <c r="H32" s="15">
        <v>-3000</v>
      </c>
      <c r="I32" s="8">
        <v>51960</v>
      </c>
      <c r="J32" s="8">
        <v>0</v>
      </c>
      <c r="K32" s="8">
        <v>63.91</v>
      </c>
    </row>
    <row r="33" spans="1:11" x14ac:dyDescent="0.2">
      <c r="A33" s="2">
        <v>-1</v>
      </c>
      <c r="B33" s="7">
        <v>42377</v>
      </c>
      <c r="C33" s="12" t="s">
        <v>47</v>
      </c>
      <c r="D33" s="12" t="s">
        <v>48</v>
      </c>
      <c r="E33" s="12" t="s">
        <v>40</v>
      </c>
      <c r="F33" s="12" t="s">
        <v>40</v>
      </c>
      <c r="G33" s="14">
        <v>17.45</v>
      </c>
      <c r="H33" s="15">
        <v>-10000</v>
      </c>
      <c r="I33" s="8">
        <v>174500</v>
      </c>
      <c r="J33" s="8">
        <v>0</v>
      </c>
      <c r="K33" s="8">
        <v>214.65</v>
      </c>
    </row>
    <row r="34" spans="1:11" x14ac:dyDescent="0.2">
      <c r="A34" s="2">
        <v>-1</v>
      </c>
      <c r="B34" s="7">
        <v>42377</v>
      </c>
      <c r="C34" s="12" t="s">
        <v>38</v>
      </c>
      <c r="D34" s="12" t="s">
        <v>39</v>
      </c>
      <c r="E34" s="12" t="s">
        <v>40</v>
      </c>
      <c r="F34" s="12" t="s">
        <v>40</v>
      </c>
      <c r="G34" s="14">
        <v>6.5830000000000002</v>
      </c>
      <c r="H34" s="15">
        <v>-2400</v>
      </c>
      <c r="I34" s="8">
        <v>15799.2</v>
      </c>
      <c r="J34" s="8">
        <v>0</v>
      </c>
      <c r="K34" s="8">
        <v>3.32</v>
      </c>
    </row>
    <row r="35" spans="1:11" x14ac:dyDescent="0.2">
      <c r="A35" s="2">
        <v>-1</v>
      </c>
      <c r="B35" s="7">
        <v>42384</v>
      </c>
      <c r="C35" s="12" t="s">
        <v>53</v>
      </c>
      <c r="D35" s="12" t="s">
        <v>54</v>
      </c>
      <c r="E35" s="12" t="s">
        <v>37</v>
      </c>
      <c r="F35" s="12" t="s">
        <v>37</v>
      </c>
      <c r="G35" s="14">
        <v>100.229</v>
      </c>
      <c r="H35" s="15">
        <v>3500</v>
      </c>
      <c r="I35" s="8">
        <v>-350801.5</v>
      </c>
      <c r="J35" s="8">
        <v>0</v>
      </c>
      <c r="K35" s="8">
        <v>0</v>
      </c>
    </row>
    <row r="36" spans="1:11" x14ac:dyDescent="0.2">
      <c r="A36" s="2">
        <v>-1</v>
      </c>
      <c r="B36" s="7">
        <v>42404</v>
      </c>
      <c r="C36" s="12" t="s">
        <v>53</v>
      </c>
      <c r="D36" s="12" t="s">
        <v>54</v>
      </c>
      <c r="E36" s="12" t="s">
        <v>37</v>
      </c>
      <c r="F36" s="12" t="s">
        <v>37</v>
      </c>
      <c r="G36" s="14">
        <v>100.36799999999999</v>
      </c>
      <c r="H36" s="15">
        <v>500</v>
      </c>
      <c r="I36" s="8">
        <v>-50184</v>
      </c>
      <c r="J36" s="8">
        <v>0</v>
      </c>
      <c r="K36" s="8">
        <v>0</v>
      </c>
    </row>
    <row r="37" spans="1:11" x14ac:dyDescent="0.2">
      <c r="A37" s="2">
        <v>-1</v>
      </c>
      <c r="B37" s="7">
        <v>42436</v>
      </c>
      <c r="C37" s="12" t="s">
        <v>53</v>
      </c>
      <c r="D37" s="12" t="s">
        <v>54</v>
      </c>
      <c r="E37" s="12" t="s">
        <v>40</v>
      </c>
      <c r="F37" s="12" t="s">
        <v>40</v>
      </c>
      <c r="G37" s="14">
        <v>100.59399999999999</v>
      </c>
      <c r="H37" s="15">
        <v>-2000</v>
      </c>
      <c r="I37" s="8">
        <v>201188</v>
      </c>
      <c r="J37" s="8">
        <v>0</v>
      </c>
      <c r="K37" s="8">
        <v>0</v>
      </c>
    </row>
    <row r="38" spans="1:11" x14ac:dyDescent="0.2">
      <c r="A38" s="2">
        <v>-1</v>
      </c>
      <c r="B38" s="7">
        <v>42437</v>
      </c>
      <c r="C38" s="12" t="s">
        <v>35</v>
      </c>
      <c r="D38" s="12" t="s">
        <v>36</v>
      </c>
      <c r="E38" s="12" t="s">
        <v>37</v>
      </c>
      <c r="F38" s="12" t="s">
        <v>37</v>
      </c>
      <c r="G38" s="14">
        <v>2.665</v>
      </c>
      <c r="H38" s="15">
        <v>1000</v>
      </c>
      <c r="I38" s="8">
        <v>-2665</v>
      </c>
      <c r="J38" s="8">
        <v>0</v>
      </c>
      <c r="K38" s="8">
        <v>0.56000000000000005</v>
      </c>
    </row>
    <row r="39" spans="1:11" x14ac:dyDescent="0.2">
      <c r="A39" s="2">
        <v>-1</v>
      </c>
      <c r="B39" s="7">
        <v>42468</v>
      </c>
      <c r="C39" s="12" t="s">
        <v>38</v>
      </c>
      <c r="D39" s="12" t="s">
        <v>39</v>
      </c>
      <c r="E39" s="12" t="s">
        <v>37</v>
      </c>
      <c r="F39" s="12" t="s">
        <v>37</v>
      </c>
      <c r="G39" s="14">
        <v>6.3840000000000003</v>
      </c>
      <c r="H39" s="15">
        <v>100</v>
      </c>
      <c r="I39" s="8">
        <v>-638.40000000000009</v>
      </c>
      <c r="J39" s="8">
        <v>0</v>
      </c>
      <c r="K39" s="8">
        <v>0.13</v>
      </c>
    </row>
    <row r="40" spans="1:11" x14ac:dyDescent="0.2">
      <c r="A40" s="2">
        <v>-1</v>
      </c>
      <c r="B40" s="7">
        <v>42471</v>
      </c>
      <c r="C40" s="12" t="s">
        <v>1</v>
      </c>
      <c r="D40" s="12" t="s">
        <v>55</v>
      </c>
      <c r="E40" s="12" t="s">
        <v>37</v>
      </c>
      <c r="F40" s="12" t="s">
        <v>37</v>
      </c>
      <c r="G40" s="14">
        <v>2.149</v>
      </c>
      <c r="H40" s="15">
        <v>600</v>
      </c>
      <c r="I40" s="8">
        <v>-1289.4000000000001</v>
      </c>
      <c r="J40" s="8">
        <v>0</v>
      </c>
      <c r="K40" s="8">
        <v>0.27</v>
      </c>
    </row>
    <row r="41" spans="1:11" x14ac:dyDescent="0.2">
      <c r="A41" s="2">
        <v>-1</v>
      </c>
      <c r="B41" s="7">
        <v>42471</v>
      </c>
      <c r="C41" s="12" t="s">
        <v>53</v>
      </c>
      <c r="D41" s="12" t="s">
        <v>54</v>
      </c>
      <c r="E41" s="12" t="s">
        <v>37</v>
      </c>
      <c r="F41" s="12" t="s">
        <v>37</v>
      </c>
      <c r="G41" s="14">
        <v>100.83</v>
      </c>
      <c r="H41" s="15">
        <v>1100</v>
      </c>
      <c r="I41" s="8">
        <v>-110913</v>
      </c>
      <c r="J41" s="8">
        <v>0</v>
      </c>
      <c r="K41" s="8">
        <v>0</v>
      </c>
    </row>
    <row r="42" spans="1:11" x14ac:dyDescent="0.2">
      <c r="A42" s="2">
        <v>-1</v>
      </c>
      <c r="B42" s="7">
        <v>42473</v>
      </c>
      <c r="C42" s="12" t="s">
        <v>38</v>
      </c>
      <c r="D42" s="12" t="s">
        <v>39</v>
      </c>
      <c r="E42" s="12" t="s">
        <v>40</v>
      </c>
      <c r="F42" s="12" t="s">
        <v>40</v>
      </c>
      <c r="G42" s="14">
        <v>6.66</v>
      </c>
      <c r="H42" s="15">
        <v>-100</v>
      </c>
      <c r="I42" s="8">
        <v>666</v>
      </c>
      <c r="J42" s="8">
        <v>0</v>
      </c>
      <c r="K42" s="8">
        <v>0.14000000000000001</v>
      </c>
    </row>
    <row r="43" spans="1:11" x14ac:dyDescent="0.2">
      <c r="A43" s="2">
        <v>-1</v>
      </c>
      <c r="B43" s="7">
        <v>42473</v>
      </c>
      <c r="C43" s="12" t="s">
        <v>1</v>
      </c>
      <c r="D43" s="12" t="s">
        <v>55</v>
      </c>
      <c r="E43" s="12" t="s">
        <v>40</v>
      </c>
      <c r="F43" s="12" t="s">
        <v>40</v>
      </c>
      <c r="G43" s="14">
        <v>2.1920000000000002</v>
      </c>
      <c r="H43" s="15">
        <v>-600</v>
      </c>
      <c r="I43" s="8">
        <v>1315.2</v>
      </c>
      <c r="J43" s="8">
        <v>0</v>
      </c>
      <c r="K43" s="8">
        <v>0.28000000000000003</v>
      </c>
    </row>
    <row r="44" spans="1:11" x14ac:dyDescent="0.2">
      <c r="A44" s="2">
        <v>-1</v>
      </c>
      <c r="B44" s="7">
        <v>42473</v>
      </c>
      <c r="C44" s="12" t="s">
        <v>56</v>
      </c>
      <c r="D44" s="12" t="s">
        <v>57</v>
      </c>
      <c r="E44" s="12" t="s">
        <v>37</v>
      </c>
      <c r="F44" s="12" t="s">
        <v>37</v>
      </c>
      <c r="G44" s="14">
        <v>1.04</v>
      </c>
      <c r="H44" s="15">
        <v>600</v>
      </c>
      <c r="I44" s="8">
        <v>-624</v>
      </c>
      <c r="J44" s="8">
        <v>0</v>
      </c>
      <c r="K44" s="8">
        <v>0.13</v>
      </c>
    </row>
    <row r="45" spans="1:11" x14ac:dyDescent="0.2">
      <c r="A45" s="2">
        <v>-1</v>
      </c>
      <c r="B45" s="7">
        <v>42478</v>
      </c>
      <c r="C45" s="12" t="s">
        <v>38</v>
      </c>
      <c r="D45" s="12" t="s">
        <v>39</v>
      </c>
      <c r="E45" s="12" t="s">
        <v>37</v>
      </c>
      <c r="F45" s="12" t="s">
        <v>37</v>
      </c>
      <c r="G45" s="14">
        <v>6.5140000000000002</v>
      </c>
      <c r="H45" s="15">
        <v>100</v>
      </c>
      <c r="I45" s="8">
        <v>-651.4</v>
      </c>
      <c r="J45" s="8">
        <v>0</v>
      </c>
      <c r="K45" s="8">
        <v>0.14000000000000001</v>
      </c>
    </row>
    <row r="46" spans="1:11" x14ac:dyDescent="0.2">
      <c r="A46" s="2">
        <v>-1</v>
      </c>
      <c r="B46" s="7">
        <v>42478</v>
      </c>
      <c r="C46" s="12" t="s">
        <v>58</v>
      </c>
      <c r="D46" s="12" t="s">
        <v>59</v>
      </c>
      <c r="E46" s="12" t="s">
        <v>37</v>
      </c>
      <c r="F46" s="12" t="s">
        <v>37</v>
      </c>
      <c r="G46" s="14">
        <v>0.51400000000000001</v>
      </c>
      <c r="H46" s="15">
        <v>1200</v>
      </c>
      <c r="I46" s="8">
        <v>-616.80000000000007</v>
      </c>
      <c r="J46" s="8">
        <v>0</v>
      </c>
      <c r="K46" s="8">
        <v>0.13</v>
      </c>
    </row>
    <row r="47" spans="1:11" x14ac:dyDescent="0.2">
      <c r="A47" s="2">
        <v>-1</v>
      </c>
      <c r="B47" s="7">
        <v>42479</v>
      </c>
      <c r="C47" s="12" t="s">
        <v>38</v>
      </c>
      <c r="D47" s="12" t="s">
        <v>39</v>
      </c>
      <c r="E47" s="12" t="s">
        <v>40</v>
      </c>
      <c r="F47" s="12" t="s">
        <v>40</v>
      </c>
      <c r="G47" s="14">
        <v>6.5229999999999997</v>
      </c>
      <c r="H47" s="15">
        <v>-100</v>
      </c>
      <c r="I47" s="8">
        <v>652.29999999999995</v>
      </c>
      <c r="J47" s="8">
        <v>0</v>
      </c>
      <c r="K47" s="8">
        <v>0.14000000000000001</v>
      </c>
    </row>
    <row r="48" spans="1:11" x14ac:dyDescent="0.2">
      <c r="A48" s="2">
        <v>-1</v>
      </c>
      <c r="B48" s="7">
        <v>42479</v>
      </c>
      <c r="C48" s="12" t="s">
        <v>58</v>
      </c>
      <c r="D48" s="12" t="s">
        <v>59</v>
      </c>
      <c r="E48" s="12" t="s">
        <v>40</v>
      </c>
      <c r="F48" s="12" t="s">
        <v>40</v>
      </c>
      <c r="G48" s="14">
        <v>0.53700000000000003</v>
      </c>
      <c r="H48" s="15">
        <v>-1200</v>
      </c>
      <c r="I48" s="8">
        <v>644.40000000000009</v>
      </c>
      <c r="J48" s="8">
        <v>0</v>
      </c>
      <c r="K48" s="8">
        <v>0.14000000000000001</v>
      </c>
    </row>
    <row r="49" spans="1:11" x14ac:dyDescent="0.2">
      <c r="A49" s="2">
        <v>-1</v>
      </c>
      <c r="B49" s="7">
        <v>42479</v>
      </c>
      <c r="C49" s="12" t="s">
        <v>56</v>
      </c>
      <c r="D49" s="12" t="s">
        <v>57</v>
      </c>
      <c r="E49" s="12" t="s">
        <v>40</v>
      </c>
      <c r="F49" s="12" t="s">
        <v>40</v>
      </c>
      <c r="G49" s="14">
        <v>1.0760000000000001</v>
      </c>
      <c r="H49" s="15">
        <v>-600</v>
      </c>
      <c r="I49" s="8">
        <v>645.6</v>
      </c>
      <c r="J49" s="8">
        <v>0</v>
      </c>
      <c r="K49" s="8">
        <v>0.14000000000000001</v>
      </c>
    </row>
    <row r="50" spans="1:11" x14ac:dyDescent="0.2">
      <c r="A50" s="2">
        <v>-1</v>
      </c>
      <c r="B50" s="7">
        <v>42480</v>
      </c>
      <c r="C50" s="12" t="s">
        <v>38</v>
      </c>
      <c r="D50" s="12" t="s">
        <v>39</v>
      </c>
      <c r="E50" s="12" t="s">
        <v>37</v>
      </c>
      <c r="F50" s="12" t="s">
        <v>37</v>
      </c>
      <c r="G50" s="14">
        <v>6.2009999999999996</v>
      </c>
      <c r="H50" s="15">
        <v>500</v>
      </c>
      <c r="I50" s="8">
        <v>-3100.5</v>
      </c>
      <c r="J50" s="8">
        <v>0</v>
      </c>
      <c r="K50" s="8">
        <v>0.65</v>
      </c>
    </row>
    <row r="51" spans="1:11" x14ac:dyDescent="0.2">
      <c r="A51" s="2">
        <v>-1</v>
      </c>
      <c r="B51" s="7">
        <v>42482</v>
      </c>
      <c r="C51" s="12" t="s">
        <v>58</v>
      </c>
      <c r="D51" s="12" t="s">
        <v>59</v>
      </c>
      <c r="E51" s="12" t="s">
        <v>37</v>
      </c>
      <c r="F51" s="12" t="s">
        <v>37</v>
      </c>
      <c r="G51" s="14">
        <v>0.55400000000000005</v>
      </c>
      <c r="H51" s="15">
        <v>2700</v>
      </c>
      <c r="I51" s="8">
        <v>-1495.8000000000002</v>
      </c>
      <c r="J51" s="8">
        <v>0</v>
      </c>
      <c r="K51" s="8">
        <v>0.31</v>
      </c>
    </row>
    <row r="52" spans="1:11" x14ac:dyDescent="0.2">
      <c r="A52" s="2">
        <v>-1</v>
      </c>
      <c r="B52" s="7">
        <v>42482</v>
      </c>
      <c r="C52" s="12" t="s">
        <v>53</v>
      </c>
      <c r="D52" s="12" t="s">
        <v>54</v>
      </c>
      <c r="E52" s="12" t="s">
        <v>37</v>
      </c>
      <c r="F52" s="12" t="s">
        <v>37</v>
      </c>
      <c r="G52" s="14">
        <v>100.92</v>
      </c>
      <c r="H52" s="15">
        <v>100</v>
      </c>
      <c r="I52" s="8">
        <v>-10092</v>
      </c>
      <c r="J52" s="8">
        <v>0</v>
      </c>
      <c r="K52" s="8">
        <v>0</v>
      </c>
    </row>
    <row r="53" spans="1:11" x14ac:dyDescent="0.2">
      <c r="A53" s="2">
        <v>-1</v>
      </c>
      <c r="B53" s="7">
        <v>42487</v>
      </c>
      <c r="C53" s="12" t="s">
        <v>3</v>
      </c>
      <c r="D53" s="12" t="s">
        <v>60</v>
      </c>
      <c r="E53" s="12" t="s">
        <v>37</v>
      </c>
      <c r="F53" s="12" t="s">
        <v>37</v>
      </c>
      <c r="G53" s="14">
        <v>3.173</v>
      </c>
      <c r="H53" s="15">
        <v>500</v>
      </c>
      <c r="I53" s="8">
        <v>-1586.5</v>
      </c>
      <c r="J53" s="8">
        <v>0</v>
      </c>
      <c r="K53" s="8">
        <v>0.32</v>
      </c>
    </row>
    <row r="54" spans="1:11" x14ac:dyDescent="0.2">
      <c r="A54" s="2">
        <v>-1</v>
      </c>
      <c r="B54" s="7">
        <v>42487</v>
      </c>
      <c r="C54" s="12" t="s">
        <v>1</v>
      </c>
      <c r="D54" s="12" t="s">
        <v>55</v>
      </c>
      <c r="E54" s="12" t="s">
        <v>37</v>
      </c>
      <c r="F54" s="12" t="s">
        <v>37</v>
      </c>
      <c r="G54" s="14">
        <v>2.153</v>
      </c>
      <c r="H54" s="15">
        <v>700</v>
      </c>
      <c r="I54" s="8">
        <v>-1507.1</v>
      </c>
      <c r="J54" s="8">
        <v>0</v>
      </c>
      <c r="K54" s="8">
        <v>0.32</v>
      </c>
    </row>
    <row r="55" spans="1:11" x14ac:dyDescent="0.2">
      <c r="A55" s="2">
        <v>-1</v>
      </c>
      <c r="B55" s="7">
        <v>42487</v>
      </c>
      <c r="C55" s="12" t="s">
        <v>58</v>
      </c>
      <c r="D55" s="12" t="s">
        <v>59</v>
      </c>
      <c r="E55" s="12" t="s">
        <v>37</v>
      </c>
      <c r="F55" s="12" t="s">
        <v>37</v>
      </c>
      <c r="G55" s="14">
        <v>0.58099999999999996</v>
      </c>
      <c r="H55" s="15">
        <v>2600</v>
      </c>
      <c r="I55" s="8">
        <v>-1510.6</v>
      </c>
      <c r="J55" s="8">
        <v>0</v>
      </c>
      <c r="K55" s="8">
        <v>0.32</v>
      </c>
    </row>
    <row r="56" spans="1:11" x14ac:dyDescent="0.2">
      <c r="A56" s="2">
        <v>-1</v>
      </c>
      <c r="B56" s="7">
        <v>42488</v>
      </c>
      <c r="C56" s="12" t="s">
        <v>53</v>
      </c>
      <c r="D56" s="12" t="s">
        <v>54</v>
      </c>
      <c r="E56" s="12" t="s">
        <v>40</v>
      </c>
      <c r="F56" s="12" t="s">
        <v>40</v>
      </c>
      <c r="G56" s="14">
        <v>100.962</v>
      </c>
      <c r="H56" s="15">
        <v>-100</v>
      </c>
      <c r="I56" s="8">
        <v>10096.200000000001</v>
      </c>
      <c r="J56" s="8">
        <v>0</v>
      </c>
      <c r="K56" s="8">
        <v>0</v>
      </c>
    </row>
    <row r="57" spans="1:11" x14ac:dyDescent="0.2">
      <c r="A57" s="2">
        <v>-1</v>
      </c>
      <c r="B57" s="7">
        <v>42489</v>
      </c>
      <c r="C57" s="12" t="s">
        <v>1</v>
      </c>
      <c r="D57" s="12" t="s">
        <v>55</v>
      </c>
      <c r="E57" s="12" t="s">
        <v>37</v>
      </c>
      <c r="F57" s="12" t="s">
        <v>37</v>
      </c>
      <c r="G57" s="14">
        <v>2.133</v>
      </c>
      <c r="H57" s="15">
        <v>700</v>
      </c>
      <c r="I57" s="8">
        <v>-1493.1</v>
      </c>
      <c r="J57" s="8">
        <v>0</v>
      </c>
      <c r="K57" s="8">
        <v>7.36</v>
      </c>
    </row>
    <row r="58" spans="1:11" x14ac:dyDescent="0.2">
      <c r="A58" s="2">
        <v>-1</v>
      </c>
      <c r="B58" s="7">
        <v>42493</v>
      </c>
      <c r="C58" s="12" t="s">
        <v>35</v>
      </c>
      <c r="D58" s="12" t="s">
        <v>36</v>
      </c>
      <c r="E58" s="12" t="s">
        <v>40</v>
      </c>
      <c r="F58" s="12" t="s">
        <v>40</v>
      </c>
      <c r="G58" s="14">
        <v>2.7040000000000002</v>
      </c>
      <c r="H58" s="15">
        <v>-1000</v>
      </c>
      <c r="I58" s="8">
        <v>2704</v>
      </c>
      <c r="J58" s="8">
        <v>0</v>
      </c>
      <c r="K58" s="8">
        <v>0.67</v>
      </c>
    </row>
    <row r="59" spans="1:11" x14ac:dyDescent="0.2">
      <c r="A59" s="2">
        <v>-1</v>
      </c>
      <c r="B59" s="7">
        <v>42493</v>
      </c>
      <c r="C59" s="12" t="s">
        <v>58</v>
      </c>
      <c r="D59" s="12" t="s">
        <v>59</v>
      </c>
      <c r="E59" s="12" t="s">
        <v>37</v>
      </c>
      <c r="F59" s="12" t="s">
        <v>37</v>
      </c>
      <c r="G59" s="14">
        <v>0.58399999999999996</v>
      </c>
      <c r="H59" s="15">
        <v>60000</v>
      </c>
      <c r="I59" s="8">
        <v>-35040</v>
      </c>
      <c r="J59" s="8">
        <v>0</v>
      </c>
      <c r="K59" s="8">
        <v>7.36</v>
      </c>
    </row>
    <row r="60" spans="1:11" x14ac:dyDescent="0.2">
      <c r="A60" s="2">
        <v>-1</v>
      </c>
      <c r="B60" s="7">
        <v>42493</v>
      </c>
      <c r="C60" s="12" t="s">
        <v>38</v>
      </c>
      <c r="D60" s="12" t="s">
        <v>39</v>
      </c>
      <c r="E60" s="12" t="s">
        <v>40</v>
      </c>
      <c r="F60" s="12" t="s">
        <v>40</v>
      </c>
      <c r="G60" s="14">
        <v>6.3869999999999996</v>
      </c>
      <c r="H60" s="15">
        <v>-500</v>
      </c>
      <c r="I60" s="8">
        <v>3193.5</v>
      </c>
      <c r="J60" s="8">
        <v>0</v>
      </c>
      <c r="K60" s="8">
        <v>0.34</v>
      </c>
    </row>
    <row r="61" spans="1:11" x14ac:dyDescent="0.2">
      <c r="A61" s="2">
        <v>-1</v>
      </c>
      <c r="B61" s="7">
        <v>42493</v>
      </c>
      <c r="C61" s="12" t="s">
        <v>1</v>
      </c>
      <c r="D61" s="12" t="s">
        <v>55</v>
      </c>
      <c r="E61" s="12" t="s">
        <v>40</v>
      </c>
      <c r="F61" s="12" t="s">
        <v>40</v>
      </c>
      <c r="G61" s="14">
        <v>2.161</v>
      </c>
      <c r="H61" s="15">
        <v>-1400</v>
      </c>
      <c r="I61" s="8">
        <v>3025.4</v>
      </c>
      <c r="J61" s="8">
        <v>0</v>
      </c>
      <c r="K61" s="8">
        <v>0.72</v>
      </c>
    </row>
    <row r="62" spans="1:11" x14ac:dyDescent="0.2">
      <c r="A62" s="2">
        <v>-1</v>
      </c>
      <c r="B62" s="7">
        <v>42493</v>
      </c>
      <c r="C62" s="12" t="s">
        <v>3</v>
      </c>
      <c r="D62" s="12" t="s">
        <v>60</v>
      </c>
      <c r="E62" s="12" t="s">
        <v>40</v>
      </c>
      <c r="F62" s="12" t="s">
        <v>40</v>
      </c>
      <c r="G62" s="14">
        <v>3.206</v>
      </c>
      <c r="H62" s="15">
        <v>-500</v>
      </c>
      <c r="I62" s="8">
        <v>1603</v>
      </c>
      <c r="J62" s="8">
        <v>0</v>
      </c>
      <c r="K62" s="8">
        <v>0.75</v>
      </c>
    </row>
    <row r="63" spans="1:11" x14ac:dyDescent="0.2">
      <c r="A63" s="2">
        <v>-1</v>
      </c>
      <c r="B63" s="7">
        <v>42493</v>
      </c>
      <c r="C63" s="12" t="s">
        <v>53</v>
      </c>
      <c r="D63" s="12" t="s">
        <v>54</v>
      </c>
      <c r="E63" s="12" t="s">
        <v>40</v>
      </c>
      <c r="F63" s="12" t="s">
        <v>40</v>
      </c>
      <c r="G63" s="14">
        <v>101.99</v>
      </c>
      <c r="H63" s="15">
        <v>-400</v>
      </c>
      <c r="I63" s="8">
        <v>40796</v>
      </c>
      <c r="J63" s="8">
        <v>0</v>
      </c>
      <c r="K63" s="8">
        <v>0</v>
      </c>
    </row>
    <row r="64" spans="1:11" x14ac:dyDescent="0.2">
      <c r="A64" s="2">
        <v>-1</v>
      </c>
      <c r="B64" s="7">
        <v>42494</v>
      </c>
      <c r="C64" s="12" t="s">
        <v>56</v>
      </c>
      <c r="D64" s="12" t="s">
        <v>57</v>
      </c>
      <c r="E64" s="12" t="s">
        <v>37</v>
      </c>
      <c r="F64" s="12" t="s">
        <v>37</v>
      </c>
      <c r="G64" s="14">
        <v>1.0389999999999999</v>
      </c>
      <c r="H64" s="15">
        <v>3300</v>
      </c>
      <c r="I64" s="8">
        <v>-3428.7</v>
      </c>
      <c r="J64" s="8">
        <v>0</v>
      </c>
      <c r="K64" s="8">
        <v>0.72</v>
      </c>
    </row>
    <row r="65" spans="1:11" x14ac:dyDescent="0.2">
      <c r="A65" s="2">
        <v>-1</v>
      </c>
      <c r="B65" s="7">
        <v>42499</v>
      </c>
      <c r="C65" s="12" t="s">
        <v>38</v>
      </c>
      <c r="D65" s="12" t="s">
        <v>39</v>
      </c>
      <c r="E65" s="12" t="s">
        <v>37</v>
      </c>
      <c r="F65" s="12" t="s">
        <v>37</v>
      </c>
      <c r="G65" s="14">
        <v>5.9669999999999996</v>
      </c>
      <c r="H65" s="15">
        <v>600</v>
      </c>
      <c r="I65" s="8">
        <v>-3580.2</v>
      </c>
      <c r="J65" s="8">
        <v>0</v>
      </c>
      <c r="K65" s="8">
        <v>2.2000000000000002</v>
      </c>
    </row>
    <row r="66" spans="1:11" x14ac:dyDescent="0.2">
      <c r="A66" s="2">
        <v>-1</v>
      </c>
      <c r="B66" s="7">
        <v>42513</v>
      </c>
      <c r="C66" s="12" t="s">
        <v>61</v>
      </c>
      <c r="D66" s="12" t="s">
        <v>62</v>
      </c>
      <c r="E66" s="12" t="s">
        <v>37</v>
      </c>
      <c r="F66" s="12" t="s">
        <v>37</v>
      </c>
      <c r="G66" s="14">
        <v>0.85699999999999998</v>
      </c>
      <c r="H66" s="15">
        <v>12000</v>
      </c>
      <c r="I66" s="8">
        <v>-10284</v>
      </c>
      <c r="J66" s="8">
        <v>0</v>
      </c>
      <c r="K66" s="8">
        <v>0.77</v>
      </c>
    </row>
    <row r="67" spans="1:11" x14ac:dyDescent="0.2">
      <c r="A67" s="2">
        <v>-1</v>
      </c>
      <c r="B67" s="7">
        <v>42513</v>
      </c>
      <c r="C67" s="12" t="s">
        <v>56</v>
      </c>
      <c r="D67" s="12" t="s">
        <v>57</v>
      </c>
      <c r="E67" s="12" t="s">
        <v>37</v>
      </c>
      <c r="F67" s="12" t="s">
        <v>37</v>
      </c>
      <c r="G67" s="14">
        <v>1.018</v>
      </c>
      <c r="H67" s="15">
        <v>10300</v>
      </c>
      <c r="I67" s="8">
        <v>-10485.4</v>
      </c>
      <c r="J67" s="8">
        <v>0</v>
      </c>
      <c r="K67" s="8">
        <v>2.2000000000000002</v>
      </c>
    </row>
    <row r="68" spans="1:11" x14ac:dyDescent="0.2">
      <c r="A68" s="2">
        <v>-1</v>
      </c>
      <c r="B68" s="7">
        <v>42521</v>
      </c>
      <c r="C68" s="12" t="s">
        <v>38</v>
      </c>
      <c r="D68" s="12" t="s">
        <v>39</v>
      </c>
      <c r="E68" s="12" t="s">
        <v>40</v>
      </c>
      <c r="F68" s="12" t="s">
        <v>40</v>
      </c>
      <c r="G68" s="14">
        <v>6.1020000000000003</v>
      </c>
      <c r="H68" s="15">
        <v>-600</v>
      </c>
      <c r="I68" s="8">
        <v>3661.2000000000003</v>
      </c>
      <c r="J68" s="8">
        <v>0</v>
      </c>
      <c r="K68" s="8">
        <v>2.11</v>
      </c>
    </row>
    <row r="69" spans="1:11" x14ac:dyDescent="0.2">
      <c r="A69" s="2">
        <v>-1</v>
      </c>
      <c r="B69" s="7">
        <v>42523</v>
      </c>
      <c r="C69" s="12" t="s">
        <v>58</v>
      </c>
      <c r="D69" s="12" t="s">
        <v>59</v>
      </c>
      <c r="E69" s="12" t="s">
        <v>40</v>
      </c>
      <c r="F69" s="12" t="s">
        <v>40</v>
      </c>
      <c r="G69" s="14">
        <v>0.58399999999999996</v>
      </c>
      <c r="H69" s="15">
        <v>-65300</v>
      </c>
      <c r="I69" s="8">
        <v>38135.199999999997</v>
      </c>
      <c r="J69" s="8">
        <v>0</v>
      </c>
      <c r="K69" s="8">
        <v>8.01</v>
      </c>
    </row>
    <row r="70" spans="1:11" x14ac:dyDescent="0.2">
      <c r="A70" s="2">
        <v>-1</v>
      </c>
      <c r="B70" s="7">
        <v>42524</v>
      </c>
      <c r="C70" s="12" t="s">
        <v>53</v>
      </c>
      <c r="D70" s="12" t="s">
        <v>54</v>
      </c>
      <c r="E70" s="12" t="s">
        <v>37</v>
      </c>
      <c r="F70" s="12" t="s">
        <v>37</v>
      </c>
      <c r="G70" s="14">
        <v>101.17700000000001</v>
      </c>
      <c r="H70" s="15">
        <v>500</v>
      </c>
      <c r="I70" s="8">
        <v>-50588.5</v>
      </c>
      <c r="J70" s="8">
        <v>0</v>
      </c>
      <c r="K70" s="8">
        <v>0</v>
      </c>
    </row>
    <row r="71" spans="1:11" x14ac:dyDescent="0.2">
      <c r="A71" s="2">
        <v>-1</v>
      </c>
      <c r="B71" s="7">
        <v>42524</v>
      </c>
      <c r="C71" s="12" t="s">
        <v>61</v>
      </c>
      <c r="D71" s="12" t="s">
        <v>62</v>
      </c>
      <c r="E71" s="12" t="s">
        <v>37</v>
      </c>
      <c r="F71" s="12" t="s">
        <v>37</v>
      </c>
      <c r="G71" s="14">
        <v>0.90500000000000003</v>
      </c>
      <c r="H71" s="15">
        <v>11100</v>
      </c>
      <c r="I71" s="8">
        <v>-10045.5</v>
      </c>
      <c r="J71" s="8">
        <v>0</v>
      </c>
      <c r="K71" s="8">
        <v>4.22</v>
      </c>
    </row>
    <row r="72" spans="1:11" x14ac:dyDescent="0.2">
      <c r="A72" s="2">
        <v>-1</v>
      </c>
      <c r="B72" s="7">
        <v>42527</v>
      </c>
      <c r="C72" s="12" t="s">
        <v>61</v>
      </c>
      <c r="D72" s="12" t="s">
        <v>62</v>
      </c>
      <c r="E72" s="12" t="s">
        <v>37</v>
      </c>
      <c r="F72" s="12" t="s">
        <v>37</v>
      </c>
      <c r="G72" s="14">
        <v>0.90400000000000003</v>
      </c>
      <c r="H72" s="15">
        <v>11100</v>
      </c>
      <c r="I72" s="8">
        <v>-10034.4</v>
      </c>
      <c r="J72" s="8">
        <v>0</v>
      </c>
      <c r="K72" s="8">
        <v>2.12</v>
      </c>
    </row>
    <row r="73" spans="1:11" x14ac:dyDescent="0.2">
      <c r="A73" s="2">
        <v>-1</v>
      </c>
      <c r="B73" s="7">
        <v>42527</v>
      </c>
      <c r="C73" s="12" t="s">
        <v>53</v>
      </c>
      <c r="D73" s="12" t="s">
        <v>54</v>
      </c>
      <c r="E73" s="12" t="s">
        <v>40</v>
      </c>
      <c r="F73" s="12" t="s">
        <v>40</v>
      </c>
      <c r="G73" s="14">
        <v>101.181</v>
      </c>
      <c r="H73" s="15">
        <v>-400</v>
      </c>
      <c r="I73" s="8">
        <v>40472.400000000001</v>
      </c>
      <c r="J73" s="8">
        <v>0</v>
      </c>
      <c r="K73" s="8">
        <v>0</v>
      </c>
    </row>
    <row r="74" spans="1:11" x14ac:dyDescent="0.2">
      <c r="A74" s="2">
        <v>-1</v>
      </c>
      <c r="B74" s="7">
        <v>42534</v>
      </c>
      <c r="C74" s="12" t="s">
        <v>61</v>
      </c>
      <c r="D74" s="12" t="s">
        <v>62</v>
      </c>
      <c r="E74" s="12" t="s">
        <v>37</v>
      </c>
      <c r="F74" s="12" t="s">
        <v>37</v>
      </c>
      <c r="G74" s="14">
        <v>0.89700000000000002</v>
      </c>
      <c r="H74" s="15">
        <v>22400</v>
      </c>
      <c r="I74" s="8">
        <v>-20092.8</v>
      </c>
      <c r="J74" s="8">
        <v>0</v>
      </c>
      <c r="K74" s="8">
        <v>2.13</v>
      </c>
    </row>
    <row r="75" spans="1:11" x14ac:dyDescent="0.2">
      <c r="A75" s="2">
        <v>-1</v>
      </c>
      <c r="B75" s="7">
        <v>42534</v>
      </c>
      <c r="C75" s="12" t="s">
        <v>53</v>
      </c>
      <c r="D75" s="12" t="s">
        <v>54</v>
      </c>
      <c r="E75" s="12" t="s">
        <v>40</v>
      </c>
      <c r="F75" s="12" t="s">
        <v>40</v>
      </c>
      <c r="G75" s="14">
        <v>101.253</v>
      </c>
      <c r="H75" s="15">
        <v>-200</v>
      </c>
      <c r="I75" s="8">
        <v>20250.599999999999</v>
      </c>
      <c r="J75" s="8">
        <v>0</v>
      </c>
      <c r="K75" s="8">
        <v>0</v>
      </c>
    </row>
    <row r="76" spans="1:11" x14ac:dyDescent="0.2">
      <c r="A76" s="2">
        <v>-1</v>
      </c>
      <c r="B76" s="7">
        <v>42534</v>
      </c>
      <c r="C76" s="12" t="s">
        <v>61</v>
      </c>
      <c r="D76" s="12" t="s">
        <v>62</v>
      </c>
      <c r="E76" s="12" t="s">
        <v>37</v>
      </c>
      <c r="F76" s="12" t="s">
        <v>37</v>
      </c>
      <c r="G76" s="14">
        <v>0.89200000000000002</v>
      </c>
      <c r="H76" s="15">
        <v>11300</v>
      </c>
      <c r="I76" s="8">
        <v>-10079.6</v>
      </c>
      <c r="J76" s="8">
        <v>0</v>
      </c>
      <c r="K76" s="8">
        <v>4.3499999999999996</v>
      </c>
    </row>
    <row r="77" spans="1:11" x14ac:dyDescent="0.2">
      <c r="A77" s="2">
        <v>-1</v>
      </c>
      <c r="B77" s="7">
        <v>42537</v>
      </c>
      <c r="C77" s="12" t="s">
        <v>61</v>
      </c>
      <c r="D77" s="12" t="s">
        <v>62</v>
      </c>
      <c r="E77" s="12" t="s">
        <v>37</v>
      </c>
      <c r="F77" s="12" t="s">
        <v>37</v>
      </c>
      <c r="G77" s="14">
        <v>0.88400000000000001</v>
      </c>
      <c r="H77" s="15">
        <v>11500</v>
      </c>
      <c r="I77" s="8">
        <v>-10166</v>
      </c>
      <c r="J77" s="8">
        <v>0</v>
      </c>
      <c r="K77" s="8">
        <v>4.2699999999999996</v>
      </c>
    </row>
    <row r="78" spans="1:11" x14ac:dyDescent="0.2">
      <c r="A78" s="2">
        <v>-1</v>
      </c>
      <c r="B78" s="7">
        <v>42537</v>
      </c>
      <c r="C78" s="12" t="s">
        <v>53</v>
      </c>
      <c r="D78" s="12" t="s">
        <v>54</v>
      </c>
      <c r="E78" s="12" t="s">
        <v>40</v>
      </c>
      <c r="F78" s="12" t="s">
        <v>40</v>
      </c>
      <c r="G78" s="14">
        <v>101.259</v>
      </c>
      <c r="H78" s="15">
        <v>-100</v>
      </c>
      <c r="I78" s="8">
        <v>10125.9</v>
      </c>
      <c r="J78" s="8">
        <v>0</v>
      </c>
      <c r="K78" s="8">
        <v>0</v>
      </c>
    </row>
    <row r="79" spans="1:11" x14ac:dyDescent="0.2">
      <c r="A79" s="2">
        <v>-1</v>
      </c>
      <c r="B79" s="7">
        <v>42541</v>
      </c>
      <c r="C79" s="12" t="s">
        <v>61</v>
      </c>
      <c r="D79" s="12" t="s">
        <v>62</v>
      </c>
      <c r="E79" s="12" t="s">
        <v>40</v>
      </c>
      <c r="F79" s="12" t="s">
        <v>40</v>
      </c>
      <c r="G79" s="14">
        <v>0.9</v>
      </c>
      <c r="H79" s="15">
        <v>-23000</v>
      </c>
      <c r="I79" s="8">
        <v>20700</v>
      </c>
      <c r="J79" s="8">
        <v>0</v>
      </c>
      <c r="K79" s="8">
        <v>4.21</v>
      </c>
    </row>
    <row r="80" spans="1:11" x14ac:dyDescent="0.2">
      <c r="A80" s="2">
        <v>-1</v>
      </c>
      <c r="B80" s="7">
        <v>42543</v>
      </c>
      <c r="C80" s="12" t="s">
        <v>61</v>
      </c>
      <c r="D80" s="12" t="s">
        <v>62</v>
      </c>
      <c r="E80" s="12" t="s">
        <v>40</v>
      </c>
      <c r="F80" s="12" t="s">
        <v>40</v>
      </c>
      <c r="G80" s="14">
        <v>0.91500000000000004</v>
      </c>
      <c r="H80" s="15">
        <v>-22200</v>
      </c>
      <c r="I80" s="8">
        <v>20313</v>
      </c>
      <c r="J80" s="8">
        <v>0</v>
      </c>
      <c r="K80" s="8">
        <v>5.7</v>
      </c>
    </row>
    <row r="81" spans="1:11" x14ac:dyDescent="0.2">
      <c r="A81" s="2">
        <v>-1</v>
      </c>
      <c r="B81" s="7">
        <v>42543</v>
      </c>
      <c r="C81" s="12" t="s">
        <v>53</v>
      </c>
      <c r="D81" s="12" t="s">
        <v>54</v>
      </c>
      <c r="E81" s="12" t="s">
        <v>37</v>
      </c>
      <c r="F81" s="12" t="s">
        <v>37</v>
      </c>
      <c r="G81" s="14">
        <v>101.301</v>
      </c>
      <c r="H81" s="15">
        <v>1000</v>
      </c>
      <c r="I81" s="8">
        <v>-101301</v>
      </c>
      <c r="J81" s="8">
        <v>0</v>
      </c>
      <c r="K81" s="8">
        <v>0</v>
      </c>
    </row>
    <row r="82" spans="1:11" x14ac:dyDescent="0.2">
      <c r="A82" s="2">
        <v>-1</v>
      </c>
      <c r="B82" s="7">
        <v>42543</v>
      </c>
      <c r="C82" s="12" t="s">
        <v>53</v>
      </c>
      <c r="D82" s="12" t="s">
        <v>54</v>
      </c>
      <c r="E82" s="12" t="s">
        <v>37</v>
      </c>
      <c r="F82" s="12" t="s">
        <v>37</v>
      </c>
      <c r="G82" s="14">
        <v>101.29900000000001</v>
      </c>
      <c r="H82" s="15">
        <v>200</v>
      </c>
      <c r="I82" s="8">
        <v>-20259.800000000003</v>
      </c>
      <c r="J82" s="8">
        <v>0</v>
      </c>
      <c r="K82" s="8">
        <v>0</v>
      </c>
    </row>
    <row r="83" spans="1:11" x14ac:dyDescent="0.2">
      <c r="A83" s="2">
        <v>-1</v>
      </c>
      <c r="B83" s="7">
        <v>42545</v>
      </c>
      <c r="C83" s="12" t="s">
        <v>61</v>
      </c>
      <c r="D83" s="12" t="s">
        <v>62</v>
      </c>
      <c r="E83" s="12" t="s">
        <v>37</v>
      </c>
      <c r="F83" s="12" t="s">
        <v>37</v>
      </c>
      <c r="G83" s="14">
        <v>0.88</v>
      </c>
      <c r="H83" s="15">
        <v>22800</v>
      </c>
      <c r="I83" s="8">
        <v>-20064</v>
      </c>
      <c r="J83" s="8">
        <v>0</v>
      </c>
      <c r="K83" s="8">
        <v>4.22</v>
      </c>
    </row>
    <row r="84" spans="1:11" x14ac:dyDescent="0.2">
      <c r="A84" s="2">
        <v>-1</v>
      </c>
      <c r="B84" s="7">
        <v>42545</v>
      </c>
      <c r="C84" s="12" t="s">
        <v>53</v>
      </c>
      <c r="D84" s="12" t="s">
        <v>54</v>
      </c>
      <c r="E84" s="12" t="s">
        <v>40</v>
      </c>
      <c r="F84" s="12" t="s">
        <v>40</v>
      </c>
      <c r="G84" s="14">
        <v>101.315</v>
      </c>
      <c r="H84" s="15">
        <v>-400</v>
      </c>
      <c r="I84" s="8">
        <v>40526</v>
      </c>
      <c r="J84" s="8">
        <v>0</v>
      </c>
      <c r="K84" s="8">
        <v>0</v>
      </c>
    </row>
    <row r="85" spans="1:11" x14ac:dyDescent="0.2">
      <c r="A85" s="2">
        <v>-1</v>
      </c>
      <c r="B85" s="7">
        <v>42548</v>
      </c>
      <c r="C85" s="12" t="s">
        <v>63</v>
      </c>
      <c r="D85" s="12">
        <v>601939</v>
      </c>
      <c r="E85" s="12" t="s">
        <v>37</v>
      </c>
      <c r="F85" s="12" t="s">
        <v>37</v>
      </c>
      <c r="G85" s="14">
        <v>4.95</v>
      </c>
      <c r="H85" s="15">
        <v>5000</v>
      </c>
      <c r="I85" s="8">
        <v>-24750</v>
      </c>
      <c r="J85" s="8">
        <v>0</v>
      </c>
      <c r="K85" s="8">
        <v>5.7</v>
      </c>
    </row>
    <row r="86" spans="1:11" x14ac:dyDescent="0.2">
      <c r="A86" s="2">
        <v>-1</v>
      </c>
      <c r="B86" s="7">
        <v>42549</v>
      </c>
      <c r="C86" s="12" t="s">
        <v>58</v>
      </c>
      <c r="D86" s="12" t="s">
        <v>59</v>
      </c>
      <c r="E86" s="12" t="s">
        <v>37</v>
      </c>
      <c r="F86" s="12" t="s">
        <v>37</v>
      </c>
      <c r="G86" s="14">
        <v>0.55800000000000005</v>
      </c>
      <c r="H86" s="15">
        <v>36000</v>
      </c>
      <c r="I86" s="8">
        <v>-20088.000000000004</v>
      </c>
      <c r="J86" s="8">
        <v>0</v>
      </c>
      <c r="K86" s="8">
        <v>4.22</v>
      </c>
    </row>
    <row r="87" spans="1:11" x14ac:dyDescent="0.2">
      <c r="A87" s="2">
        <v>-1</v>
      </c>
      <c r="B87" s="7">
        <v>42549</v>
      </c>
      <c r="C87" s="12" t="s">
        <v>53</v>
      </c>
      <c r="D87" s="12" t="s">
        <v>54</v>
      </c>
      <c r="E87" s="12" t="s">
        <v>40</v>
      </c>
      <c r="F87" s="12" t="s">
        <v>40</v>
      </c>
      <c r="G87" s="14">
        <v>101.31</v>
      </c>
      <c r="H87" s="15">
        <v>-400</v>
      </c>
      <c r="I87" s="8">
        <v>40524</v>
      </c>
      <c r="J87" s="8">
        <v>0</v>
      </c>
      <c r="K87" s="8">
        <v>0</v>
      </c>
    </row>
    <row r="88" spans="1:11" x14ac:dyDescent="0.2">
      <c r="A88" s="2">
        <v>-1</v>
      </c>
      <c r="B88" s="7">
        <v>42550</v>
      </c>
      <c r="C88" s="12" t="s">
        <v>53</v>
      </c>
      <c r="D88" s="12" t="s">
        <v>54</v>
      </c>
      <c r="E88" s="12" t="s">
        <v>37</v>
      </c>
      <c r="F88" s="12" t="s">
        <v>37</v>
      </c>
      <c r="G88" s="14">
        <v>101.319</v>
      </c>
      <c r="H88" s="15">
        <v>400</v>
      </c>
      <c r="I88" s="8">
        <v>-40527.599999999999</v>
      </c>
      <c r="J88" s="8">
        <v>0</v>
      </c>
      <c r="K88" s="8">
        <v>0</v>
      </c>
    </row>
    <row r="89" spans="1:11" x14ac:dyDescent="0.2">
      <c r="A89" s="2">
        <v>-1</v>
      </c>
      <c r="B89" s="7">
        <v>42551</v>
      </c>
      <c r="C89" s="12" t="s">
        <v>61</v>
      </c>
      <c r="D89" s="12" t="s">
        <v>62</v>
      </c>
      <c r="E89" s="12" t="s">
        <v>40</v>
      </c>
      <c r="F89" s="12" t="s">
        <v>40</v>
      </c>
      <c r="G89" s="14">
        <v>0.92900000000000005</v>
      </c>
      <c r="H89" s="15">
        <v>-23000</v>
      </c>
      <c r="I89" s="8">
        <v>21367</v>
      </c>
      <c r="J89" s="8">
        <v>0</v>
      </c>
      <c r="K89" s="8">
        <v>3.1</v>
      </c>
    </row>
    <row r="90" spans="1:11" x14ac:dyDescent="0.2">
      <c r="A90" s="2">
        <v>-1</v>
      </c>
      <c r="B90" s="7">
        <v>42551</v>
      </c>
      <c r="C90" s="12" t="s">
        <v>63</v>
      </c>
      <c r="D90" s="12">
        <v>601939</v>
      </c>
      <c r="E90" s="12" t="s">
        <v>37</v>
      </c>
      <c r="F90" s="12" t="s">
        <v>37</v>
      </c>
      <c r="G90" s="14">
        <v>4.7300000000000004</v>
      </c>
      <c r="H90" s="15">
        <v>16000</v>
      </c>
      <c r="I90" s="8">
        <v>-75680</v>
      </c>
      <c r="J90" s="8">
        <v>0</v>
      </c>
      <c r="K90" s="8">
        <v>17.400000000000002</v>
      </c>
    </row>
    <row r="91" spans="1:11" x14ac:dyDescent="0.2">
      <c r="A91" s="2">
        <v>-1</v>
      </c>
      <c r="B91" s="7">
        <v>42551</v>
      </c>
      <c r="C91" s="12" t="s">
        <v>56</v>
      </c>
      <c r="D91" s="12" t="s">
        <v>57</v>
      </c>
      <c r="E91" s="12" t="s">
        <v>40</v>
      </c>
      <c r="F91" s="12" t="s">
        <v>40</v>
      </c>
      <c r="G91" s="14">
        <v>1.085</v>
      </c>
      <c r="H91" s="15">
        <v>-13600</v>
      </c>
      <c r="I91" s="8">
        <v>14756</v>
      </c>
      <c r="J91" s="8">
        <v>0</v>
      </c>
      <c r="K91" s="8">
        <v>3.1</v>
      </c>
    </row>
    <row r="92" spans="1:11" x14ac:dyDescent="0.2">
      <c r="A92" s="2">
        <v>-1</v>
      </c>
      <c r="B92" s="7">
        <v>42551</v>
      </c>
      <c r="C92" s="12" t="s">
        <v>53</v>
      </c>
      <c r="D92" s="12" t="s">
        <v>54</v>
      </c>
      <c r="E92" s="12" t="s">
        <v>40</v>
      </c>
      <c r="F92" s="12" t="s">
        <v>40</v>
      </c>
      <c r="G92" s="14">
        <v>101.322</v>
      </c>
      <c r="H92" s="15">
        <v>-300</v>
      </c>
      <c r="I92" s="8">
        <v>30396.600000000002</v>
      </c>
      <c r="J92" s="8">
        <v>0</v>
      </c>
      <c r="K92" s="8">
        <v>0</v>
      </c>
    </row>
    <row r="93" spans="1:11" x14ac:dyDescent="0.2">
      <c r="A93" s="2">
        <v>-1</v>
      </c>
      <c r="B93" s="7">
        <v>42552</v>
      </c>
      <c r="C93" s="12" t="s">
        <v>53</v>
      </c>
      <c r="D93" s="12" t="s">
        <v>54</v>
      </c>
      <c r="E93" s="12" t="s">
        <v>40</v>
      </c>
      <c r="F93" s="12" t="s">
        <v>40</v>
      </c>
      <c r="G93" s="14">
        <v>101.386</v>
      </c>
      <c r="H93" s="15">
        <v>-300</v>
      </c>
      <c r="I93" s="8">
        <v>30415.8</v>
      </c>
      <c r="J93" s="8">
        <v>0</v>
      </c>
      <c r="K93" s="8">
        <v>0</v>
      </c>
    </row>
    <row r="94" spans="1:11" x14ac:dyDescent="0.2">
      <c r="A94" s="2">
        <v>-1</v>
      </c>
      <c r="B94" s="7">
        <v>42562</v>
      </c>
      <c r="C94" s="12" t="s">
        <v>53</v>
      </c>
      <c r="D94" s="12" t="s">
        <v>54</v>
      </c>
      <c r="E94" s="12" t="s">
        <v>37</v>
      </c>
      <c r="F94" s="12" t="s">
        <v>37</v>
      </c>
      <c r="G94" s="14">
        <v>101.44499999999999</v>
      </c>
      <c r="H94" s="15">
        <v>1200</v>
      </c>
      <c r="I94" s="8">
        <v>-121733.99999999999</v>
      </c>
      <c r="J94" s="8">
        <v>0</v>
      </c>
      <c r="K94" s="8">
        <v>0</v>
      </c>
    </row>
    <row r="95" spans="1:11" x14ac:dyDescent="0.2">
      <c r="A95" s="2">
        <v>-1</v>
      </c>
      <c r="B95" s="7">
        <v>42562</v>
      </c>
      <c r="C95" s="12" t="s">
        <v>63</v>
      </c>
      <c r="D95" s="12">
        <v>601939</v>
      </c>
      <c r="E95" s="12" t="s">
        <v>40</v>
      </c>
      <c r="F95" s="12" t="s">
        <v>40</v>
      </c>
      <c r="G95" s="14">
        <v>4.76</v>
      </c>
      <c r="H95" s="15">
        <v>-21000</v>
      </c>
      <c r="I95" s="8">
        <v>99960</v>
      </c>
      <c r="J95" s="8">
        <v>0</v>
      </c>
      <c r="K95" s="8">
        <v>122.96</v>
      </c>
    </row>
    <row r="96" spans="1:11" x14ac:dyDescent="0.2">
      <c r="A96" s="2">
        <v>-1</v>
      </c>
      <c r="B96" s="7">
        <v>42563</v>
      </c>
      <c r="C96" s="12" t="s">
        <v>63</v>
      </c>
      <c r="D96" s="12">
        <v>601939</v>
      </c>
      <c r="E96" s="12" t="s">
        <v>37</v>
      </c>
      <c r="F96" s="12" t="s">
        <v>37</v>
      </c>
      <c r="G96" s="14">
        <v>0</v>
      </c>
      <c r="H96" s="15">
        <v>0</v>
      </c>
      <c r="I96" s="8">
        <v>0</v>
      </c>
      <c r="J96" s="8">
        <v>0</v>
      </c>
      <c r="K96" s="8">
        <v>274</v>
      </c>
    </row>
    <row r="97" spans="1:11" x14ac:dyDescent="0.2">
      <c r="A97" s="2">
        <v>-1</v>
      </c>
      <c r="B97" s="7">
        <v>42572</v>
      </c>
      <c r="C97" s="12" t="s">
        <v>53</v>
      </c>
      <c r="D97" s="12" t="s">
        <v>54</v>
      </c>
      <c r="E97" s="12" t="s">
        <v>37</v>
      </c>
      <c r="F97" s="12" t="s">
        <v>37</v>
      </c>
      <c r="G97" s="14">
        <v>101.524</v>
      </c>
      <c r="H97" s="15">
        <v>200</v>
      </c>
      <c r="I97" s="8">
        <v>-20304.8</v>
      </c>
      <c r="J97" s="8">
        <v>0</v>
      </c>
      <c r="K97" s="8">
        <v>0</v>
      </c>
    </row>
    <row r="98" spans="1:11" x14ac:dyDescent="0.2">
      <c r="A98" s="2">
        <v>-1</v>
      </c>
      <c r="B98" s="7">
        <v>42578</v>
      </c>
      <c r="C98" s="12" t="s">
        <v>53</v>
      </c>
      <c r="D98" s="12" t="s">
        <v>54</v>
      </c>
      <c r="E98" s="12" t="s">
        <v>40</v>
      </c>
      <c r="F98" s="12" t="s">
        <v>40</v>
      </c>
      <c r="G98" s="14">
        <v>101.55800000000001</v>
      </c>
      <c r="H98" s="15">
        <v>-300</v>
      </c>
      <c r="I98" s="8">
        <v>30467.4</v>
      </c>
      <c r="J98" s="8">
        <v>0</v>
      </c>
      <c r="K98" s="8">
        <v>0</v>
      </c>
    </row>
    <row r="99" spans="1:11" x14ac:dyDescent="0.2">
      <c r="A99" s="2">
        <v>-1</v>
      </c>
      <c r="B99" s="7">
        <v>42580</v>
      </c>
      <c r="C99" s="12" t="s">
        <v>53</v>
      </c>
      <c r="D99" s="12" t="s">
        <v>54</v>
      </c>
      <c r="E99" s="12" t="s">
        <v>37</v>
      </c>
      <c r="F99" s="12" t="s">
        <v>37</v>
      </c>
      <c r="G99" s="14">
        <v>101.596</v>
      </c>
      <c r="H99" s="15">
        <v>300</v>
      </c>
      <c r="I99" s="8">
        <v>-30478.800000000003</v>
      </c>
      <c r="J99" s="8">
        <v>0</v>
      </c>
      <c r="K99" s="8">
        <v>0</v>
      </c>
    </row>
    <row r="100" spans="1:11" x14ac:dyDescent="0.2">
      <c r="A100" s="2">
        <v>-1</v>
      </c>
      <c r="B100" s="7">
        <v>42580</v>
      </c>
      <c r="C100" s="12" t="s">
        <v>58</v>
      </c>
      <c r="D100" s="12" t="s">
        <v>59</v>
      </c>
      <c r="E100" s="12" t="s">
        <v>37</v>
      </c>
      <c r="F100" s="12" t="s">
        <v>37</v>
      </c>
      <c r="G100" s="14">
        <v>0.55700000000000005</v>
      </c>
      <c r="H100" s="15">
        <v>36000</v>
      </c>
      <c r="I100" s="8">
        <v>-20052.000000000004</v>
      </c>
      <c r="J100" s="8">
        <v>0</v>
      </c>
      <c r="K100" s="8">
        <v>4.21</v>
      </c>
    </row>
    <row r="101" spans="1:11" x14ac:dyDescent="0.2">
      <c r="A101" s="2">
        <v>-1</v>
      </c>
      <c r="B101" s="7">
        <v>42584</v>
      </c>
      <c r="C101" s="12" t="s">
        <v>53</v>
      </c>
      <c r="D101" s="12">
        <v>511880</v>
      </c>
      <c r="E101" s="12" t="s">
        <v>40</v>
      </c>
      <c r="F101" s="12" t="s">
        <v>40</v>
      </c>
      <c r="G101" s="14">
        <v>101.61199999999999</v>
      </c>
      <c r="H101" s="15">
        <v>-1000</v>
      </c>
      <c r="I101" s="8">
        <v>101612</v>
      </c>
      <c r="J101" s="8">
        <v>0</v>
      </c>
      <c r="K101" s="8">
        <v>0</v>
      </c>
    </row>
    <row r="102" spans="1:11" x14ac:dyDescent="0.2">
      <c r="A102" s="2">
        <v>-1</v>
      </c>
      <c r="B102" s="7">
        <v>42584</v>
      </c>
      <c r="C102" s="12" t="s">
        <v>64</v>
      </c>
      <c r="D102" s="12">
        <v>511010</v>
      </c>
      <c r="E102" s="12" t="s">
        <v>37</v>
      </c>
      <c r="F102" s="12" t="s">
        <v>37</v>
      </c>
      <c r="G102" s="14">
        <v>112.709</v>
      </c>
      <c r="H102" s="15">
        <v>900</v>
      </c>
      <c r="I102" s="8">
        <v>-101438.1</v>
      </c>
      <c r="J102" s="8">
        <v>0</v>
      </c>
      <c r="K102" s="8">
        <v>0</v>
      </c>
    </row>
    <row r="103" spans="1:11" x14ac:dyDescent="0.2">
      <c r="A103" s="2">
        <v>-1</v>
      </c>
      <c r="B103" s="7">
        <v>42584</v>
      </c>
      <c r="C103" s="12" t="s">
        <v>53</v>
      </c>
      <c r="D103" s="12">
        <v>511880</v>
      </c>
      <c r="E103" s="12" t="s">
        <v>40</v>
      </c>
      <c r="F103" s="12" t="s">
        <v>40</v>
      </c>
      <c r="G103" s="14">
        <v>101.61499999999999</v>
      </c>
      <c r="H103" s="15">
        <v>-1000</v>
      </c>
      <c r="I103" s="8">
        <v>101615</v>
      </c>
      <c r="J103" s="8">
        <v>0</v>
      </c>
      <c r="K103" s="8">
        <v>0</v>
      </c>
    </row>
    <row r="104" spans="1:11" x14ac:dyDescent="0.2">
      <c r="A104" s="2">
        <v>-1</v>
      </c>
      <c r="B104" s="7">
        <v>42584</v>
      </c>
      <c r="C104" s="12" t="s">
        <v>64</v>
      </c>
      <c r="D104" s="12">
        <v>511010</v>
      </c>
      <c r="E104" s="12" t="s">
        <v>37</v>
      </c>
      <c r="F104" s="12" t="s">
        <v>37</v>
      </c>
      <c r="G104" s="14">
        <v>112.64100000000001</v>
      </c>
      <c r="H104" s="15">
        <v>900</v>
      </c>
      <c r="I104" s="8">
        <v>-101376.9</v>
      </c>
      <c r="J104" s="8">
        <v>0</v>
      </c>
      <c r="K104" s="8">
        <v>0</v>
      </c>
    </row>
    <row r="105" spans="1:11" x14ac:dyDescent="0.2">
      <c r="A105" s="2">
        <v>-1</v>
      </c>
      <c r="B105" s="7">
        <v>42584</v>
      </c>
      <c r="C105" s="12" t="s">
        <v>53</v>
      </c>
      <c r="D105" s="12">
        <v>511880</v>
      </c>
      <c r="E105" s="12" t="s">
        <v>40</v>
      </c>
      <c r="F105" s="12" t="s">
        <v>40</v>
      </c>
      <c r="G105" s="14">
        <v>101.616</v>
      </c>
      <c r="H105" s="15">
        <v>-100</v>
      </c>
      <c r="I105" s="8">
        <v>10161.6</v>
      </c>
      <c r="J105" s="8">
        <v>0</v>
      </c>
      <c r="K105" s="8">
        <v>0</v>
      </c>
    </row>
    <row r="106" spans="1:11" x14ac:dyDescent="0.2">
      <c r="A106" s="2">
        <v>-1</v>
      </c>
      <c r="B106" s="7">
        <v>42584</v>
      </c>
      <c r="C106" s="12" t="s">
        <v>65</v>
      </c>
      <c r="D106" s="12">
        <v>501018</v>
      </c>
      <c r="E106" s="12" t="s">
        <v>37</v>
      </c>
      <c r="F106" s="12" t="s">
        <v>37</v>
      </c>
      <c r="G106" s="14">
        <v>0.9</v>
      </c>
      <c r="H106" s="15">
        <v>3700</v>
      </c>
      <c r="I106" s="8">
        <v>-3330.7</v>
      </c>
      <c r="J106" s="8">
        <v>0</v>
      </c>
      <c r="K106" s="8">
        <v>0.7</v>
      </c>
    </row>
    <row r="107" spans="1:11" x14ac:dyDescent="0.2">
      <c r="A107" s="2">
        <v>-1</v>
      </c>
      <c r="B107" s="7">
        <v>42587</v>
      </c>
      <c r="C107" s="12" t="s">
        <v>65</v>
      </c>
      <c r="D107" s="12">
        <v>501018</v>
      </c>
      <c r="E107" s="12" t="s">
        <v>37</v>
      </c>
      <c r="F107" s="12" t="s">
        <v>37</v>
      </c>
      <c r="G107" s="14">
        <v>0.88300000000000001</v>
      </c>
      <c r="H107" s="15">
        <v>2000</v>
      </c>
      <c r="I107" s="8">
        <v>-1766.37</v>
      </c>
      <c r="J107" s="8">
        <v>0</v>
      </c>
      <c r="K107" s="8">
        <v>0.37</v>
      </c>
    </row>
    <row r="108" spans="1:11" x14ac:dyDescent="0.2">
      <c r="A108" s="2">
        <v>-1</v>
      </c>
      <c r="B108" s="7">
        <v>42592</v>
      </c>
      <c r="C108" s="12" t="s">
        <v>53</v>
      </c>
      <c r="D108" s="12">
        <v>511880</v>
      </c>
      <c r="E108" s="12" t="s">
        <v>40</v>
      </c>
      <c r="F108" s="12" t="s">
        <v>40</v>
      </c>
      <c r="G108" s="14">
        <v>101.667</v>
      </c>
      <c r="H108" s="15">
        <v>-1000</v>
      </c>
      <c r="I108" s="8">
        <v>101667</v>
      </c>
      <c r="J108" s="8">
        <v>0</v>
      </c>
      <c r="K108" s="8">
        <v>0</v>
      </c>
    </row>
    <row r="109" spans="1:11" x14ac:dyDescent="0.2">
      <c r="A109" s="2">
        <v>-1</v>
      </c>
      <c r="B109" s="7">
        <v>42593</v>
      </c>
      <c r="C109" s="12" t="s">
        <v>64</v>
      </c>
      <c r="D109" s="12">
        <v>511010</v>
      </c>
      <c r="E109" s="12" t="s">
        <v>37</v>
      </c>
      <c r="F109" s="12" t="s">
        <v>37</v>
      </c>
      <c r="G109" s="14">
        <v>113.163</v>
      </c>
      <c r="H109" s="15">
        <v>900</v>
      </c>
      <c r="I109" s="8">
        <v>-101846.7</v>
      </c>
      <c r="J109" s="8">
        <v>0</v>
      </c>
      <c r="K109" s="8">
        <v>0</v>
      </c>
    </row>
    <row r="110" spans="1:11" x14ac:dyDescent="0.2">
      <c r="A110" s="2">
        <v>-1</v>
      </c>
      <c r="B110" s="7">
        <v>42594</v>
      </c>
      <c r="C110" s="12" t="s">
        <v>58</v>
      </c>
      <c r="D110" s="12">
        <v>162411</v>
      </c>
      <c r="E110" s="12" t="s">
        <v>40</v>
      </c>
      <c r="F110" s="12" t="s">
        <v>40</v>
      </c>
      <c r="G110" s="14">
        <v>0.58899999999999997</v>
      </c>
      <c r="H110" s="15">
        <v>-72000</v>
      </c>
      <c r="I110" s="8">
        <v>42399.09</v>
      </c>
      <c r="J110" s="8">
        <v>0</v>
      </c>
      <c r="K110" s="8">
        <v>8.91</v>
      </c>
    </row>
    <row r="111" spans="1:11" x14ac:dyDescent="0.2">
      <c r="A111" s="2">
        <v>-1</v>
      </c>
      <c r="B111" s="7">
        <v>42594</v>
      </c>
      <c r="C111" s="12" t="s">
        <v>64</v>
      </c>
      <c r="D111" s="12">
        <v>511010</v>
      </c>
      <c r="E111" s="12" t="s">
        <v>37</v>
      </c>
      <c r="F111" s="12" t="s">
        <v>37</v>
      </c>
      <c r="G111" s="14">
        <v>113.02200000000001</v>
      </c>
      <c r="H111" s="15">
        <v>300</v>
      </c>
      <c r="I111" s="8">
        <v>-33906.6</v>
      </c>
      <c r="J111" s="8">
        <v>0</v>
      </c>
      <c r="K111" s="8">
        <v>0</v>
      </c>
    </row>
    <row r="112" spans="1:11" x14ac:dyDescent="0.2">
      <c r="A112" s="2">
        <v>-1</v>
      </c>
      <c r="B112" s="7">
        <v>42597</v>
      </c>
      <c r="C112" s="12" t="s">
        <v>64</v>
      </c>
      <c r="D112" s="12">
        <v>511010</v>
      </c>
      <c r="E112" s="12" t="s">
        <v>37</v>
      </c>
      <c r="F112" s="12" t="s">
        <v>37</v>
      </c>
      <c r="G112" s="14">
        <v>112.877</v>
      </c>
      <c r="H112" s="15">
        <v>100</v>
      </c>
      <c r="I112" s="8">
        <v>-11287.7</v>
      </c>
      <c r="J112" s="8">
        <v>0</v>
      </c>
      <c r="K112" s="8">
        <v>0</v>
      </c>
    </row>
    <row r="113" spans="1:11" x14ac:dyDescent="0.2">
      <c r="A113" s="2">
        <v>-1</v>
      </c>
      <c r="B113" s="7">
        <v>42601</v>
      </c>
      <c r="C113" s="12" t="s">
        <v>64</v>
      </c>
      <c r="D113" s="12">
        <v>511010</v>
      </c>
      <c r="E113" s="12" t="s">
        <v>37</v>
      </c>
      <c r="F113" s="12" t="s">
        <v>37</v>
      </c>
      <c r="G113" s="14">
        <v>112.907</v>
      </c>
      <c r="H113" s="15">
        <v>100</v>
      </c>
      <c r="I113" s="8">
        <v>-11290.7</v>
      </c>
      <c r="J113" s="8">
        <v>0</v>
      </c>
      <c r="K113" s="8">
        <v>0</v>
      </c>
    </row>
    <row r="114" spans="1:11" x14ac:dyDescent="0.2">
      <c r="A114" s="2">
        <v>-1</v>
      </c>
      <c r="B114" s="7">
        <v>42639</v>
      </c>
      <c r="C114" s="12" t="s">
        <v>58</v>
      </c>
      <c r="D114" s="12">
        <v>162411</v>
      </c>
      <c r="E114" s="12" t="s">
        <v>37</v>
      </c>
      <c r="F114" s="12" t="s">
        <v>37</v>
      </c>
      <c r="G114" s="14">
        <v>0.60199999999999998</v>
      </c>
      <c r="H114" s="15">
        <v>5500</v>
      </c>
      <c r="I114" s="8">
        <v>-3311.7</v>
      </c>
      <c r="J114" s="8">
        <v>0</v>
      </c>
      <c r="K114" s="8">
        <v>0.7</v>
      </c>
    </row>
    <row r="115" spans="1:11" x14ac:dyDescent="0.2">
      <c r="A115" s="2">
        <v>-1</v>
      </c>
      <c r="B115" s="7">
        <v>42642</v>
      </c>
      <c r="C115" s="12" t="s">
        <v>65</v>
      </c>
      <c r="D115" s="12">
        <v>501018</v>
      </c>
      <c r="E115" s="12" t="s">
        <v>40</v>
      </c>
      <c r="F115" s="12" t="s">
        <v>40</v>
      </c>
      <c r="G115" s="14">
        <v>0.93</v>
      </c>
      <c r="H115" s="15">
        <v>-5700</v>
      </c>
      <c r="I115" s="8">
        <v>5299.89</v>
      </c>
      <c r="J115" s="8">
        <v>0</v>
      </c>
      <c r="K115" s="8">
        <v>1.1100000000000001</v>
      </c>
    </row>
    <row r="116" spans="1:11" x14ac:dyDescent="0.2">
      <c r="A116" s="2">
        <v>-1</v>
      </c>
      <c r="B116" s="7">
        <v>42653</v>
      </c>
      <c r="C116" s="12" t="s">
        <v>58</v>
      </c>
      <c r="D116" s="12">
        <v>162411</v>
      </c>
      <c r="E116" s="12" t="s">
        <v>40</v>
      </c>
      <c r="F116" s="12" t="s">
        <v>40</v>
      </c>
      <c r="G116" s="14">
        <v>0.63200000000000001</v>
      </c>
      <c r="H116" s="15">
        <v>-5500</v>
      </c>
      <c r="I116" s="8">
        <v>3475.27</v>
      </c>
      <c r="J116" s="8">
        <v>0</v>
      </c>
      <c r="K116" s="8">
        <v>0.73</v>
      </c>
    </row>
    <row r="117" spans="1:11" x14ac:dyDescent="0.2">
      <c r="A117" s="2">
        <v>-1</v>
      </c>
      <c r="B117" s="7">
        <v>42668</v>
      </c>
      <c r="C117" s="12" t="s">
        <v>64</v>
      </c>
      <c r="D117" s="12">
        <v>511010</v>
      </c>
      <c r="E117" s="12" t="s">
        <v>37</v>
      </c>
      <c r="F117" s="12" t="s">
        <v>37</v>
      </c>
      <c r="G117" s="14">
        <v>113.702</v>
      </c>
      <c r="H117" s="15">
        <v>200</v>
      </c>
      <c r="I117" s="8">
        <v>-22740.400000000001</v>
      </c>
      <c r="J117" s="8">
        <v>0</v>
      </c>
      <c r="K117" s="8">
        <v>0</v>
      </c>
    </row>
    <row r="118" spans="1:11" x14ac:dyDescent="0.2">
      <c r="A118" s="2">
        <v>-1</v>
      </c>
      <c r="B118" s="7">
        <v>42677</v>
      </c>
      <c r="C118" s="12" t="s">
        <v>64</v>
      </c>
      <c r="D118" s="12">
        <v>511010</v>
      </c>
      <c r="E118" s="12" t="s">
        <v>40</v>
      </c>
      <c r="F118" s="12" t="s">
        <v>40</v>
      </c>
      <c r="G118" s="14">
        <v>113.446</v>
      </c>
      <c r="H118" s="15">
        <v>-900</v>
      </c>
      <c r="I118" s="8">
        <v>102101.4</v>
      </c>
      <c r="J118" s="8">
        <v>0</v>
      </c>
      <c r="K118" s="8">
        <v>0</v>
      </c>
    </row>
    <row r="119" spans="1:11" x14ac:dyDescent="0.2">
      <c r="A119" s="2">
        <v>-1</v>
      </c>
      <c r="B119" s="7">
        <v>42682</v>
      </c>
      <c r="C119" s="12" t="s">
        <v>58</v>
      </c>
      <c r="D119" s="12">
        <v>162411</v>
      </c>
      <c r="E119" s="12" t="s">
        <v>37</v>
      </c>
      <c r="F119" s="12" t="s">
        <v>37</v>
      </c>
      <c r="G119" s="14">
        <v>0.60199999999999998</v>
      </c>
      <c r="H119" s="15">
        <v>167000</v>
      </c>
      <c r="I119" s="8">
        <v>-100555.11</v>
      </c>
      <c r="J119" s="8">
        <v>0</v>
      </c>
      <c r="K119" s="8">
        <v>21.11</v>
      </c>
    </row>
    <row r="120" spans="1:11" x14ac:dyDescent="0.2">
      <c r="A120" s="2">
        <v>-1</v>
      </c>
      <c r="B120" s="7">
        <v>42683</v>
      </c>
      <c r="C120" s="12" t="s">
        <v>58</v>
      </c>
      <c r="D120" s="12">
        <v>162411</v>
      </c>
      <c r="E120" s="12" t="s">
        <v>37</v>
      </c>
      <c r="F120" s="12" t="s">
        <v>37</v>
      </c>
      <c r="G120" s="14">
        <v>0.58499999999999996</v>
      </c>
      <c r="H120" s="15">
        <v>74900</v>
      </c>
      <c r="I120" s="8">
        <v>-43825.7</v>
      </c>
      <c r="J120" s="8">
        <v>0</v>
      </c>
      <c r="K120" s="8">
        <v>9.1999999999999993</v>
      </c>
    </row>
    <row r="121" spans="1:11" x14ac:dyDescent="0.2">
      <c r="A121" s="2">
        <v>-1</v>
      </c>
      <c r="B121" s="7">
        <v>42683</v>
      </c>
      <c r="C121" s="12" t="s">
        <v>64</v>
      </c>
      <c r="D121" s="12">
        <v>511010</v>
      </c>
      <c r="E121" s="12" t="s">
        <v>40</v>
      </c>
      <c r="F121" s="12" t="s">
        <v>40</v>
      </c>
      <c r="G121" s="14">
        <v>113.524</v>
      </c>
      <c r="H121" s="15">
        <v>-900</v>
      </c>
      <c r="I121" s="8">
        <v>102171.6</v>
      </c>
      <c r="J121" s="8">
        <v>0</v>
      </c>
      <c r="K121" s="8">
        <v>0</v>
      </c>
    </row>
    <row r="122" spans="1:11" x14ac:dyDescent="0.2">
      <c r="A122" s="2">
        <v>-1</v>
      </c>
      <c r="B122" s="7">
        <v>42690</v>
      </c>
      <c r="C122" s="12" t="s">
        <v>53</v>
      </c>
      <c r="D122" s="12">
        <v>511880</v>
      </c>
      <c r="E122" s="12" t="s">
        <v>40</v>
      </c>
      <c r="F122" s="12" t="s">
        <v>40</v>
      </c>
      <c r="G122" s="14">
        <v>102.322</v>
      </c>
      <c r="H122" s="15">
        <v>-1000</v>
      </c>
      <c r="I122" s="8">
        <v>102322</v>
      </c>
      <c r="J122" s="8">
        <v>0</v>
      </c>
      <c r="K122" s="8">
        <v>0</v>
      </c>
    </row>
    <row r="123" spans="1:11" x14ac:dyDescent="0.2">
      <c r="A123" s="2">
        <v>-1</v>
      </c>
      <c r="B123" s="7">
        <v>42690</v>
      </c>
      <c r="C123" s="12" t="s">
        <v>64</v>
      </c>
      <c r="D123" s="12">
        <v>511010</v>
      </c>
      <c r="E123" s="12" t="s">
        <v>40</v>
      </c>
      <c r="F123" s="12" t="s">
        <v>40</v>
      </c>
      <c r="G123" s="14">
        <v>112.91500000000001</v>
      </c>
      <c r="H123" s="15">
        <v>-1600</v>
      </c>
      <c r="I123" s="8">
        <v>180664</v>
      </c>
      <c r="J123" s="8">
        <v>0</v>
      </c>
      <c r="K123" s="8">
        <v>0</v>
      </c>
    </row>
    <row r="124" spans="1:11" x14ac:dyDescent="0.2">
      <c r="A124" s="2">
        <v>-1</v>
      </c>
      <c r="B124" s="7">
        <v>42690</v>
      </c>
      <c r="C124" s="12" t="s">
        <v>53</v>
      </c>
      <c r="D124" s="12">
        <v>511880</v>
      </c>
      <c r="E124" s="12" t="s">
        <v>37</v>
      </c>
      <c r="F124" s="12" t="s">
        <v>37</v>
      </c>
      <c r="G124" s="14">
        <v>102.324</v>
      </c>
      <c r="H124" s="15">
        <v>1000</v>
      </c>
      <c r="I124" s="8">
        <v>-102324</v>
      </c>
      <c r="J124" s="8">
        <v>0</v>
      </c>
      <c r="K124" s="8">
        <v>0</v>
      </c>
    </row>
    <row r="125" spans="1:11" x14ac:dyDescent="0.2">
      <c r="A125" s="2">
        <v>-1</v>
      </c>
      <c r="B125" s="7">
        <v>42690</v>
      </c>
      <c r="C125" s="12" t="s">
        <v>58</v>
      </c>
      <c r="D125" s="12">
        <v>162411</v>
      </c>
      <c r="E125" s="12" t="s">
        <v>40</v>
      </c>
      <c r="F125" s="12" t="s">
        <v>40</v>
      </c>
      <c r="G125" s="14">
        <v>0.64500000000000002</v>
      </c>
      <c r="H125" s="15">
        <v>-156000</v>
      </c>
      <c r="I125" s="8">
        <v>100598.87</v>
      </c>
      <c r="J125" s="8">
        <v>0</v>
      </c>
      <c r="K125" s="8">
        <v>21.13</v>
      </c>
    </row>
    <row r="126" spans="1:11" x14ac:dyDescent="0.2">
      <c r="A126" s="2">
        <v>-1</v>
      </c>
      <c r="B126" s="7">
        <v>42690</v>
      </c>
      <c r="C126" s="12" t="s">
        <v>66</v>
      </c>
      <c r="D126" s="12">
        <v>940037</v>
      </c>
      <c r="E126" s="12" t="s">
        <v>67</v>
      </c>
      <c r="F126" s="12" t="s">
        <v>67</v>
      </c>
      <c r="G126" s="14">
        <v>1</v>
      </c>
      <c r="H126" s="15">
        <v>0</v>
      </c>
      <c r="I126" s="8">
        <v>-340000</v>
      </c>
      <c r="J126" s="8">
        <v>0</v>
      </c>
      <c r="K126" s="8">
        <v>0</v>
      </c>
    </row>
    <row r="127" spans="1:11" x14ac:dyDescent="0.2">
      <c r="A127" s="2">
        <v>-1</v>
      </c>
      <c r="B127" s="7">
        <v>42691</v>
      </c>
      <c r="C127" s="12" t="s">
        <v>58</v>
      </c>
      <c r="D127" s="12">
        <v>162411</v>
      </c>
      <c r="E127" s="12" t="s">
        <v>40</v>
      </c>
      <c r="F127" s="12" t="s">
        <v>40</v>
      </c>
      <c r="G127" s="14">
        <v>0.64700000000000002</v>
      </c>
      <c r="H127" s="15">
        <v>-85900</v>
      </c>
      <c r="I127" s="8">
        <v>55565.63</v>
      </c>
      <c r="J127" s="8">
        <v>0</v>
      </c>
      <c r="K127" s="8">
        <v>11.67</v>
      </c>
    </row>
    <row r="128" spans="1:11" x14ac:dyDescent="0.2">
      <c r="A128" s="2">
        <v>-1</v>
      </c>
      <c r="B128" s="7">
        <v>42691</v>
      </c>
      <c r="C128" s="12" t="s">
        <v>53</v>
      </c>
      <c r="D128" s="12">
        <v>511880</v>
      </c>
      <c r="E128" s="12" t="s">
        <v>37</v>
      </c>
      <c r="F128" s="12" t="s">
        <v>37</v>
      </c>
      <c r="G128" s="14">
        <v>102.32899999999999</v>
      </c>
      <c r="H128" s="15">
        <v>500</v>
      </c>
      <c r="I128" s="8">
        <v>-51164.5</v>
      </c>
      <c r="J128" s="8">
        <v>0</v>
      </c>
      <c r="K128" s="8">
        <v>0</v>
      </c>
    </row>
    <row r="129" spans="1:11" x14ac:dyDescent="0.2">
      <c r="A129" s="2">
        <v>-1</v>
      </c>
      <c r="B129" s="7">
        <v>42696</v>
      </c>
      <c r="C129" s="12" t="s">
        <v>66</v>
      </c>
      <c r="D129" s="12">
        <v>940037</v>
      </c>
      <c r="E129" s="12" t="s">
        <v>67</v>
      </c>
      <c r="F129" s="12" t="s">
        <v>67</v>
      </c>
      <c r="G129" s="14">
        <v>1</v>
      </c>
      <c r="H129" s="15">
        <v>0</v>
      </c>
      <c r="I129" s="8">
        <v>-10000</v>
      </c>
      <c r="J129" s="8">
        <v>0</v>
      </c>
      <c r="K129" s="8">
        <v>0</v>
      </c>
    </row>
    <row r="130" spans="1:11" x14ac:dyDescent="0.2">
      <c r="A130" s="2">
        <v>-1</v>
      </c>
      <c r="B130" s="7">
        <v>42696</v>
      </c>
      <c r="C130" s="12" t="s">
        <v>53</v>
      </c>
      <c r="D130" s="12">
        <v>511880</v>
      </c>
      <c r="E130" s="12" t="s">
        <v>37</v>
      </c>
      <c r="F130" s="12" t="s">
        <v>37</v>
      </c>
      <c r="G130" s="14">
        <v>102.367</v>
      </c>
      <c r="H130" s="15">
        <v>100</v>
      </c>
      <c r="I130" s="8">
        <v>-10236.700000000001</v>
      </c>
      <c r="J130" s="8">
        <v>0</v>
      </c>
      <c r="K130" s="8">
        <v>0</v>
      </c>
    </row>
    <row r="131" spans="1:11" x14ac:dyDescent="0.2">
      <c r="A131" s="2">
        <v>-1</v>
      </c>
      <c r="B131" s="7">
        <v>42724</v>
      </c>
      <c r="C131" s="11" t="s">
        <v>34</v>
      </c>
      <c r="D131" s="12">
        <v>940018</v>
      </c>
      <c r="E131" s="12" t="s">
        <v>67</v>
      </c>
      <c r="F131" s="12" t="s">
        <v>67</v>
      </c>
      <c r="G131" s="14">
        <v>1</v>
      </c>
      <c r="H131" s="15">
        <v>0</v>
      </c>
      <c r="I131" s="8">
        <v>-99017.26</v>
      </c>
      <c r="J131" s="8">
        <v>0</v>
      </c>
      <c r="K131" s="8">
        <v>0</v>
      </c>
    </row>
    <row r="132" spans="1:11" x14ac:dyDescent="0.2">
      <c r="A132" s="2">
        <v>-1</v>
      </c>
      <c r="B132" s="7">
        <v>42724</v>
      </c>
      <c r="C132" s="12" t="s">
        <v>53</v>
      </c>
      <c r="D132" s="12">
        <v>511880</v>
      </c>
      <c r="E132" s="12" t="s">
        <v>40</v>
      </c>
      <c r="F132" s="12" t="s">
        <v>40</v>
      </c>
      <c r="G132" s="14">
        <v>102.497</v>
      </c>
      <c r="H132" s="15">
        <v>-900</v>
      </c>
      <c r="I132" s="8">
        <v>92247.3</v>
      </c>
      <c r="J132" s="8">
        <v>0</v>
      </c>
      <c r="K132" s="8">
        <v>0</v>
      </c>
    </row>
    <row r="133" spans="1:11" x14ac:dyDescent="0.2">
      <c r="A133" s="2">
        <v>-1</v>
      </c>
      <c r="B133" s="7">
        <v>42725</v>
      </c>
      <c r="C133" s="12" t="s">
        <v>56</v>
      </c>
      <c r="D133" s="12">
        <v>159920</v>
      </c>
      <c r="E133" s="12" t="s">
        <v>37</v>
      </c>
      <c r="F133" s="12" t="s">
        <v>37</v>
      </c>
      <c r="G133" s="14">
        <v>1.204</v>
      </c>
      <c r="H133" s="15">
        <v>19000</v>
      </c>
      <c r="I133" s="8">
        <v>-22880.58</v>
      </c>
      <c r="J133" s="8">
        <v>0</v>
      </c>
      <c r="K133" s="8">
        <v>4.58</v>
      </c>
    </row>
    <row r="134" spans="1:11" x14ac:dyDescent="0.2">
      <c r="A134" s="2">
        <v>-1</v>
      </c>
      <c r="B134" s="7">
        <v>42725</v>
      </c>
      <c r="C134" s="12" t="s">
        <v>56</v>
      </c>
      <c r="D134" s="12">
        <v>159920</v>
      </c>
      <c r="E134" s="12" t="s">
        <v>37</v>
      </c>
      <c r="F134" s="12" t="s">
        <v>37</v>
      </c>
      <c r="G134" s="14">
        <v>1.206</v>
      </c>
      <c r="H134" s="15">
        <v>19000</v>
      </c>
      <c r="I134" s="8">
        <v>-22918.58</v>
      </c>
      <c r="J134" s="8">
        <v>0</v>
      </c>
      <c r="K134" s="8">
        <v>4.58</v>
      </c>
    </row>
    <row r="135" spans="1:11" x14ac:dyDescent="0.2">
      <c r="A135" s="2">
        <v>-1</v>
      </c>
      <c r="B135" s="7">
        <v>42725</v>
      </c>
      <c r="C135" s="11" t="s">
        <v>34</v>
      </c>
      <c r="D135" s="12">
        <v>940018</v>
      </c>
      <c r="E135" s="12" t="s">
        <v>67</v>
      </c>
      <c r="F135" s="12" t="s">
        <v>67</v>
      </c>
      <c r="G135" s="14">
        <v>1</v>
      </c>
      <c r="H135" s="15">
        <v>0</v>
      </c>
      <c r="I135" s="8">
        <v>-191178</v>
      </c>
      <c r="J135" s="8">
        <v>0</v>
      </c>
      <c r="K135" s="8">
        <v>0</v>
      </c>
    </row>
    <row r="136" spans="1:11" x14ac:dyDescent="0.2">
      <c r="A136" s="2">
        <v>-1</v>
      </c>
      <c r="B136" s="7">
        <v>42725</v>
      </c>
      <c r="C136" s="12" t="s">
        <v>56</v>
      </c>
      <c r="D136" s="12">
        <v>159920</v>
      </c>
      <c r="E136" s="12" t="s">
        <v>37</v>
      </c>
      <c r="F136" s="12" t="s">
        <v>37</v>
      </c>
      <c r="G136" s="14">
        <v>1.2050000000000001</v>
      </c>
      <c r="H136" s="15">
        <v>19000</v>
      </c>
      <c r="I136" s="8">
        <v>-22899.58</v>
      </c>
      <c r="J136" s="8">
        <v>0</v>
      </c>
      <c r="K136" s="8">
        <v>4.58</v>
      </c>
    </row>
    <row r="137" spans="1:11" x14ac:dyDescent="0.2">
      <c r="A137" s="2">
        <v>-1</v>
      </c>
      <c r="B137" s="7">
        <v>42726</v>
      </c>
      <c r="C137" s="12" t="s">
        <v>61</v>
      </c>
      <c r="D137" s="12">
        <v>510900</v>
      </c>
      <c r="E137" s="12" t="s">
        <v>37</v>
      </c>
      <c r="F137" s="12" t="s">
        <v>37</v>
      </c>
      <c r="G137" s="14">
        <v>1.036</v>
      </c>
      <c r="H137" s="15">
        <v>22000</v>
      </c>
      <c r="I137" s="8">
        <v>-22792</v>
      </c>
      <c r="J137" s="8">
        <v>0</v>
      </c>
      <c r="K137" s="8">
        <v>4.5599999999999996</v>
      </c>
    </row>
    <row r="138" spans="1:11" x14ac:dyDescent="0.2">
      <c r="A138" s="2">
        <v>-1</v>
      </c>
      <c r="B138" s="7">
        <v>42726</v>
      </c>
      <c r="C138" s="12" t="s">
        <v>61</v>
      </c>
      <c r="D138" s="12">
        <v>510900</v>
      </c>
      <c r="E138" s="12" t="s">
        <v>37</v>
      </c>
      <c r="F138" s="12" t="s">
        <v>37</v>
      </c>
      <c r="G138" s="14">
        <v>1.034</v>
      </c>
      <c r="H138" s="15">
        <v>10000</v>
      </c>
      <c r="I138" s="8">
        <v>-10340</v>
      </c>
      <c r="J138" s="8">
        <v>0</v>
      </c>
      <c r="K138" s="8">
        <v>2.0699999999999998</v>
      </c>
    </row>
    <row r="139" spans="1:11" x14ac:dyDescent="0.2">
      <c r="A139" s="2">
        <v>-1</v>
      </c>
      <c r="B139" s="7">
        <v>42726</v>
      </c>
      <c r="C139" s="11" t="s">
        <v>34</v>
      </c>
      <c r="D139" s="12">
        <v>940018</v>
      </c>
      <c r="E139" s="12" t="s">
        <v>67</v>
      </c>
      <c r="F139" s="12" t="s">
        <v>67</v>
      </c>
      <c r="G139" s="14">
        <v>1</v>
      </c>
      <c r="H139" s="15">
        <v>0</v>
      </c>
      <c r="I139" s="8">
        <v>-58192.19</v>
      </c>
      <c r="J139" s="8">
        <v>0</v>
      </c>
      <c r="K139" s="8">
        <v>0</v>
      </c>
    </row>
    <row r="140" spans="1:11" x14ac:dyDescent="0.2">
      <c r="A140" s="2">
        <v>-1</v>
      </c>
      <c r="B140" s="7">
        <v>42727</v>
      </c>
      <c r="C140" s="11" t="s">
        <v>34</v>
      </c>
      <c r="D140" s="12">
        <v>940018</v>
      </c>
      <c r="E140" s="12" t="s">
        <v>67</v>
      </c>
      <c r="F140" s="12" t="s">
        <v>67</v>
      </c>
      <c r="G140" s="14">
        <v>1</v>
      </c>
      <c r="H140" s="15">
        <v>0</v>
      </c>
      <c r="I140" s="8">
        <v>-1</v>
      </c>
      <c r="J140" s="8">
        <v>0</v>
      </c>
      <c r="K140" s="8">
        <v>0</v>
      </c>
    </row>
    <row r="141" spans="1:11" x14ac:dyDescent="0.2">
      <c r="A141" s="2">
        <v>-1</v>
      </c>
      <c r="B141" s="7">
        <v>42731</v>
      </c>
      <c r="C141" s="11" t="s">
        <v>34</v>
      </c>
      <c r="D141" s="12">
        <v>940018</v>
      </c>
      <c r="E141" s="12" t="s">
        <v>67</v>
      </c>
      <c r="F141" s="12" t="s">
        <v>67</v>
      </c>
      <c r="G141" s="14">
        <v>1</v>
      </c>
      <c r="H141" s="15">
        <v>0</v>
      </c>
      <c r="I141" s="8">
        <v>-48373.14</v>
      </c>
      <c r="J141" s="8">
        <v>0</v>
      </c>
      <c r="K141" s="8">
        <v>0</v>
      </c>
    </row>
    <row r="142" spans="1:11" x14ac:dyDescent="0.2">
      <c r="A142" s="2">
        <v>-1</v>
      </c>
      <c r="B142" s="7">
        <v>42731</v>
      </c>
      <c r="C142" s="11" t="s">
        <v>34</v>
      </c>
      <c r="D142" s="12">
        <v>940018</v>
      </c>
      <c r="E142" s="12" t="s">
        <v>67</v>
      </c>
      <c r="F142" s="12" t="s">
        <v>67</v>
      </c>
      <c r="G142" s="14">
        <v>1</v>
      </c>
      <c r="H142" s="15">
        <v>348389</v>
      </c>
      <c r="I142" s="8">
        <v>348389.14</v>
      </c>
      <c r="J142" s="8">
        <v>0</v>
      </c>
      <c r="K142" s="8">
        <v>0</v>
      </c>
    </row>
    <row r="143" spans="1:11" x14ac:dyDescent="0.2">
      <c r="A143" s="2">
        <v>-1</v>
      </c>
      <c r="B143" s="7">
        <v>42731</v>
      </c>
      <c r="C143" s="12" t="s">
        <v>69</v>
      </c>
      <c r="D143" s="12">
        <v>204007</v>
      </c>
      <c r="E143" s="12" t="s">
        <v>40</v>
      </c>
      <c r="F143" s="12" t="s">
        <v>40</v>
      </c>
      <c r="G143" s="14">
        <v>6</v>
      </c>
      <c r="H143" s="15">
        <v>300</v>
      </c>
      <c r="I143" s="8">
        <v>-300015</v>
      </c>
      <c r="J143" s="8">
        <v>0</v>
      </c>
      <c r="K143" s="8">
        <v>0</v>
      </c>
    </row>
    <row r="144" spans="1:11" x14ac:dyDescent="0.2">
      <c r="A144" s="2">
        <v>-1</v>
      </c>
      <c r="B144" s="7">
        <v>42732</v>
      </c>
      <c r="C144" s="11" t="s">
        <v>34</v>
      </c>
      <c r="D144" s="12">
        <v>940018</v>
      </c>
      <c r="E144" s="12" t="s">
        <v>67</v>
      </c>
      <c r="F144" s="12" t="s">
        <v>67</v>
      </c>
      <c r="G144" s="14">
        <v>1</v>
      </c>
      <c r="H144" s="15">
        <v>0</v>
      </c>
      <c r="I144" s="8">
        <v>-1</v>
      </c>
      <c r="J144" s="8">
        <v>0</v>
      </c>
      <c r="K144" s="8">
        <v>0</v>
      </c>
    </row>
    <row r="145" spans="1:13" x14ac:dyDescent="0.2">
      <c r="A145" s="3" t="str">
        <f>"2334"</f>
        <v>2334</v>
      </c>
      <c r="B145" s="4">
        <v>42738</v>
      </c>
      <c r="C145" s="11" t="s">
        <v>34</v>
      </c>
      <c r="D145" s="11">
        <v>940018</v>
      </c>
      <c r="E145" s="11" t="str">
        <f>"卖出"</f>
        <v>卖出</v>
      </c>
      <c r="F145" s="11" t="str">
        <f>"基金资金拨出"</f>
        <v>基金资金拨出</v>
      </c>
      <c r="G145" s="13">
        <v>0</v>
      </c>
      <c r="H145" s="1">
        <v>0</v>
      </c>
      <c r="I145" s="5">
        <v>-8208.42</v>
      </c>
      <c r="J145" s="5">
        <v>-8208.42</v>
      </c>
      <c r="K145" s="1">
        <v>0</v>
      </c>
      <c r="L145" s="1" t="str">
        <f t="shared" ref="L145:L146" si="0">" "</f>
        <v xml:space="preserve"> </v>
      </c>
      <c r="M145" s="1" t="str">
        <f>"122扣除金额 基金代码：940018"</f>
        <v>122扣除金额 基金代码：940018</v>
      </c>
    </row>
    <row r="146" spans="1:13" x14ac:dyDescent="0.2">
      <c r="A146" s="3" t="str">
        <f>"2335"</f>
        <v>2335</v>
      </c>
      <c r="B146" s="4">
        <v>42738</v>
      </c>
      <c r="C146" s="11" t="s">
        <v>34</v>
      </c>
      <c r="D146" s="11">
        <v>940018</v>
      </c>
      <c r="E146" s="11" t="str">
        <f>"卖出"</f>
        <v>卖出</v>
      </c>
      <c r="F146" s="11" t="str">
        <f>"基金资金拨入"</f>
        <v>基金资金拨入</v>
      </c>
      <c r="G146" s="13">
        <v>0</v>
      </c>
      <c r="H146" s="1">
        <v>0</v>
      </c>
      <c r="I146" s="5">
        <v>48454.42</v>
      </c>
      <c r="J146" s="5">
        <v>40246</v>
      </c>
      <c r="K146" s="1">
        <v>0</v>
      </c>
      <c r="L146" s="1" t="str">
        <f t="shared" si="0"/>
        <v xml:space="preserve"> </v>
      </c>
      <c r="M146" s="1" t="str">
        <f>"124增加金额 基金代码：940018,发生份额：48454.42"</f>
        <v>124增加金额 基金代码：940018,发生份额：48454.42</v>
      </c>
    </row>
    <row r="147" spans="1:13" x14ac:dyDescent="0.2">
      <c r="A147" s="3" t="str">
        <f>"4281"</f>
        <v>4281</v>
      </c>
      <c r="B147" s="4">
        <v>42738</v>
      </c>
      <c r="C147" s="11" t="str">
        <f>"银华日利"</f>
        <v>银华日利</v>
      </c>
      <c r="D147" s="11" t="str">
        <f>"511880"</f>
        <v>511880</v>
      </c>
      <c r="E147" s="11" t="str">
        <f>"买入"</f>
        <v>买入</v>
      </c>
      <c r="F147" s="11" t="str">
        <f>"证券买入"</f>
        <v>证券买入</v>
      </c>
      <c r="G147" s="13">
        <v>100.175</v>
      </c>
      <c r="H147" s="1">
        <v>3400</v>
      </c>
      <c r="I147" s="5">
        <v>-340595</v>
      </c>
      <c r="J147" s="5">
        <v>-300349</v>
      </c>
      <c r="K147" s="1">
        <v>0</v>
      </c>
      <c r="L147" s="1" t="str">
        <f>"A280737240"</f>
        <v>A280737240</v>
      </c>
      <c r="M147" s="1" t="str">
        <f>"证券买入"</f>
        <v>证券买入</v>
      </c>
    </row>
    <row r="148" spans="1:13" x14ac:dyDescent="0.2">
      <c r="A148" s="3" t="str">
        <f>"6589"</f>
        <v>6589</v>
      </c>
      <c r="B148" s="4">
        <v>42738</v>
      </c>
      <c r="C148" s="11" t="str">
        <f>"GC007"</f>
        <v>GC007</v>
      </c>
      <c r="D148" s="11" t="str">
        <f>"204007"</f>
        <v>204007</v>
      </c>
      <c r="E148" s="11" t="str">
        <f t="shared" ref="E148:E161" si="1">"卖出"</f>
        <v>卖出</v>
      </c>
      <c r="F148" s="11" t="str">
        <f>"拆出质押购回"</f>
        <v>拆出质押购回</v>
      </c>
      <c r="G148" s="13">
        <v>6</v>
      </c>
      <c r="H148" s="1">
        <v>-300</v>
      </c>
      <c r="I148" s="5">
        <v>300350</v>
      </c>
      <c r="J148" s="5">
        <v>1</v>
      </c>
      <c r="K148" s="1">
        <v>0</v>
      </c>
      <c r="L148" s="1" t="str">
        <f>"A280737240"</f>
        <v>A280737240</v>
      </c>
      <c r="M148" s="1" t="str">
        <f>"融券购回:350-888880"</f>
        <v>融券购回:350-888880</v>
      </c>
    </row>
    <row r="149" spans="1:13" x14ac:dyDescent="0.2">
      <c r="A149" s="3" t="str">
        <f>"2321"</f>
        <v>2321</v>
      </c>
      <c r="B149" s="4">
        <v>42739</v>
      </c>
      <c r="C149" s="11" t="s">
        <v>34</v>
      </c>
      <c r="D149" s="11">
        <v>940018</v>
      </c>
      <c r="E149" s="11" t="str">
        <f t="shared" si="1"/>
        <v>卖出</v>
      </c>
      <c r="F149" s="11" t="str">
        <f>"基金资金拨出"</f>
        <v>基金资金拨出</v>
      </c>
      <c r="G149" s="13">
        <v>0</v>
      </c>
      <c r="H149" s="1">
        <v>0</v>
      </c>
      <c r="I149" s="5">
        <v>-1</v>
      </c>
      <c r="J149" s="5">
        <v>0</v>
      </c>
      <c r="K149" s="1">
        <v>0</v>
      </c>
      <c r="L149" s="1" t="str">
        <f>" "</f>
        <v xml:space="preserve"> </v>
      </c>
      <c r="M149" s="1" t="str">
        <f>"122扣除金额 基金代码：940018"</f>
        <v>122扣除金额 基金代码：940018</v>
      </c>
    </row>
    <row r="150" spans="1:13" x14ac:dyDescent="0.2">
      <c r="A150" s="3" t="str">
        <f>"7181"</f>
        <v>7181</v>
      </c>
      <c r="B150" s="4">
        <v>42739</v>
      </c>
      <c r="C150" s="11" t="str">
        <f>"银华日利"</f>
        <v>银华日利</v>
      </c>
      <c r="D150" s="11" t="str">
        <f>"511880"</f>
        <v>511880</v>
      </c>
      <c r="E150" s="11" t="str">
        <f t="shared" si="1"/>
        <v>卖出</v>
      </c>
      <c r="F150" s="11" t="str">
        <f>"股息入帐"</f>
        <v>股息入帐</v>
      </c>
      <c r="G150" s="13">
        <v>0</v>
      </c>
      <c r="H150" s="1">
        <v>0</v>
      </c>
      <c r="I150" s="5">
        <v>1778</v>
      </c>
      <c r="J150" s="5">
        <v>1778</v>
      </c>
      <c r="K150" s="1">
        <v>0</v>
      </c>
      <c r="L150" s="1" t="str">
        <f>"A280737240"</f>
        <v>A280737240</v>
      </c>
      <c r="M150" s="1" t="str">
        <f>"股息入账:银华日利511880;股东账号：A280737240;"</f>
        <v>股息入账:银华日利511880;股东账号：A280737240;</v>
      </c>
    </row>
    <row r="151" spans="1:13" x14ac:dyDescent="0.2">
      <c r="A151" s="3" t="str">
        <f>"2276"</f>
        <v>2276</v>
      </c>
      <c r="B151" s="4">
        <v>42740</v>
      </c>
      <c r="C151" s="11" t="s">
        <v>34</v>
      </c>
      <c r="D151" s="11">
        <v>940018</v>
      </c>
      <c r="E151" s="11" t="str">
        <f t="shared" si="1"/>
        <v>卖出</v>
      </c>
      <c r="F151" s="11" t="str">
        <f>"基金资金拨出"</f>
        <v>基金资金拨出</v>
      </c>
      <c r="G151" s="13">
        <v>0</v>
      </c>
      <c r="H151" s="1">
        <v>0</v>
      </c>
      <c r="I151" s="5">
        <v>-1778</v>
      </c>
      <c r="J151" s="5">
        <v>0</v>
      </c>
      <c r="K151" s="1">
        <v>0</v>
      </c>
      <c r="L151" s="1" t="str">
        <f t="shared" ref="L151:L152" si="2">" "</f>
        <v xml:space="preserve"> </v>
      </c>
      <c r="M151" s="1" t="str">
        <f>"122扣除金额 基金代码：940018"</f>
        <v>122扣除金额 基金代码：940018</v>
      </c>
    </row>
    <row r="152" spans="1:13" x14ac:dyDescent="0.2">
      <c r="A152" s="3" t="str">
        <f>"2041"</f>
        <v>2041</v>
      </c>
      <c r="B152" s="4">
        <v>42745</v>
      </c>
      <c r="C152" s="11" t="s">
        <v>34</v>
      </c>
      <c r="D152" s="11">
        <v>940018</v>
      </c>
      <c r="E152" s="11" t="str">
        <f t="shared" si="1"/>
        <v>卖出</v>
      </c>
      <c r="F152" s="11" t="str">
        <f>"基金资金拨出"</f>
        <v>基金资金拨出</v>
      </c>
      <c r="G152" s="13">
        <v>0</v>
      </c>
      <c r="H152" s="1">
        <v>0</v>
      </c>
      <c r="I152" s="5">
        <v>-407994.15</v>
      </c>
      <c r="J152" s="5">
        <v>-407994.15</v>
      </c>
      <c r="K152" s="1">
        <v>0</v>
      </c>
      <c r="L152" s="1" t="str">
        <f t="shared" si="2"/>
        <v xml:space="preserve"> </v>
      </c>
      <c r="M152" s="1" t="str">
        <f>"122扣除金额 基金代码：940018"</f>
        <v>122扣除金额 基金代码：940018</v>
      </c>
    </row>
    <row r="153" spans="1:13" x14ac:dyDescent="0.2">
      <c r="A153" s="3" t="str">
        <f>"4725"</f>
        <v>4725</v>
      </c>
      <c r="B153" s="4">
        <v>42745</v>
      </c>
      <c r="C153" s="11" t="str">
        <f>"银华日利"</f>
        <v>银华日利</v>
      </c>
      <c r="D153" s="11" t="str">
        <f>"511880"</f>
        <v>511880</v>
      </c>
      <c r="E153" s="11" t="str">
        <f t="shared" si="1"/>
        <v>卖出</v>
      </c>
      <c r="F153" s="11" t="str">
        <f>"证券卖出"</f>
        <v>证券卖出</v>
      </c>
      <c r="G153" s="13">
        <v>100.17700000000001</v>
      </c>
      <c r="H153" s="1">
        <v>-4100</v>
      </c>
      <c r="I153" s="5">
        <v>410725.7</v>
      </c>
      <c r="J153" s="5">
        <v>2731.55</v>
      </c>
      <c r="K153" s="1">
        <v>0</v>
      </c>
      <c r="L153" s="1" t="str">
        <f>"A280737240"</f>
        <v>A280737240</v>
      </c>
      <c r="M153" s="1" t="str">
        <f>"证券卖出"</f>
        <v>证券卖出</v>
      </c>
    </row>
    <row r="154" spans="1:13" x14ac:dyDescent="0.2">
      <c r="A154" s="3" t="str">
        <f>"2850"</f>
        <v>2850</v>
      </c>
      <c r="B154" s="4">
        <v>42746</v>
      </c>
      <c r="C154" s="11" t="str">
        <f>"H股ETF"</f>
        <v>H股ETF</v>
      </c>
      <c r="D154" s="11" t="str">
        <f>"510900"</f>
        <v>510900</v>
      </c>
      <c r="E154" s="11" t="str">
        <f t="shared" si="1"/>
        <v>卖出</v>
      </c>
      <c r="F154" s="11" t="str">
        <f>"证券卖出"</f>
        <v>证券卖出</v>
      </c>
      <c r="G154" s="13">
        <v>1.0780000000000001</v>
      </c>
      <c r="H154" s="1">
        <v>-19000</v>
      </c>
      <c r="I154" s="5">
        <v>20477.900000000001</v>
      </c>
      <c r="J154" s="5">
        <v>23209.45</v>
      </c>
      <c r="K154" s="1">
        <v>4.0999999999999996</v>
      </c>
      <c r="L154" s="1" t="str">
        <f>"A280737240"</f>
        <v>A280737240</v>
      </c>
      <c r="M154" s="1" t="str">
        <f>"证券卖出"</f>
        <v>证券卖出</v>
      </c>
    </row>
    <row r="155" spans="1:13" x14ac:dyDescent="0.2">
      <c r="A155" s="3" t="str">
        <f>"4591"</f>
        <v>4591</v>
      </c>
      <c r="B155" s="4">
        <v>42746</v>
      </c>
      <c r="C155" s="11" t="str">
        <f>"恒生ETF"</f>
        <v>恒生ETF</v>
      </c>
      <c r="D155" s="11" t="str">
        <f>"159920"</f>
        <v>159920</v>
      </c>
      <c r="E155" s="11" t="str">
        <f t="shared" si="1"/>
        <v>卖出</v>
      </c>
      <c r="F155" s="11" t="str">
        <f>"证券卖出"</f>
        <v>证券卖出</v>
      </c>
      <c r="G155" s="13">
        <v>1.2549999999999999</v>
      </c>
      <c r="H155" s="1">
        <v>-16000</v>
      </c>
      <c r="I155" s="5">
        <v>20075.98</v>
      </c>
      <c r="J155" s="5">
        <v>43285.43</v>
      </c>
      <c r="K155" s="1">
        <v>4.0199999999999996</v>
      </c>
      <c r="L155" s="1" t="str">
        <f>"0184500716"</f>
        <v>0184500716</v>
      </c>
      <c r="M155" s="1" t="str">
        <f>"证券卖出"</f>
        <v>证券卖出</v>
      </c>
    </row>
    <row r="156" spans="1:13" x14ac:dyDescent="0.2">
      <c r="A156" s="3" t="str">
        <f>"7110"</f>
        <v>7110</v>
      </c>
      <c r="B156" s="4">
        <v>42746</v>
      </c>
      <c r="C156" s="11" t="s">
        <v>34</v>
      </c>
      <c r="D156" s="11">
        <v>940018</v>
      </c>
      <c r="E156" s="11" t="str">
        <f t="shared" si="1"/>
        <v>卖出</v>
      </c>
      <c r="F156" s="11" t="str">
        <f>"基金资金拨出"</f>
        <v>基金资金拨出</v>
      </c>
      <c r="G156" s="13">
        <v>0</v>
      </c>
      <c r="H156" s="1">
        <v>0</v>
      </c>
      <c r="I156" s="5">
        <v>-1094</v>
      </c>
      <c r="J156" s="5">
        <v>42191.43</v>
      </c>
      <c r="K156" s="1">
        <v>0</v>
      </c>
      <c r="L156" s="1" t="str">
        <f t="shared" ref="L156:L160" si="3">" "</f>
        <v xml:space="preserve"> </v>
      </c>
      <c r="M156" s="1" t="str">
        <f>"122扣除金额 基金代码：940018"</f>
        <v>122扣除金额 基金代码：940018</v>
      </c>
    </row>
    <row r="157" spans="1:13" x14ac:dyDescent="0.2">
      <c r="A157" s="3" t="str">
        <f>"7112"</f>
        <v>7112</v>
      </c>
      <c r="B157" s="4">
        <v>42746</v>
      </c>
      <c r="C157" s="12" t="s">
        <v>66</v>
      </c>
      <c r="D157" s="11">
        <v>940037</v>
      </c>
      <c r="E157" s="11" t="str">
        <f t="shared" si="1"/>
        <v>卖出</v>
      </c>
      <c r="F157" s="11" t="str">
        <f>"基金资金拨出"</f>
        <v>基金资金拨出</v>
      </c>
      <c r="G157" s="13">
        <v>0</v>
      </c>
      <c r="H157" s="1">
        <v>0</v>
      </c>
      <c r="I157" s="5">
        <v>-360000</v>
      </c>
      <c r="J157" s="5">
        <v>-317808.57</v>
      </c>
      <c r="K157" s="1">
        <v>0</v>
      </c>
      <c r="L157" s="1" t="str">
        <f t="shared" si="3"/>
        <v xml:space="preserve"> </v>
      </c>
      <c r="M157" s="1" t="str">
        <f>"122扣除金额 基金代码：940037"</f>
        <v>122扣除金额 基金代码：940037</v>
      </c>
    </row>
    <row r="158" spans="1:13" x14ac:dyDescent="0.2">
      <c r="A158" s="3" t="str">
        <f>"7113"</f>
        <v>7113</v>
      </c>
      <c r="B158" s="4">
        <v>42746</v>
      </c>
      <c r="C158" s="11" t="s">
        <v>34</v>
      </c>
      <c r="D158" s="11">
        <v>940018</v>
      </c>
      <c r="E158" s="11" t="str">
        <f t="shared" si="1"/>
        <v>卖出</v>
      </c>
      <c r="F158" s="11" t="str">
        <f>"基金资金拨入"</f>
        <v>基金资金拨入</v>
      </c>
      <c r="G158" s="13">
        <v>0</v>
      </c>
      <c r="H158" s="1">
        <v>0</v>
      </c>
      <c r="I158" s="5">
        <v>417981.57</v>
      </c>
      <c r="J158" s="5">
        <v>100173</v>
      </c>
      <c r="K158" s="1">
        <v>0</v>
      </c>
      <c r="L158" s="1" t="str">
        <f t="shared" si="3"/>
        <v xml:space="preserve"> </v>
      </c>
      <c r="M158" s="1" t="str">
        <f>"124增加金额 基金代码：940018,发生份额：417981.57"</f>
        <v>124增加金额 基金代码：940018,发生份额：417981.57</v>
      </c>
    </row>
    <row r="159" spans="1:13" x14ac:dyDescent="0.2">
      <c r="A159" s="3" t="str">
        <f>"2138"</f>
        <v>2138</v>
      </c>
      <c r="B159" s="4">
        <v>42747</v>
      </c>
      <c r="C159" s="11" t="s">
        <v>34</v>
      </c>
      <c r="D159" s="11">
        <v>940018</v>
      </c>
      <c r="E159" s="11" t="str">
        <f t="shared" si="1"/>
        <v>卖出</v>
      </c>
      <c r="F159" s="11" t="str">
        <f>"基金资金拨出"</f>
        <v>基金资金拨出</v>
      </c>
      <c r="G159" s="13">
        <v>0</v>
      </c>
      <c r="H159" s="1">
        <v>0</v>
      </c>
      <c r="I159" s="5">
        <v>-20173</v>
      </c>
      <c r="J159" s="5">
        <v>80000</v>
      </c>
      <c r="K159" s="1">
        <v>0</v>
      </c>
      <c r="L159" s="1" t="str">
        <f t="shared" si="3"/>
        <v xml:space="preserve"> </v>
      </c>
      <c r="M159" s="1" t="str">
        <f>"122扣除金额 基金代码：940018"</f>
        <v>122扣除金额 基金代码：940018</v>
      </c>
    </row>
    <row r="160" spans="1:13" x14ac:dyDescent="0.2">
      <c r="A160" s="3" t="str">
        <f>"2142"</f>
        <v>2142</v>
      </c>
      <c r="B160" s="4">
        <v>42747</v>
      </c>
      <c r="C160" s="12" t="s">
        <v>66</v>
      </c>
      <c r="D160" s="11">
        <v>940037</v>
      </c>
      <c r="E160" s="11" t="str">
        <f t="shared" si="1"/>
        <v>卖出</v>
      </c>
      <c r="F160" s="11" t="str">
        <f>"基金资金拨出"</f>
        <v>基金资金拨出</v>
      </c>
      <c r="G160" s="13">
        <v>0</v>
      </c>
      <c r="H160" s="1">
        <v>0</v>
      </c>
      <c r="I160" s="5">
        <v>-80000</v>
      </c>
      <c r="J160" s="5">
        <v>0</v>
      </c>
      <c r="K160" s="1">
        <v>0</v>
      </c>
      <c r="L160" s="1" t="str">
        <f t="shared" si="3"/>
        <v xml:space="preserve"> </v>
      </c>
      <c r="M160" s="1" t="str">
        <f>"122扣除金额 基金代码：940037"</f>
        <v>122扣除金额 基金代码：940037</v>
      </c>
    </row>
    <row r="161" spans="1:13" x14ac:dyDescent="0.2">
      <c r="A161" s="3" t="str">
        <f>"1973"</f>
        <v>1973</v>
      </c>
      <c r="B161" s="4">
        <v>42753</v>
      </c>
      <c r="C161" s="11" t="str">
        <f>"H股ETF"</f>
        <v>H股ETF</v>
      </c>
      <c r="D161" s="11" t="str">
        <f>"510900"</f>
        <v>510900</v>
      </c>
      <c r="E161" s="11" t="str">
        <f t="shared" si="1"/>
        <v>卖出</v>
      </c>
      <c r="F161" s="11" t="str">
        <f>"证券卖出"</f>
        <v>证券卖出</v>
      </c>
      <c r="G161" s="13">
        <v>1.079</v>
      </c>
      <c r="H161" s="1">
        <v>-20300</v>
      </c>
      <c r="I161" s="5">
        <v>21899.32</v>
      </c>
      <c r="J161" s="5">
        <v>21899.32</v>
      </c>
      <c r="K161" s="1">
        <v>4.38</v>
      </c>
      <c r="L161" s="1" t="str">
        <f>"A280737240"</f>
        <v>A280737240</v>
      </c>
      <c r="M161" s="1" t="str">
        <f>"证券卖出"</f>
        <v>证券卖出</v>
      </c>
    </row>
    <row r="162" spans="1:13" x14ac:dyDescent="0.2">
      <c r="A162" s="3" t="str">
        <f>"1974"</f>
        <v>1974</v>
      </c>
      <c r="B162" s="4">
        <v>42753</v>
      </c>
      <c r="C162" s="11" t="str">
        <f>"银华日利"</f>
        <v>银华日利</v>
      </c>
      <c r="D162" s="11" t="str">
        <f>"511880"</f>
        <v>511880</v>
      </c>
      <c r="E162" s="11" t="str">
        <f>"买入"</f>
        <v>买入</v>
      </c>
      <c r="F162" s="11" t="str">
        <f>"证券买入"</f>
        <v>证券买入</v>
      </c>
      <c r="G162" s="13">
        <v>100.194</v>
      </c>
      <c r="H162" s="1">
        <v>600</v>
      </c>
      <c r="I162" s="5">
        <v>-60116.4</v>
      </c>
      <c r="J162" s="5">
        <v>-38217.08</v>
      </c>
      <c r="K162" s="1">
        <v>0</v>
      </c>
      <c r="L162" s="1" t="str">
        <f>"A280737240"</f>
        <v>A280737240</v>
      </c>
      <c r="M162" s="1" t="str">
        <f>"证券买入"</f>
        <v>证券买入</v>
      </c>
    </row>
    <row r="163" spans="1:13" x14ac:dyDescent="0.2">
      <c r="A163" s="3" t="str">
        <f>"4001"</f>
        <v>4001</v>
      </c>
      <c r="B163" s="4">
        <v>42753</v>
      </c>
      <c r="C163" s="11" t="str">
        <f>"恒生ETF"</f>
        <v>恒生ETF</v>
      </c>
      <c r="D163" s="11" t="str">
        <f>"159920"</f>
        <v>159920</v>
      </c>
      <c r="E163" s="11" t="str">
        <f t="shared" ref="E163:E179" si="4">"卖出"</f>
        <v>卖出</v>
      </c>
      <c r="F163" s="11" t="str">
        <f>"证券卖出"</f>
        <v>证券卖出</v>
      </c>
      <c r="G163" s="13">
        <v>1.26</v>
      </c>
      <c r="H163" s="1">
        <v>-17500</v>
      </c>
      <c r="I163" s="5">
        <v>22045.59</v>
      </c>
      <c r="J163" s="5">
        <v>-16171.49</v>
      </c>
      <c r="K163" s="1">
        <v>4.41</v>
      </c>
      <c r="L163" s="1" t="str">
        <f>"0184500716"</f>
        <v>0184500716</v>
      </c>
      <c r="M163" s="1" t="str">
        <f>"证券卖出"</f>
        <v>证券卖出</v>
      </c>
    </row>
    <row r="164" spans="1:13" x14ac:dyDescent="0.2">
      <c r="A164" s="3" t="str">
        <f>"6395"</f>
        <v>6395</v>
      </c>
      <c r="B164" s="4">
        <v>42753</v>
      </c>
      <c r="C164" s="11" t="s">
        <v>34</v>
      </c>
      <c r="D164" s="11">
        <v>940018</v>
      </c>
      <c r="E164" s="11" t="str">
        <f t="shared" si="4"/>
        <v>卖出</v>
      </c>
      <c r="F164" s="11" t="str">
        <f>"基金资金拨出"</f>
        <v>基金资金拨出</v>
      </c>
      <c r="G164" s="13">
        <v>0</v>
      </c>
      <c r="H164" s="1">
        <v>0</v>
      </c>
      <c r="I164" s="5">
        <v>-5094.51</v>
      </c>
      <c r="J164" s="5">
        <v>-21266</v>
      </c>
      <c r="K164" s="1">
        <v>0</v>
      </c>
      <c r="L164" s="1" t="str">
        <f t="shared" ref="L164:L166" si="5">" "</f>
        <v xml:space="preserve"> </v>
      </c>
      <c r="M164" s="1" t="str">
        <f>"122扣除金额 基金代码：940018"</f>
        <v>122扣除金额 基金代码：940018</v>
      </c>
    </row>
    <row r="165" spans="1:13" x14ac:dyDescent="0.2">
      <c r="A165" s="3" t="str">
        <f>"6396"</f>
        <v>6396</v>
      </c>
      <c r="B165" s="4">
        <v>42753</v>
      </c>
      <c r="C165" s="11" t="s">
        <v>34</v>
      </c>
      <c r="D165" s="11">
        <v>940018</v>
      </c>
      <c r="E165" s="11" t="str">
        <f t="shared" si="4"/>
        <v>卖出</v>
      </c>
      <c r="F165" s="11" t="str">
        <f>"基金资金拨入"</f>
        <v>基金资金拨入</v>
      </c>
      <c r="G165" s="13">
        <v>0</v>
      </c>
      <c r="H165" s="1">
        <v>0</v>
      </c>
      <c r="I165" s="5">
        <v>21267</v>
      </c>
      <c r="J165" s="5">
        <v>1</v>
      </c>
      <c r="K165" s="1">
        <v>0</v>
      </c>
      <c r="L165" s="1" t="str">
        <f t="shared" si="5"/>
        <v xml:space="preserve"> </v>
      </c>
      <c r="M165" s="1" t="str">
        <f>"124增加金额 基金代码：940018,发生份额：21267"</f>
        <v>124增加金额 基金代码：940018,发生份额：21267</v>
      </c>
    </row>
    <row r="166" spans="1:13" x14ac:dyDescent="0.2">
      <c r="A166" s="3" t="str">
        <f>"5657"</f>
        <v>5657</v>
      </c>
      <c r="B166" s="4">
        <v>42754</v>
      </c>
      <c r="C166" s="11" t="s">
        <v>34</v>
      </c>
      <c r="D166" s="11">
        <v>940018</v>
      </c>
      <c r="E166" s="11" t="str">
        <f t="shared" si="4"/>
        <v>卖出</v>
      </c>
      <c r="F166" s="11" t="str">
        <f>"基金资金拨出"</f>
        <v>基金资金拨出</v>
      </c>
      <c r="G166" s="13">
        <v>0</v>
      </c>
      <c r="H166" s="1">
        <v>0</v>
      </c>
      <c r="I166" s="5">
        <v>-1</v>
      </c>
      <c r="J166" s="5">
        <v>0</v>
      </c>
      <c r="K166" s="1">
        <v>0</v>
      </c>
      <c r="L166" s="1" t="str">
        <f t="shared" si="5"/>
        <v xml:space="preserve"> </v>
      </c>
      <c r="M166" s="1" t="str">
        <f>"122扣除金额 基金代码：940018"</f>
        <v>122扣除金额 基金代码：940018</v>
      </c>
    </row>
    <row r="167" spans="1:13" x14ac:dyDescent="0.2">
      <c r="A167" s="3" t="str">
        <f>"2511"</f>
        <v>2511</v>
      </c>
      <c r="B167" s="4">
        <v>42761</v>
      </c>
      <c r="C167" s="11" t="str">
        <f>"银华日利"</f>
        <v>银华日利</v>
      </c>
      <c r="D167" s="11" t="str">
        <f>"511880"</f>
        <v>511880</v>
      </c>
      <c r="E167" s="11" t="str">
        <f t="shared" si="4"/>
        <v>卖出</v>
      </c>
      <c r="F167" s="11" t="str">
        <f>"证券卖出"</f>
        <v>证券卖出</v>
      </c>
      <c r="G167" s="13">
        <v>100.372</v>
      </c>
      <c r="H167" s="1">
        <v>-600</v>
      </c>
      <c r="I167" s="5">
        <v>60223.199999999997</v>
      </c>
      <c r="J167" s="5">
        <v>60223.199999999997</v>
      </c>
      <c r="K167" s="1">
        <v>0</v>
      </c>
      <c r="L167" s="1" t="str">
        <f>"A280737240"</f>
        <v>A280737240</v>
      </c>
      <c r="M167" s="1" t="str">
        <f>"证券卖出"</f>
        <v>证券卖出</v>
      </c>
    </row>
    <row r="168" spans="1:13" x14ac:dyDescent="0.2">
      <c r="A168" s="3" t="str">
        <f>"3377"</f>
        <v>3377</v>
      </c>
      <c r="B168" s="4">
        <v>42761</v>
      </c>
      <c r="C168" s="11" t="str">
        <f>"Ｒ-001"</f>
        <v>Ｒ-001</v>
      </c>
      <c r="D168" s="11" t="str">
        <f>"131810"</f>
        <v>131810</v>
      </c>
      <c r="E168" s="11" t="str">
        <f t="shared" si="4"/>
        <v>卖出</v>
      </c>
      <c r="F168" s="11" t="str">
        <f>"质押回购拆出"</f>
        <v>质押回购拆出</v>
      </c>
      <c r="G168" s="13">
        <v>10.601000000000001</v>
      </c>
      <c r="H168" s="1">
        <v>650</v>
      </c>
      <c r="I168" s="5">
        <v>-65000.65</v>
      </c>
      <c r="J168" s="5">
        <v>-4777.45</v>
      </c>
      <c r="K168" s="1">
        <v>0.65</v>
      </c>
      <c r="L168" s="1" t="str">
        <f>"0184500716"</f>
        <v>0184500716</v>
      </c>
      <c r="M168" s="1" t="str">
        <f>"融券回购购回日:20170127息:18.88-131990"</f>
        <v>融券回购购回日:20170127息:18.88-131990</v>
      </c>
    </row>
    <row r="169" spans="1:13" x14ac:dyDescent="0.2">
      <c r="A169" s="3" t="str">
        <f>"3378"</f>
        <v>3378</v>
      </c>
      <c r="B169" s="4">
        <v>42761</v>
      </c>
      <c r="C169" s="11" t="str">
        <f>"恒生ETF"</f>
        <v>恒生ETF</v>
      </c>
      <c r="D169" s="11" t="str">
        <f>"159920"</f>
        <v>159920</v>
      </c>
      <c r="E169" s="11" t="str">
        <f t="shared" si="4"/>
        <v>卖出</v>
      </c>
      <c r="F169" s="11" t="str">
        <f>"证券卖出"</f>
        <v>证券卖出</v>
      </c>
      <c r="G169" s="13">
        <v>1.2749999999999999</v>
      </c>
      <c r="H169" s="1">
        <v>-12000</v>
      </c>
      <c r="I169" s="5">
        <v>15296.94</v>
      </c>
      <c r="J169" s="5">
        <v>10519.49</v>
      </c>
      <c r="K169" s="1">
        <v>3.06</v>
      </c>
      <c r="L169" s="1" t="str">
        <f>"0184500716"</f>
        <v>0184500716</v>
      </c>
      <c r="M169" s="1" t="str">
        <f>"证券卖出"</f>
        <v>证券卖出</v>
      </c>
    </row>
    <row r="170" spans="1:13" x14ac:dyDescent="0.2">
      <c r="A170" s="3" t="str">
        <f>"3379"</f>
        <v>3379</v>
      </c>
      <c r="B170" s="4">
        <v>42761</v>
      </c>
      <c r="C170" s="11" t="str">
        <f>"Ｒ-001"</f>
        <v>Ｒ-001</v>
      </c>
      <c r="D170" s="11" t="str">
        <f>"131810"</f>
        <v>131810</v>
      </c>
      <c r="E170" s="11" t="str">
        <f t="shared" si="4"/>
        <v>卖出</v>
      </c>
      <c r="F170" s="11" t="str">
        <f>"质押回购拆出"</f>
        <v>质押回购拆出</v>
      </c>
      <c r="G170" s="13">
        <v>11.227</v>
      </c>
      <c r="H170" s="1">
        <v>150</v>
      </c>
      <c r="I170" s="5">
        <v>-15000.15</v>
      </c>
      <c r="J170" s="5">
        <v>-4480.66</v>
      </c>
      <c r="K170" s="1">
        <v>0.15</v>
      </c>
      <c r="L170" s="1" t="str">
        <f>"0184500716"</f>
        <v>0184500716</v>
      </c>
      <c r="M170" s="1" t="str">
        <f>"融券回购购回日:20170127息:4.61-131990"</f>
        <v>融券回购购回日:20170127息:4.61-131990</v>
      </c>
    </row>
    <row r="171" spans="1:13" x14ac:dyDescent="0.2">
      <c r="A171" s="3" t="str">
        <f>"5652"</f>
        <v>5652</v>
      </c>
      <c r="B171" s="4">
        <v>42761</v>
      </c>
      <c r="C171" s="11" t="s">
        <v>34</v>
      </c>
      <c r="D171" s="11">
        <v>940018</v>
      </c>
      <c r="E171" s="11" t="str">
        <f t="shared" si="4"/>
        <v>卖出</v>
      </c>
      <c r="F171" s="11" t="str">
        <f>"基金资金拨出"</f>
        <v>基金资金拨出</v>
      </c>
      <c r="G171" s="13">
        <v>0</v>
      </c>
      <c r="H171" s="1">
        <v>0</v>
      </c>
      <c r="I171" s="5">
        <v>-613.85</v>
      </c>
      <c r="J171" s="5">
        <v>-5094.51</v>
      </c>
      <c r="K171" s="1">
        <v>0</v>
      </c>
      <c r="L171" s="1" t="str">
        <f t="shared" ref="L171:L174" si="6">" "</f>
        <v xml:space="preserve"> </v>
      </c>
      <c r="M171" s="1" t="str">
        <f>"122扣除金额 基金代码：940018"</f>
        <v>122扣除金额 基金代码：940018</v>
      </c>
    </row>
    <row r="172" spans="1:13" x14ac:dyDescent="0.2">
      <c r="A172" s="3" t="str">
        <f>"5653"</f>
        <v>5653</v>
      </c>
      <c r="B172" s="4">
        <v>42761</v>
      </c>
      <c r="C172" s="11" t="s">
        <v>34</v>
      </c>
      <c r="D172" s="11">
        <v>940018</v>
      </c>
      <c r="E172" s="11" t="str">
        <f t="shared" si="4"/>
        <v>卖出</v>
      </c>
      <c r="F172" s="11" t="str">
        <f>"基金资金拨入"</f>
        <v>基金资金拨入</v>
      </c>
      <c r="G172" s="13">
        <v>0</v>
      </c>
      <c r="H172" s="1">
        <v>0</v>
      </c>
      <c r="I172" s="5">
        <v>5095.51</v>
      </c>
      <c r="J172" s="5">
        <v>1</v>
      </c>
      <c r="K172" s="1">
        <v>0</v>
      </c>
      <c r="L172" s="1" t="str">
        <f t="shared" si="6"/>
        <v xml:space="preserve"> </v>
      </c>
      <c r="M172" s="1" t="str">
        <f>"124增加金额 基金代码：940018,发生份额：5095.51"</f>
        <v>124增加金额 基金代码：940018,发生份额：5095.51</v>
      </c>
    </row>
    <row r="173" spans="1:13" x14ac:dyDescent="0.2">
      <c r="A173" s="3" t="str">
        <f>"2088"</f>
        <v>2088</v>
      </c>
      <c r="B173" s="4">
        <v>42769</v>
      </c>
      <c r="C173" s="11" t="s">
        <v>34</v>
      </c>
      <c r="D173" s="11">
        <v>940018</v>
      </c>
      <c r="E173" s="11" t="str">
        <f t="shared" si="4"/>
        <v>卖出</v>
      </c>
      <c r="F173" s="11" t="str">
        <f>"基金资金拨出"</f>
        <v>基金资金拨出</v>
      </c>
      <c r="G173" s="13">
        <v>0</v>
      </c>
      <c r="H173" s="1">
        <v>0</v>
      </c>
      <c r="I173" s="5">
        <v>-636.80999999999995</v>
      </c>
      <c r="J173" s="5">
        <v>-635.80999999999995</v>
      </c>
      <c r="K173" s="1">
        <v>0</v>
      </c>
      <c r="L173" s="1" t="str">
        <f t="shared" si="6"/>
        <v xml:space="preserve"> </v>
      </c>
      <c r="M173" s="1" t="str">
        <f>"122扣除金额 基金代码：940018"</f>
        <v>122扣除金额 基金代码：940018</v>
      </c>
    </row>
    <row r="174" spans="1:13" x14ac:dyDescent="0.2">
      <c r="A174" s="3" t="str">
        <f>"2089"</f>
        <v>2089</v>
      </c>
      <c r="B174" s="4">
        <v>42769</v>
      </c>
      <c r="C174" s="11" t="s">
        <v>34</v>
      </c>
      <c r="D174" s="11">
        <v>940018</v>
      </c>
      <c r="E174" s="11" t="str">
        <f t="shared" si="4"/>
        <v>卖出</v>
      </c>
      <c r="F174" s="11" t="str">
        <f>"基金资金拨入"</f>
        <v>基金资金拨入</v>
      </c>
      <c r="G174" s="13">
        <v>0</v>
      </c>
      <c r="H174" s="1">
        <v>0</v>
      </c>
      <c r="I174" s="5">
        <v>676.17</v>
      </c>
      <c r="J174" s="5">
        <v>40.36</v>
      </c>
      <c r="K174" s="1">
        <v>0</v>
      </c>
      <c r="L174" s="1" t="str">
        <f t="shared" si="6"/>
        <v xml:space="preserve"> </v>
      </c>
      <c r="M174" s="1" t="str">
        <f>"124增加金额 基金代码：940018,发生份额：676.17"</f>
        <v>124增加金额 基金代码：940018,发生份额：676.17</v>
      </c>
    </row>
    <row r="175" spans="1:13" x14ac:dyDescent="0.2">
      <c r="A175" s="3" t="str">
        <f>"4983"</f>
        <v>4983</v>
      </c>
      <c r="B175" s="4">
        <v>42769</v>
      </c>
      <c r="C175" s="11" t="str">
        <f>"Ｒ-001"</f>
        <v>Ｒ-001</v>
      </c>
      <c r="D175" s="11" t="str">
        <f>"131810"</f>
        <v>131810</v>
      </c>
      <c r="E175" s="11" t="str">
        <f t="shared" si="4"/>
        <v>卖出</v>
      </c>
      <c r="F175" s="11" t="str">
        <f>"质押回购拆出"</f>
        <v>质押回购拆出</v>
      </c>
      <c r="G175" s="13">
        <v>6.8</v>
      </c>
      <c r="H175" s="1">
        <v>740</v>
      </c>
      <c r="I175" s="5">
        <v>-74000.740000000005</v>
      </c>
      <c r="J175" s="5">
        <v>-73960.38</v>
      </c>
      <c r="K175" s="1">
        <v>0.74</v>
      </c>
      <c r="L175" s="1" t="str">
        <f>"0184500716"</f>
        <v>0184500716</v>
      </c>
      <c r="M175" s="1" t="str">
        <f>"融券回购购回日:20170204息:13.79-131990"</f>
        <v>融券回购购回日:20170204息:13.79-131990</v>
      </c>
    </row>
    <row r="176" spans="1:13" x14ac:dyDescent="0.2">
      <c r="A176" s="3" t="str">
        <f>"5586"</f>
        <v>5586</v>
      </c>
      <c r="B176" s="4">
        <v>42769</v>
      </c>
      <c r="C176" s="11" t="str">
        <f>"Ｒ-001"</f>
        <v>Ｒ-001</v>
      </c>
      <c r="D176" s="11" t="str">
        <f>"131810"</f>
        <v>131810</v>
      </c>
      <c r="E176" s="11" t="str">
        <f t="shared" si="4"/>
        <v>卖出</v>
      </c>
      <c r="F176" s="11" t="str">
        <f>"拆出质押购回"</f>
        <v>拆出质押购回</v>
      </c>
      <c r="G176" s="13">
        <v>10.601000000000001</v>
      </c>
      <c r="H176" s="1">
        <v>-650</v>
      </c>
      <c r="I176" s="5">
        <v>65018.879999999997</v>
      </c>
      <c r="J176" s="5">
        <v>-8941.5</v>
      </c>
      <c r="K176" s="1">
        <v>0</v>
      </c>
      <c r="L176" s="1" t="str">
        <f>"0184500716"</f>
        <v>0184500716</v>
      </c>
      <c r="M176" s="1" t="str">
        <f>"融券购回:18.88-131990"</f>
        <v>融券购回:18.88-131990</v>
      </c>
    </row>
    <row r="177" spans="1:13" x14ac:dyDescent="0.2">
      <c r="A177" s="3" t="str">
        <f>"5587"</f>
        <v>5587</v>
      </c>
      <c r="B177" s="4">
        <v>42769</v>
      </c>
      <c r="C177" s="11" t="str">
        <f>"Ｒ-001"</f>
        <v>Ｒ-001</v>
      </c>
      <c r="D177" s="11" t="str">
        <f>"131810"</f>
        <v>131810</v>
      </c>
      <c r="E177" s="11" t="str">
        <f t="shared" si="4"/>
        <v>卖出</v>
      </c>
      <c r="F177" s="11" t="str">
        <f>"拆出质押购回"</f>
        <v>拆出质押购回</v>
      </c>
      <c r="G177" s="13">
        <v>11.227</v>
      </c>
      <c r="H177" s="1">
        <v>-150</v>
      </c>
      <c r="I177" s="5">
        <v>15004.61</v>
      </c>
      <c r="J177" s="5">
        <v>6063.11</v>
      </c>
      <c r="K177" s="1">
        <v>0</v>
      </c>
      <c r="L177" s="1" t="str">
        <f>"0184500716"</f>
        <v>0184500716</v>
      </c>
      <c r="M177" s="1" t="str">
        <f>"融券购回:4.61-131990"</f>
        <v>融券购回:4.61-131990</v>
      </c>
    </row>
    <row r="178" spans="1:13" x14ac:dyDescent="0.2">
      <c r="A178" s="3" t="str">
        <f>"2312"</f>
        <v>2312</v>
      </c>
      <c r="B178" s="4">
        <v>42772</v>
      </c>
      <c r="C178" s="11" t="s">
        <v>34</v>
      </c>
      <c r="D178" s="11">
        <v>940018</v>
      </c>
      <c r="E178" s="11" t="str">
        <f t="shared" si="4"/>
        <v>卖出</v>
      </c>
      <c r="F178" s="11" t="str">
        <f>"基金资金拨出"</f>
        <v>基金资金拨出</v>
      </c>
      <c r="G178" s="13">
        <v>0</v>
      </c>
      <c r="H178" s="1">
        <v>0</v>
      </c>
      <c r="I178" s="5">
        <v>-418.31</v>
      </c>
      <c r="J178" s="5">
        <v>5644.8</v>
      </c>
      <c r="K178" s="1">
        <v>0</v>
      </c>
      <c r="L178" s="1" t="str">
        <f t="shared" ref="L178:L179" si="7">" "</f>
        <v xml:space="preserve"> </v>
      </c>
      <c r="M178" s="1" t="str">
        <f>"122扣除金额 基金代码：940018"</f>
        <v>122扣除金额 基金代码：940018</v>
      </c>
    </row>
    <row r="179" spans="1:13" x14ac:dyDescent="0.2">
      <c r="A179" s="3" t="str">
        <f>"2313"</f>
        <v>2313</v>
      </c>
      <c r="B179" s="4">
        <v>42772</v>
      </c>
      <c r="C179" s="11" t="s">
        <v>34</v>
      </c>
      <c r="D179" s="11">
        <v>940018</v>
      </c>
      <c r="E179" s="11" t="str">
        <f t="shared" si="4"/>
        <v>卖出</v>
      </c>
      <c r="F179" s="11" t="str">
        <f>"基金资金拨入"</f>
        <v>基金资金拨入</v>
      </c>
      <c r="G179" s="13">
        <v>0</v>
      </c>
      <c r="H179" s="1">
        <v>0</v>
      </c>
      <c r="I179" s="5">
        <v>636.80999999999995</v>
      </c>
      <c r="J179" s="5">
        <v>6281.61</v>
      </c>
      <c r="K179" s="1">
        <v>0</v>
      </c>
      <c r="L179" s="1" t="str">
        <f t="shared" si="7"/>
        <v xml:space="preserve"> </v>
      </c>
      <c r="M179" s="1" t="str">
        <f>"124增加金额 基金代码：940018,发生份额：636.81"</f>
        <v>124增加金额 基金代码：940018,发生份额：636.81</v>
      </c>
    </row>
    <row r="180" spans="1:13" x14ac:dyDescent="0.2">
      <c r="A180" s="3" t="str">
        <f>"3869"</f>
        <v>3869</v>
      </c>
      <c r="B180" s="4">
        <v>42772</v>
      </c>
      <c r="C180" s="11" t="str">
        <f>"银华日利"</f>
        <v>银华日利</v>
      </c>
      <c r="D180" s="11" t="str">
        <f>"511880"</f>
        <v>511880</v>
      </c>
      <c r="E180" s="11" t="str">
        <f>"买入"</f>
        <v>买入</v>
      </c>
      <c r="F180" s="11" t="str">
        <f>"证券买入"</f>
        <v>证券买入</v>
      </c>
      <c r="G180" s="13">
        <v>100.36799999999999</v>
      </c>
      <c r="H180" s="1">
        <v>800</v>
      </c>
      <c r="I180" s="5">
        <v>-80294.399999999994</v>
      </c>
      <c r="J180" s="5">
        <v>-74012.789999999994</v>
      </c>
      <c r="K180" s="1">
        <v>0</v>
      </c>
      <c r="L180" s="1" t="str">
        <f>"A280737240"</f>
        <v>A280737240</v>
      </c>
      <c r="M180" s="1" t="str">
        <f>"证券买入"</f>
        <v>证券买入</v>
      </c>
    </row>
    <row r="181" spans="1:13" x14ac:dyDescent="0.2">
      <c r="A181" s="3" t="str">
        <f>"6287"</f>
        <v>6287</v>
      </c>
      <c r="B181" s="4">
        <v>42772</v>
      </c>
      <c r="C181" s="11" t="str">
        <f>"Ｒ-001"</f>
        <v>Ｒ-001</v>
      </c>
      <c r="D181" s="11" t="str">
        <f>"131810"</f>
        <v>131810</v>
      </c>
      <c r="E181" s="11" t="str">
        <f>"卖出"</f>
        <v>卖出</v>
      </c>
      <c r="F181" s="11" t="str">
        <f>"拆出质押购回"</f>
        <v>拆出质押购回</v>
      </c>
      <c r="G181" s="13">
        <v>6.8</v>
      </c>
      <c r="H181" s="1">
        <v>-740</v>
      </c>
      <c r="I181" s="5">
        <v>74013.789999999994</v>
      </c>
      <c r="J181" s="5">
        <v>1</v>
      </c>
      <c r="K181" s="1">
        <v>0</v>
      </c>
      <c r="L181" s="1" t="str">
        <f>"0184500716"</f>
        <v>0184500716</v>
      </c>
      <c r="M181" s="1" t="str">
        <f>"融券购回:13.79-131990"</f>
        <v>融券购回:13.79-131990</v>
      </c>
    </row>
    <row r="182" spans="1:13" x14ac:dyDescent="0.2">
      <c r="A182" s="3" t="str">
        <f>"2091"</f>
        <v>2091</v>
      </c>
      <c r="B182" s="4">
        <v>42773</v>
      </c>
      <c r="C182" s="11" t="str">
        <f>"银华日利"</f>
        <v>银华日利</v>
      </c>
      <c r="D182" s="11" t="str">
        <f>"511880"</f>
        <v>511880</v>
      </c>
      <c r="E182" s="11" t="str">
        <f>"卖出"</f>
        <v>卖出</v>
      </c>
      <c r="F182" s="11" t="str">
        <f>"证券卖出"</f>
        <v>证券卖出</v>
      </c>
      <c r="G182" s="13">
        <v>100.384</v>
      </c>
      <c r="H182" s="1">
        <v>-800</v>
      </c>
      <c r="I182" s="5">
        <v>80307.199999999997</v>
      </c>
      <c r="J182" s="5">
        <v>80308.2</v>
      </c>
      <c r="K182" s="1">
        <v>0</v>
      </c>
      <c r="L182" s="1" t="str">
        <f>"A280737240"</f>
        <v>A280737240</v>
      </c>
      <c r="M182" s="1" t="str">
        <f>"证券卖出"</f>
        <v>证券卖出</v>
      </c>
    </row>
    <row r="183" spans="1:13" x14ac:dyDescent="0.2">
      <c r="A183" s="3" t="str">
        <f>"3106"</f>
        <v>3106</v>
      </c>
      <c r="B183" s="4">
        <v>42773</v>
      </c>
      <c r="C183" s="11" t="s">
        <v>34</v>
      </c>
      <c r="D183" s="11">
        <v>940018</v>
      </c>
      <c r="E183" s="11" t="str">
        <f>"卖出"</f>
        <v>卖出</v>
      </c>
      <c r="F183" s="11" t="str">
        <f>"基金资金拨出"</f>
        <v>基金资金拨出</v>
      </c>
      <c r="G183" s="13">
        <v>0</v>
      </c>
      <c r="H183" s="1">
        <v>0</v>
      </c>
      <c r="I183" s="5">
        <v>-80307.199999999997</v>
      </c>
      <c r="J183" s="5">
        <v>1</v>
      </c>
      <c r="K183" s="1">
        <v>0</v>
      </c>
      <c r="L183" s="1" t="str">
        <f t="shared" ref="C183:L184" si="8">" "</f>
        <v xml:space="preserve"> </v>
      </c>
      <c r="M183" s="1" t="str">
        <f>"122扣除金额 基金代码：940018"</f>
        <v>122扣除金额 基金代码：940018</v>
      </c>
    </row>
    <row r="184" spans="1:13" x14ac:dyDescent="0.2">
      <c r="A184" s="3" t="str">
        <f>"328"</f>
        <v>328</v>
      </c>
      <c r="B184" s="4">
        <v>42774</v>
      </c>
      <c r="C184" s="11" t="str">
        <f t="shared" si="8"/>
        <v xml:space="preserve"> </v>
      </c>
      <c r="D184" s="11"/>
      <c r="E184" s="11" t="str">
        <f>"卖出"</f>
        <v>卖出</v>
      </c>
      <c r="F184" s="11" t="str">
        <f>"银行转存"</f>
        <v>银行转存</v>
      </c>
      <c r="G184" s="13">
        <v>0</v>
      </c>
      <c r="H184" s="1">
        <v>0</v>
      </c>
      <c r="I184" s="5">
        <v>10000</v>
      </c>
      <c r="J184" s="5">
        <v>10001</v>
      </c>
      <c r="K184" s="1">
        <v>0</v>
      </c>
      <c r="L184" s="1" t="str">
        <f t="shared" si="8"/>
        <v xml:space="preserve"> </v>
      </c>
      <c r="M184" s="1" t="str">
        <f>"银行返回码[ ]返回信息[0000 交易成功]|转账成功"</f>
        <v>银行返回码[ ]返回信息[0000 交易成功]|转账成功</v>
      </c>
    </row>
    <row r="185" spans="1:13" x14ac:dyDescent="0.2">
      <c r="A185" s="3" t="str">
        <f>"4368"</f>
        <v>4368</v>
      </c>
      <c r="B185" s="4">
        <v>42774</v>
      </c>
      <c r="C185" s="11" t="str">
        <f>"华宝油气"</f>
        <v>华宝油气</v>
      </c>
      <c r="D185" s="11" t="str">
        <f>"162411"</f>
        <v>162411</v>
      </c>
      <c r="E185" s="11" t="str">
        <f>"买入"</f>
        <v>买入</v>
      </c>
      <c r="F185" s="11" t="str">
        <f>"证券买入"</f>
        <v>证券买入</v>
      </c>
      <c r="G185" s="13">
        <v>0.67300000000000004</v>
      </c>
      <c r="H185" s="1">
        <v>75000</v>
      </c>
      <c r="I185" s="5">
        <v>-50485.1</v>
      </c>
      <c r="J185" s="5">
        <v>-40484.1</v>
      </c>
      <c r="K185" s="1">
        <v>10.1</v>
      </c>
      <c r="L185" s="1" t="str">
        <f>"0184500716"</f>
        <v>0184500716</v>
      </c>
      <c r="M185" s="1" t="str">
        <f>"证券买入"</f>
        <v>证券买入</v>
      </c>
    </row>
    <row r="186" spans="1:13" x14ac:dyDescent="0.2">
      <c r="A186" s="3" t="str">
        <f>"6093"</f>
        <v>6093</v>
      </c>
      <c r="B186" s="4">
        <v>42774</v>
      </c>
      <c r="C186" s="11" t="s">
        <v>34</v>
      </c>
      <c r="D186" s="11">
        <v>940018</v>
      </c>
      <c r="E186" s="11" t="str">
        <f t="shared" ref="E186:E191" si="9">"卖出"</f>
        <v>卖出</v>
      </c>
      <c r="F186" s="11" t="str">
        <f>"基金资金拨出"</f>
        <v>基金资金拨出</v>
      </c>
      <c r="G186" s="13">
        <v>0</v>
      </c>
      <c r="H186" s="1">
        <v>0</v>
      </c>
      <c r="I186" s="5">
        <v>-40240.410000000003</v>
      </c>
      <c r="J186" s="5">
        <v>-80724.509999999995</v>
      </c>
      <c r="K186" s="1">
        <v>0</v>
      </c>
      <c r="L186" s="1" t="str">
        <f t="shared" ref="L186:L190" si="10">" "</f>
        <v xml:space="preserve"> </v>
      </c>
      <c r="M186" s="1" t="str">
        <f>"122扣除金额 基金代码：940018"</f>
        <v>122扣除金额 基金代码：940018</v>
      </c>
    </row>
    <row r="187" spans="1:13" x14ac:dyDescent="0.2">
      <c r="A187" s="3" t="str">
        <f>"6094"</f>
        <v>6094</v>
      </c>
      <c r="B187" s="4">
        <v>42774</v>
      </c>
      <c r="C187" s="11" t="s">
        <v>34</v>
      </c>
      <c r="D187" s="11">
        <v>940018</v>
      </c>
      <c r="E187" s="11" t="str">
        <f t="shared" si="9"/>
        <v>卖出</v>
      </c>
      <c r="F187" s="11" t="str">
        <f>"基金资金拨入"</f>
        <v>基金资金拨入</v>
      </c>
      <c r="G187" s="13">
        <v>0</v>
      </c>
      <c r="H187" s="1">
        <v>0</v>
      </c>
      <c r="I187" s="5">
        <v>80725.509999999995</v>
      </c>
      <c r="J187" s="5">
        <v>1</v>
      </c>
      <c r="K187" s="1">
        <v>0</v>
      </c>
      <c r="L187" s="1" t="str">
        <f t="shared" si="10"/>
        <v xml:space="preserve"> </v>
      </c>
      <c r="M187" s="1" t="str">
        <f>"124增加金额 基金代码：940018,发生份额：80725.51"</f>
        <v>124增加金额 基金代码：940018,发生份额：80725.51</v>
      </c>
    </row>
    <row r="188" spans="1:13" x14ac:dyDescent="0.2">
      <c r="A188" s="3" t="str">
        <f>"225"</f>
        <v>225</v>
      </c>
      <c r="B188" s="4">
        <v>42775</v>
      </c>
      <c r="C188" s="11" t="s">
        <v>34</v>
      </c>
      <c r="D188" s="11">
        <v>940018</v>
      </c>
      <c r="E188" s="11" t="str">
        <f t="shared" si="9"/>
        <v>卖出</v>
      </c>
      <c r="F188" s="11" t="str">
        <f>"资管转让资金上账"</f>
        <v>资管转让资金上账</v>
      </c>
      <c r="G188" s="13">
        <v>0</v>
      </c>
      <c r="H188" s="1">
        <v>0</v>
      </c>
      <c r="I188" s="5">
        <v>10025</v>
      </c>
      <c r="J188" s="5">
        <v>10026</v>
      </c>
      <c r="K188" s="1">
        <v>0</v>
      </c>
      <c r="L188" s="1" t="str">
        <f t="shared" si="10"/>
        <v xml:space="preserve"> </v>
      </c>
      <c r="M188" s="1" t="str">
        <f>"快速取现退出资金拨入,产品代码940018,对方资产账户40000545"</f>
        <v>快速取现退出资金拨入,产品代码940018,对方资产账户40000545</v>
      </c>
    </row>
    <row r="189" spans="1:13" x14ac:dyDescent="0.2">
      <c r="A189" s="3" t="str">
        <f>"1928"</f>
        <v>1928</v>
      </c>
      <c r="B189" s="4">
        <v>42775</v>
      </c>
      <c r="C189" s="11" t="s">
        <v>34</v>
      </c>
      <c r="D189" s="11">
        <v>940018</v>
      </c>
      <c r="E189" s="11" t="str">
        <f t="shared" si="9"/>
        <v>卖出</v>
      </c>
      <c r="F189" s="11" t="str">
        <f>"基金资金拨出"</f>
        <v>基金资金拨出</v>
      </c>
      <c r="G189" s="13">
        <v>0</v>
      </c>
      <c r="H189" s="1">
        <v>0</v>
      </c>
      <c r="I189" s="5">
        <v>-42.26</v>
      </c>
      <c r="J189" s="5">
        <v>9983.74</v>
      </c>
      <c r="K189" s="1">
        <v>0</v>
      </c>
      <c r="L189" s="1" t="str">
        <f t="shared" si="10"/>
        <v xml:space="preserve"> </v>
      </c>
      <c r="M189" s="1" t="str">
        <f>"122扣除金额 基金代码：940018"</f>
        <v>122扣除金额 基金代码：940018</v>
      </c>
    </row>
    <row r="190" spans="1:13" x14ac:dyDescent="0.2">
      <c r="A190" s="3" t="str">
        <f>"1929"</f>
        <v>1929</v>
      </c>
      <c r="B190" s="4">
        <v>42775</v>
      </c>
      <c r="C190" s="11" t="s">
        <v>34</v>
      </c>
      <c r="D190" s="11">
        <v>940018</v>
      </c>
      <c r="E190" s="11" t="str">
        <f t="shared" si="9"/>
        <v>卖出</v>
      </c>
      <c r="F190" s="11" t="str">
        <f>"基金资金拨入"</f>
        <v>基金资金拨入</v>
      </c>
      <c r="G190" s="13">
        <v>0</v>
      </c>
      <c r="H190" s="1">
        <v>0</v>
      </c>
      <c r="I190" s="5">
        <v>40240.410000000003</v>
      </c>
      <c r="J190" s="5">
        <v>50224.15</v>
      </c>
      <c r="K190" s="1">
        <v>0</v>
      </c>
      <c r="L190" s="1" t="str">
        <f t="shared" si="10"/>
        <v xml:space="preserve"> </v>
      </c>
      <c r="M190" s="1" t="str">
        <f>"124增加金额 基金代码：940018,发生份额：40240.41"</f>
        <v>124增加金额 基金代码：940018,发生份额：40240.41</v>
      </c>
    </row>
    <row r="191" spans="1:13" x14ac:dyDescent="0.2">
      <c r="A191" s="3" t="str">
        <f>"6058"</f>
        <v>6058</v>
      </c>
      <c r="B191" s="4">
        <v>42775</v>
      </c>
      <c r="C191" s="11" t="str">
        <f>"恒生ETF"</f>
        <v>恒生ETF</v>
      </c>
      <c r="D191" s="11" t="str">
        <f>"159920"</f>
        <v>159920</v>
      </c>
      <c r="E191" s="11" t="str">
        <f t="shared" si="9"/>
        <v>卖出</v>
      </c>
      <c r="F191" s="11" t="str">
        <f>"证券卖出"</f>
        <v>证券卖出</v>
      </c>
      <c r="G191" s="13">
        <v>1.2949999999999999</v>
      </c>
      <c r="H191" s="1">
        <v>-11400</v>
      </c>
      <c r="I191" s="5">
        <v>14760.05</v>
      </c>
      <c r="J191" s="5">
        <v>64984.2</v>
      </c>
      <c r="K191" s="1">
        <v>2.95</v>
      </c>
      <c r="L191" s="1" t="str">
        <f>"0184500716"</f>
        <v>0184500716</v>
      </c>
      <c r="M191" s="1" t="str">
        <f>"证券卖出"</f>
        <v>证券卖出</v>
      </c>
    </row>
    <row r="192" spans="1:13" x14ac:dyDescent="0.2">
      <c r="A192" s="3" t="str">
        <f>"6059"</f>
        <v>6059</v>
      </c>
      <c r="B192" s="4">
        <v>42775</v>
      </c>
      <c r="C192" s="11" t="str">
        <f>"华宝油气"</f>
        <v>华宝油气</v>
      </c>
      <c r="D192" s="11" t="str">
        <f>"162411"</f>
        <v>162411</v>
      </c>
      <c r="E192" s="11" t="str">
        <f>"买入"</f>
        <v>买入</v>
      </c>
      <c r="F192" s="11" t="str">
        <f>"证券买入"</f>
        <v>证券买入</v>
      </c>
      <c r="G192" s="13">
        <v>0.67600000000000005</v>
      </c>
      <c r="H192" s="1">
        <v>21800</v>
      </c>
      <c r="I192" s="5">
        <v>-14739.75</v>
      </c>
      <c r="J192" s="5">
        <v>50244.45</v>
      </c>
      <c r="K192" s="1">
        <v>2.95</v>
      </c>
      <c r="L192" s="1" t="str">
        <f>"0184500716"</f>
        <v>0184500716</v>
      </c>
      <c r="M192" s="1" t="str">
        <f>"证券买入"</f>
        <v>证券买入</v>
      </c>
    </row>
    <row r="193" spans="1:13" x14ac:dyDescent="0.2">
      <c r="A193" s="3" t="str">
        <f>"6061"</f>
        <v>6061</v>
      </c>
      <c r="B193" s="4">
        <v>42775</v>
      </c>
      <c r="C193" s="11" t="str">
        <f>"华宝油气"</f>
        <v>华宝油气</v>
      </c>
      <c r="D193" s="11" t="str">
        <f>"162411"</f>
        <v>162411</v>
      </c>
      <c r="E193" s="11" t="str">
        <f>"买入"</f>
        <v>买入</v>
      </c>
      <c r="F193" s="11" t="str">
        <f>"证券买入"</f>
        <v>证券买入</v>
      </c>
      <c r="G193" s="13">
        <v>0.67700000000000005</v>
      </c>
      <c r="H193" s="1">
        <v>74200</v>
      </c>
      <c r="I193" s="5">
        <v>-50243.45</v>
      </c>
      <c r="J193" s="5">
        <v>1</v>
      </c>
      <c r="K193" s="1">
        <v>10.050000000000001</v>
      </c>
      <c r="L193" s="1" t="str">
        <f>"0184500716"</f>
        <v>0184500716</v>
      </c>
      <c r="M193" s="1" t="str">
        <f>"证券买入"</f>
        <v>证券买入</v>
      </c>
    </row>
    <row r="194" spans="1:13" x14ac:dyDescent="0.2">
      <c r="A194" s="3" t="str">
        <f>"2405"</f>
        <v>2405</v>
      </c>
      <c r="B194" s="4">
        <v>42776</v>
      </c>
      <c r="C194" s="11" t="s">
        <v>34</v>
      </c>
      <c r="D194" s="11">
        <v>940018</v>
      </c>
      <c r="E194" s="11" t="str">
        <f>"卖出"</f>
        <v>卖出</v>
      </c>
      <c r="F194" s="11" t="str">
        <f>"基金资金拨出"</f>
        <v>基金资金拨出</v>
      </c>
      <c r="G194" s="13">
        <v>0</v>
      </c>
      <c r="H194" s="1">
        <v>0</v>
      </c>
      <c r="I194" s="5">
        <v>-1</v>
      </c>
      <c r="J194" s="5">
        <v>0</v>
      </c>
      <c r="K194" s="1">
        <v>0</v>
      </c>
      <c r="L194" s="1" t="str">
        <f t="shared" ref="C194:L197" si="11">" "</f>
        <v xml:space="preserve"> </v>
      </c>
      <c r="M194" s="1" t="str">
        <f>"122扣除金额 基金代码：940018"</f>
        <v>122扣除金额 基金代码：940018</v>
      </c>
    </row>
    <row r="195" spans="1:13" x14ac:dyDescent="0.2">
      <c r="A195" s="3" t="str">
        <f>"315"</f>
        <v>315</v>
      </c>
      <c r="B195" s="4">
        <v>42780</v>
      </c>
      <c r="C195" s="11" t="s">
        <v>34</v>
      </c>
      <c r="D195" s="11">
        <v>940018</v>
      </c>
      <c r="E195" s="11" t="str">
        <f>"卖出"</f>
        <v>卖出</v>
      </c>
      <c r="F195" s="11" t="str">
        <f>"资管转让资金上账"</f>
        <v>资管转让资金上账</v>
      </c>
      <c r="G195" s="13">
        <v>0</v>
      </c>
      <c r="H195" s="1">
        <v>0</v>
      </c>
      <c r="I195" s="5">
        <v>100300</v>
      </c>
      <c r="J195" s="5">
        <v>100300</v>
      </c>
      <c r="K195" s="1">
        <v>0</v>
      </c>
      <c r="L195" s="1" t="str">
        <f t="shared" si="11"/>
        <v xml:space="preserve"> </v>
      </c>
      <c r="M195" s="1" t="str">
        <f>"快速取现退出资金拨入,产品代码940018,对方资产账户40000545"</f>
        <v>快速取现退出资金拨入,产品代码940018,对方资产账户40000545</v>
      </c>
    </row>
    <row r="196" spans="1:13" x14ac:dyDescent="0.2">
      <c r="A196" s="3" t="str">
        <f>"414"</f>
        <v>414</v>
      </c>
      <c r="B196" s="4">
        <v>42780</v>
      </c>
      <c r="C196" s="11" t="str">
        <f t="shared" si="11"/>
        <v xml:space="preserve"> </v>
      </c>
      <c r="D196" s="11"/>
      <c r="E196" s="11" t="str">
        <f>"卖出"</f>
        <v>卖出</v>
      </c>
      <c r="F196" s="11" t="str">
        <f>"银行转存"</f>
        <v>银行转存</v>
      </c>
      <c r="G196" s="13">
        <v>0</v>
      </c>
      <c r="H196" s="1">
        <v>0</v>
      </c>
      <c r="I196" s="5">
        <v>200</v>
      </c>
      <c r="J196" s="5">
        <v>100500</v>
      </c>
      <c r="K196" s="1">
        <v>0</v>
      </c>
      <c r="L196" s="1" t="str">
        <f t="shared" si="11"/>
        <v xml:space="preserve"> </v>
      </c>
      <c r="M196" s="1" t="str">
        <f>"银行返回码[ ]返回信息[0000 交易成功]|转账成功"</f>
        <v>银行返回码[ ]返回信息[0000 交易成功]|转账成功</v>
      </c>
    </row>
    <row r="197" spans="1:13" x14ac:dyDescent="0.2">
      <c r="A197" s="3" t="str">
        <f>"3308"</f>
        <v>3308</v>
      </c>
      <c r="B197" s="4">
        <v>42780</v>
      </c>
      <c r="C197" s="11" t="s">
        <v>34</v>
      </c>
      <c r="D197" s="11">
        <v>940018</v>
      </c>
      <c r="E197" s="11" t="str">
        <f>"卖出"</f>
        <v>卖出</v>
      </c>
      <c r="F197" s="11" t="str">
        <f>"基金资金拨出"</f>
        <v>基金资金拨出</v>
      </c>
      <c r="G197" s="13">
        <v>0</v>
      </c>
      <c r="H197" s="1">
        <v>0</v>
      </c>
      <c r="I197" s="5">
        <v>-79</v>
      </c>
      <c r="J197" s="5">
        <v>100421</v>
      </c>
      <c r="K197" s="1">
        <v>0</v>
      </c>
      <c r="L197" s="1" t="str">
        <f t="shared" si="11"/>
        <v xml:space="preserve"> </v>
      </c>
      <c r="M197" s="1" t="str">
        <f>"122扣除金额 基金代码：940018"</f>
        <v>122扣除金额 基金代码：940018</v>
      </c>
    </row>
    <row r="198" spans="1:13" x14ac:dyDescent="0.2">
      <c r="A198" s="3" t="str">
        <f>"4036"</f>
        <v>4036</v>
      </c>
      <c r="B198" s="4">
        <v>42780</v>
      </c>
      <c r="C198" s="11" t="str">
        <f>"银华日利"</f>
        <v>银华日利</v>
      </c>
      <c r="D198" s="11" t="str">
        <f>"511880"</f>
        <v>511880</v>
      </c>
      <c r="E198" s="11" t="str">
        <f>"买入"</f>
        <v>买入</v>
      </c>
      <c r="F198" s="11" t="str">
        <f>"证券买入"</f>
        <v>证券买入</v>
      </c>
      <c r="G198" s="13">
        <v>100.42</v>
      </c>
      <c r="H198" s="1">
        <v>1000</v>
      </c>
      <c r="I198" s="5">
        <v>-100420</v>
      </c>
      <c r="J198" s="5">
        <v>1</v>
      </c>
      <c r="K198" s="1">
        <v>0</v>
      </c>
      <c r="L198" s="1" t="str">
        <f>"A280737240"</f>
        <v>A280737240</v>
      </c>
      <c r="M198" s="1" t="str">
        <f>"证券买入"</f>
        <v>证券买入</v>
      </c>
    </row>
    <row r="199" spans="1:13" x14ac:dyDescent="0.2">
      <c r="A199" s="3" t="str">
        <f>"1776"</f>
        <v>1776</v>
      </c>
      <c r="B199" s="4">
        <v>42781</v>
      </c>
      <c r="C199" s="11" t="s">
        <v>34</v>
      </c>
      <c r="D199" s="11">
        <v>940018</v>
      </c>
      <c r="E199" s="11" t="str">
        <f>"卖出"</f>
        <v>卖出</v>
      </c>
      <c r="F199" s="11" t="str">
        <f>"基金资金拨出"</f>
        <v>基金资金拨出</v>
      </c>
      <c r="G199" s="13">
        <v>0</v>
      </c>
      <c r="H199" s="1">
        <v>0</v>
      </c>
      <c r="I199" s="5">
        <v>-8288.74</v>
      </c>
      <c r="J199" s="5">
        <v>-8287.74</v>
      </c>
      <c r="K199" s="1">
        <v>0</v>
      </c>
      <c r="L199" s="1" t="str">
        <f>" "</f>
        <v xml:space="preserve"> </v>
      </c>
      <c r="M199" s="1" t="str">
        <f>"122扣除金额 基金代码：940018"</f>
        <v>122扣除金额 基金代码：940018</v>
      </c>
    </row>
    <row r="200" spans="1:13" x14ac:dyDescent="0.2">
      <c r="A200" s="3" t="str">
        <f>"4365"</f>
        <v>4365</v>
      </c>
      <c r="B200" s="4">
        <v>42781</v>
      </c>
      <c r="C200" s="11" t="str">
        <f>"银华日利"</f>
        <v>银华日利</v>
      </c>
      <c r="D200" s="11" t="str">
        <f>"511880"</f>
        <v>511880</v>
      </c>
      <c r="E200" s="11" t="str">
        <f>"卖出"</f>
        <v>卖出</v>
      </c>
      <c r="F200" s="11" t="str">
        <f>"证券卖出"</f>
        <v>证券卖出</v>
      </c>
      <c r="G200" s="13">
        <v>100.423</v>
      </c>
      <c r="H200" s="1">
        <v>-200</v>
      </c>
      <c r="I200" s="5">
        <v>20084.599999999999</v>
      </c>
      <c r="J200" s="5">
        <v>11796.86</v>
      </c>
      <c r="K200" s="1">
        <v>0</v>
      </c>
      <c r="L200" s="1" t="str">
        <f>"A280737240"</f>
        <v>A280737240</v>
      </c>
      <c r="M200" s="1" t="str">
        <f>"证券卖出"</f>
        <v>证券卖出</v>
      </c>
    </row>
    <row r="201" spans="1:13" x14ac:dyDescent="0.2">
      <c r="A201" s="3" t="str">
        <f>"4366"</f>
        <v>4366</v>
      </c>
      <c r="B201" s="4">
        <v>42781</v>
      </c>
      <c r="C201" s="11" t="str">
        <f>"H股ETF"</f>
        <v>H股ETF</v>
      </c>
      <c r="D201" s="11" t="str">
        <f>"510900"</f>
        <v>510900</v>
      </c>
      <c r="E201" s="11" t="str">
        <f>"买入"</f>
        <v>买入</v>
      </c>
      <c r="F201" s="11" t="str">
        <f>"证券买入"</f>
        <v>证券买入</v>
      </c>
      <c r="G201" s="13">
        <v>1.145</v>
      </c>
      <c r="H201" s="1">
        <v>10300</v>
      </c>
      <c r="I201" s="5">
        <v>-11795.86</v>
      </c>
      <c r="J201" s="5">
        <v>1</v>
      </c>
      <c r="K201" s="1">
        <v>2.36</v>
      </c>
      <c r="L201" s="1" t="str">
        <f>"A280737240"</f>
        <v>A280737240</v>
      </c>
      <c r="M201" s="1" t="str">
        <f>"证券买入"</f>
        <v>证券买入</v>
      </c>
    </row>
    <row r="202" spans="1:13" x14ac:dyDescent="0.2">
      <c r="A202" s="3" t="str">
        <f>"366"</f>
        <v>366</v>
      </c>
      <c r="B202" s="4">
        <v>42782</v>
      </c>
      <c r="C202" s="11" t="s">
        <v>34</v>
      </c>
      <c r="D202" s="11">
        <v>940018</v>
      </c>
      <c r="E202" s="11" t="str">
        <f>"卖出"</f>
        <v>卖出</v>
      </c>
      <c r="F202" s="11" t="str">
        <f>"资管转让资金上账"</f>
        <v>资管转让资金上账</v>
      </c>
      <c r="G202" s="13">
        <v>0</v>
      </c>
      <c r="H202" s="1">
        <v>0</v>
      </c>
      <c r="I202" s="5">
        <v>3999</v>
      </c>
      <c r="J202" s="5">
        <v>4000</v>
      </c>
      <c r="K202" s="1">
        <v>0</v>
      </c>
      <c r="L202" s="1" t="str">
        <f t="shared" ref="C202:L204" si="12">" "</f>
        <v xml:space="preserve"> </v>
      </c>
      <c r="M202" s="1" t="str">
        <f>"快速取现退出资金拨入,产品代码940018,对方资产账户40000545"</f>
        <v>快速取现退出资金拨入,产品代码940018,对方资产账户40000545</v>
      </c>
    </row>
    <row r="203" spans="1:13" x14ac:dyDescent="0.2">
      <c r="A203" s="3" t="str">
        <f>"369"</f>
        <v>369</v>
      </c>
      <c r="B203" s="4">
        <v>42782</v>
      </c>
      <c r="C203" s="11" t="str">
        <f t="shared" si="12"/>
        <v xml:space="preserve"> </v>
      </c>
      <c r="D203" s="11"/>
      <c r="E203" s="11" t="str">
        <f>"卖出"</f>
        <v>卖出</v>
      </c>
      <c r="F203" s="11" t="str">
        <f>"银行转取"</f>
        <v>银行转取</v>
      </c>
      <c r="G203" s="13">
        <v>0</v>
      </c>
      <c r="H203" s="1">
        <v>0</v>
      </c>
      <c r="I203" s="5">
        <v>-4000</v>
      </c>
      <c r="J203" s="5">
        <v>0</v>
      </c>
      <c r="K203" s="1">
        <v>0</v>
      </c>
      <c r="L203" s="1" t="str">
        <f t="shared" si="12"/>
        <v xml:space="preserve"> </v>
      </c>
      <c r="M203" s="1" t="str">
        <f>"银行返回码[ ]返回信息[0000 交易成功]|转账成功"</f>
        <v>银行返回码[ ]返回信息[0000 交易成功]|转账成功</v>
      </c>
    </row>
    <row r="204" spans="1:13" x14ac:dyDescent="0.2">
      <c r="A204" s="3" t="str">
        <f>"1979"</f>
        <v>1979</v>
      </c>
      <c r="B204" s="4">
        <v>42782</v>
      </c>
      <c r="C204" s="11" t="s">
        <v>34</v>
      </c>
      <c r="D204" s="11">
        <v>940018</v>
      </c>
      <c r="E204" s="11" t="str">
        <f>"卖出"</f>
        <v>卖出</v>
      </c>
      <c r="F204" s="11" t="str">
        <f>"基金资金拨出"</f>
        <v>基金资金拨出</v>
      </c>
      <c r="G204" s="13">
        <v>0</v>
      </c>
      <c r="H204" s="1">
        <v>0</v>
      </c>
      <c r="I204" s="5">
        <v>-37977.730000000003</v>
      </c>
      <c r="J204" s="5">
        <v>-37977.730000000003</v>
      </c>
      <c r="K204" s="1">
        <v>0</v>
      </c>
      <c r="L204" s="1" t="str">
        <f t="shared" si="12"/>
        <v xml:space="preserve"> </v>
      </c>
      <c r="M204" s="1" t="str">
        <f>"122扣除金额 基金代码：940018"</f>
        <v>122扣除金额 基金代码：940018</v>
      </c>
    </row>
    <row r="205" spans="1:13" x14ac:dyDescent="0.2">
      <c r="A205" s="3" t="str">
        <f>"3965"</f>
        <v>3965</v>
      </c>
      <c r="B205" s="4">
        <v>42782</v>
      </c>
      <c r="C205" s="11" t="str">
        <f>"银华日利"</f>
        <v>银华日利</v>
      </c>
      <c r="D205" s="11" t="str">
        <f>"511880"</f>
        <v>511880</v>
      </c>
      <c r="E205" s="11" t="str">
        <f>"卖出"</f>
        <v>卖出</v>
      </c>
      <c r="F205" s="11" t="str">
        <f>"证券卖出"</f>
        <v>证券卖出</v>
      </c>
      <c r="G205" s="13">
        <v>100.43</v>
      </c>
      <c r="H205" s="1">
        <v>-800</v>
      </c>
      <c r="I205" s="5">
        <v>80344</v>
      </c>
      <c r="J205" s="5">
        <v>42366.27</v>
      </c>
      <c r="K205" s="1">
        <v>0</v>
      </c>
      <c r="L205" s="1" t="str">
        <f>"A280737240"</f>
        <v>A280737240</v>
      </c>
      <c r="M205" s="1" t="str">
        <f>"证券卖出"</f>
        <v>证券卖出</v>
      </c>
    </row>
    <row r="206" spans="1:13" x14ac:dyDescent="0.2">
      <c r="A206" s="3" t="str">
        <f>"3966"</f>
        <v>3966</v>
      </c>
      <c r="B206" s="4">
        <v>42782</v>
      </c>
      <c r="C206" s="11" t="str">
        <f>"H股ETF"</f>
        <v>H股ETF</v>
      </c>
      <c r="D206" s="11" t="str">
        <f>"510900"</f>
        <v>510900</v>
      </c>
      <c r="E206" s="11" t="str">
        <f>"买入"</f>
        <v>买入</v>
      </c>
      <c r="F206" s="11" t="str">
        <f>"证券买入"</f>
        <v>证券买入</v>
      </c>
      <c r="G206" s="13">
        <v>1.151</v>
      </c>
      <c r="H206" s="1">
        <v>36800</v>
      </c>
      <c r="I206" s="5">
        <v>-42365.27</v>
      </c>
      <c r="J206" s="5">
        <v>1</v>
      </c>
      <c r="K206" s="1">
        <v>8.4700000000000006</v>
      </c>
      <c r="L206" s="1" t="str">
        <f>"A280737240"</f>
        <v>A280737240</v>
      </c>
      <c r="M206" s="1" t="str">
        <f>"证券买入"</f>
        <v>证券买入</v>
      </c>
    </row>
    <row r="207" spans="1:13" x14ac:dyDescent="0.2">
      <c r="A207" s="3" t="str">
        <f>"2746"</f>
        <v>2746</v>
      </c>
      <c r="B207" s="4">
        <v>42783</v>
      </c>
      <c r="C207" s="11" t="s">
        <v>34</v>
      </c>
      <c r="D207" s="11">
        <v>940018</v>
      </c>
      <c r="E207" s="11" t="str">
        <f>"卖出"</f>
        <v>卖出</v>
      </c>
      <c r="F207" s="11" t="str">
        <f>"基金资金拨出"</f>
        <v>基金资金拨出</v>
      </c>
      <c r="G207" s="13">
        <v>0</v>
      </c>
      <c r="H207" s="1">
        <v>0</v>
      </c>
      <c r="I207" s="5">
        <v>-30780.42</v>
      </c>
      <c r="J207" s="5">
        <v>-30779.42</v>
      </c>
      <c r="K207" s="1">
        <v>0</v>
      </c>
      <c r="L207" s="1" t="str">
        <f t="shared" ref="L207:L208" si="13">" "</f>
        <v xml:space="preserve"> </v>
      </c>
      <c r="M207" s="1" t="str">
        <f>"122扣除金额 基金代码：940018"</f>
        <v>122扣除金额 基金代码：940018</v>
      </c>
    </row>
    <row r="208" spans="1:13" x14ac:dyDescent="0.2">
      <c r="A208" s="3" t="str">
        <f>"2748"</f>
        <v>2748</v>
      </c>
      <c r="B208" s="4">
        <v>42783</v>
      </c>
      <c r="C208" s="11" t="s">
        <v>34</v>
      </c>
      <c r="D208" s="11">
        <v>940018</v>
      </c>
      <c r="E208" s="11" t="str">
        <f>"卖出"</f>
        <v>卖出</v>
      </c>
      <c r="F208" s="11" t="str">
        <f>"基金资金拨入"</f>
        <v>基金资金拨入</v>
      </c>
      <c r="G208" s="13">
        <v>0</v>
      </c>
      <c r="H208" s="1">
        <v>0</v>
      </c>
      <c r="I208" s="5">
        <v>42390.34</v>
      </c>
      <c r="J208" s="5">
        <v>11610.92</v>
      </c>
      <c r="K208" s="1">
        <v>0</v>
      </c>
      <c r="L208" s="1" t="str">
        <f t="shared" si="13"/>
        <v xml:space="preserve"> </v>
      </c>
      <c r="M208" s="1" t="str">
        <f>"124增加金额 基金代码：940018,发生份额：42390.34"</f>
        <v>124增加金额 基金代码：940018,发生份额：42390.34</v>
      </c>
    </row>
    <row r="209" spans="1:13" x14ac:dyDescent="0.2">
      <c r="A209" s="3" t="str">
        <f>"5330"</f>
        <v>5330</v>
      </c>
      <c r="B209" s="4">
        <v>42783</v>
      </c>
      <c r="C209" s="11" t="str">
        <f>"H股ETF"</f>
        <v>H股ETF</v>
      </c>
      <c r="D209" s="11" t="str">
        <f>"510900"</f>
        <v>510900</v>
      </c>
      <c r="E209" s="11" t="str">
        <f>"买入"</f>
        <v>买入</v>
      </c>
      <c r="F209" s="11" t="str">
        <f>"证券买入"</f>
        <v>证券买入</v>
      </c>
      <c r="G209" s="13">
        <v>1.1379999999999999</v>
      </c>
      <c r="H209" s="1">
        <v>10200</v>
      </c>
      <c r="I209" s="5">
        <v>-11609.92</v>
      </c>
      <c r="J209" s="5">
        <v>1</v>
      </c>
      <c r="K209" s="1">
        <v>2.3199999999999998</v>
      </c>
      <c r="L209" s="1" t="str">
        <f>"A280737240"</f>
        <v>A280737240</v>
      </c>
      <c r="M209" s="1" t="str">
        <f>"证券买入"</f>
        <v>证券买入</v>
      </c>
    </row>
    <row r="210" spans="1:13" x14ac:dyDescent="0.2">
      <c r="A210" s="3" t="str">
        <f>"2266"</f>
        <v>2266</v>
      </c>
      <c r="B210" s="4">
        <v>42786</v>
      </c>
      <c r="C210" s="11" t="s">
        <v>34</v>
      </c>
      <c r="D210" s="11">
        <v>940018</v>
      </c>
      <c r="E210" s="11" t="str">
        <f>"卖出"</f>
        <v>卖出</v>
      </c>
      <c r="F210" s="11" t="str">
        <f>"基金资金拨出"</f>
        <v>基金资金拨出</v>
      </c>
      <c r="G210" s="13">
        <v>0</v>
      </c>
      <c r="H210" s="1">
        <v>0</v>
      </c>
      <c r="I210" s="5">
        <v>-1</v>
      </c>
      <c r="J210" s="5">
        <v>0</v>
      </c>
      <c r="K210" s="1">
        <v>0</v>
      </c>
      <c r="L210" s="1" t="str">
        <f t="shared" ref="L210:L214" si="14">" "</f>
        <v xml:space="preserve"> </v>
      </c>
      <c r="M210" s="1" t="str">
        <f>"122扣除金额 基金代码：940018"</f>
        <v>122扣除金额 基金代码：940018</v>
      </c>
    </row>
    <row r="211" spans="1:13" x14ac:dyDescent="0.2">
      <c r="A211" s="3" t="str">
        <f>"8304"</f>
        <v>8304</v>
      </c>
      <c r="B211" s="4">
        <v>42789</v>
      </c>
      <c r="C211" s="11" t="s">
        <v>34</v>
      </c>
      <c r="D211" s="11">
        <v>940018</v>
      </c>
      <c r="E211" s="11" t="str">
        <f>"卖出"</f>
        <v>卖出</v>
      </c>
      <c r="F211" s="11" t="str">
        <f>"基金资金拨出"</f>
        <v>基金资金拨出</v>
      </c>
      <c r="G211" s="13">
        <v>0</v>
      </c>
      <c r="H211" s="1">
        <v>0</v>
      </c>
      <c r="I211" s="5">
        <v>-38.770000000000003</v>
      </c>
      <c r="J211" s="5">
        <v>-38.770000000000003</v>
      </c>
      <c r="K211" s="1">
        <v>0</v>
      </c>
      <c r="L211" s="1" t="str">
        <f t="shared" si="14"/>
        <v xml:space="preserve"> </v>
      </c>
      <c r="M211" s="1" t="str">
        <f>"122扣除金额 基金代码：940018"</f>
        <v>122扣除金额 基金代码：940018</v>
      </c>
    </row>
    <row r="212" spans="1:13" x14ac:dyDescent="0.2">
      <c r="A212" s="3" t="str">
        <f>"8306"</f>
        <v>8306</v>
      </c>
      <c r="B212" s="4">
        <v>42789</v>
      </c>
      <c r="C212" s="11" t="s">
        <v>34</v>
      </c>
      <c r="D212" s="11">
        <v>940018</v>
      </c>
      <c r="E212" s="11" t="str">
        <f>"卖出"</f>
        <v>卖出</v>
      </c>
      <c r="F212" s="11" t="str">
        <f>"基金资金拨入"</f>
        <v>基金资金拨入</v>
      </c>
      <c r="G212" s="13">
        <v>0</v>
      </c>
      <c r="H212" s="1">
        <v>0</v>
      </c>
      <c r="I212" s="5">
        <v>30781.42</v>
      </c>
      <c r="J212" s="5">
        <v>30742.65</v>
      </c>
      <c r="K212" s="1">
        <v>0</v>
      </c>
      <c r="L212" s="1" t="str">
        <f t="shared" si="14"/>
        <v xml:space="preserve"> </v>
      </c>
      <c r="M212" s="1" t="str">
        <f>"124增加金额 基金代码：940018,发生份额：30781.42"</f>
        <v>124增加金额 基金代码：940018,发生份额：30781.42</v>
      </c>
    </row>
    <row r="213" spans="1:13" x14ac:dyDescent="0.2">
      <c r="A213" s="3" t="str">
        <f>"496"</f>
        <v>496</v>
      </c>
      <c r="B213" s="4">
        <v>42790</v>
      </c>
      <c r="C213" s="11" t="s">
        <v>34</v>
      </c>
      <c r="D213" s="11">
        <v>940018</v>
      </c>
      <c r="E213" s="11" t="str">
        <f>"卖出"</f>
        <v>卖出</v>
      </c>
      <c r="F213" s="11" t="str">
        <f>"资管转让资金上账"</f>
        <v>资管转让资金上账</v>
      </c>
      <c r="G213" s="13">
        <v>0</v>
      </c>
      <c r="H213" s="1">
        <v>0</v>
      </c>
      <c r="I213" s="5">
        <v>100084</v>
      </c>
      <c r="J213" s="5">
        <v>130826.65</v>
      </c>
      <c r="K213" s="1">
        <v>0</v>
      </c>
      <c r="L213" s="1" t="str">
        <f t="shared" si="14"/>
        <v xml:space="preserve"> </v>
      </c>
      <c r="M213" s="1" t="str">
        <f>"快速取现退出资金拨入,产品代码940018,对方资产账户40000545"</f>
        <v>快速取现退出资金拨入,产品代码940018,对方资产账户40000545</v>
      </c>
    </row>
    <row r="214" spans="1:13" x14ac:dyDescent="0.2">
      <c r="A214" s="3" t="str">
        <f>"2986"</f>
        <v>2986</v>
      </c>
      <c r="B214" s="4">
        <v>42790</v>
      </c>
      <c r="C214" s="11" t="s">
        <v>34</v>
      </c>
      <c r="D214" s="11">
        <v>940018</v>
      </c>
      <c r="E214" s="11" t="str">
        <f>"卖出"</f>
        <v>卖出</v>
      </c>
      <c r="F214" s="11" t="str">
        <f>"基金资金拨出"</f>
        <v>基金资金拨出</v>
      </c>
      <c r="G214" s="13">
        <v>0</v>
      </c>
      <c r="H214" s="1">
        <v>0</v>
      </c>
      <c r="I214" s="5">
        <v>-153.55000000000001</v>
      </c>
      <c r="J214" s="5">
        <v>130673.1</v>
      </c>
      <c r="K214" s="1">
        <v>0</v>
      </c>
      <c r="L214" s="1" t="str">
        <f t="shared" si="14"/>
        <v xml:space="preserve"> </v>
      </c>
      <c r="M214" s="1" t="str">
        <f>"122扣除金额 基金代码：940018"</f>
        <v>122扣除金额 基金代码：940018</v>
      </c>
    </row>
    <row r="215" spans="1:13" x14ac:dyDescent="0.2">
      <c r="A215" s="3" t="str">
        <f>"5170"</f>
        <v>5170</v>
      </c>
      <c r="B215" s="4">
        <v>42790</v>
      </c>
      <c r="C215" s="11" t="str">
        <f>"银华日利"</f>
        <v>银华日利</v>
      </c>
      <c r="D215" s="11" t="str">
        <f>"511880"</f>
        <v>511880</v>
      </c>
      <c r="E215" s="11" t="str">
        <f>"买入"</f>
        <v>买入</v>
      </c>
      <c r="F215" s="11" t="str">
        <f>"证券买入"</f>
        <v>证券买入</v>
      </c>
      <c r="G215" s="13">
        <v>100.517</v>
      </c>
      <c r="H215" s="1">
        <v>1300</v>
      </c>
      <c r="I215" s="5">
        <v>-130672.1</v>
      </c>
      <c r="J215" s="5">
        <v>1</v>
      </c>
      <c r="K215" s="1">
        <v>0</v>
      </c>
      <c r="L215" s="1" t="str">
        <f>"A280737240"</f>
        <v>A280737240</v>
      </c>
      <c r="M215" s="1" t="str">
        <f>"证券买入"</f>
        <v>证券买入</v>
      </c>
    </row>
    <row r="216" spans="1:13" x14ac:dyDescent="0.2">
      <c r="A216" s="3" t="str">
        <f>"2702"</f>
        <v>2702</v>
      </c>
      <c r="B216" s="4">
        <v>42793</v>
      </c>
      <c r="C216" s="11" t="s">
        <v>34</v>
      </c>
      <c r="D216" s="11">
        <v>940018</v>
      </c>
      <c r="E216" s="11" t="str">
        <f>"卖出"</f>
        <v>卖出</v>
      </c>
      <c r="F216" s="11" t="str">
        <f>"基金资金拨出"</f>
        <v>基金资金拨出</v>
      </c>
      <c r="G216" s="13">
        <v>0</v>
      </c>
      <c r="H216" s="1">
        <v>0</v>
      </c>
      <c r="I216" s="5">
        <v>-1</v>
      </c>
      <c r="J216" s="5">
        <v>0</v>
      </c>
      <c r="K216" s="1">
        <v>0</v>
      </c>
      <c r="L216" s="1" t="str">
        <f t="shared" ref="L216:L217" si="15">" "</f>
        <v xml:space="preserve"> </v>
      </c>
      <c r="M216" s="1" t="str">
        <f>"122扣除金额 基金代码：940018"</f>
        <v>122扣除金额 基金代码：940018</v>
      </c>
    </row>
    <row r="217" spans="1:13" x14ac:dyDescent="0.2">
      <c r="A217" s="3" t="str">
        <f>"2232"</f>
        <v>2232</v>
      </c>
      <c r="B217" s="4">
        <v>42795</v>
      </c>
      <c r="C217" s="11" t="s">
        <v>34</v>
      </c>
      <c r="D217" s="11">
        <v>940018</v>
      </c>
      <c r="E217" s="11" t="str">
        <f>"卖出"</f>
        <v>卖出</v>
      </c>
      <c r="F217" s="11" t="str">
        <f>"基金资金拨出"</f>
        <v>基金资金拨出</v>
      </c>
      <c r="G217" s="13">
        <v>0</v>
      </c>
      <c r="H217" s="1">
        <v>0</v>
      </c>
      <c r="I217" s="5">
        <v>-11923.25</v>
      </c>
      <c r="J217" s="5">
        <v>-11923.25</v>
      </c>
      <c r="K217" s="1">
        <v>0</v>
      </c>
      <c r="L217" s="1" t="str">
        <f t="shared" si="15"/>
        <v xml:space="preserve"> </v>
      </c>
      <c r="M217" s="1" t="str">
        <f>"122扣除金额 基金代码：940018"</f>
        <v>122扣除金额 基金代码：940018</v>
      </c>
    </row>
    <row r="218" spans="1:13" x14ac:dyDescent="0.2">
      <c r="A218" s="3" t="str">
        <f>"4565"</f>
        <v>4565</v>
      </c>
      <c r="B218" s="4">
        <v>42795</v>
      </c>
      <c r="C218" s="11" t="str">
        <f>"银华日利"</f>
        <v>银华日利</v>
      </c>
      <c r="D218" s="11" t="str">
        <f>"511880"</f>
        <v>511880</v>
      </c>
      <c r="E218" s="11" t="str">
        <f>"卖出"</f>
        <v>卖出</v>
      </c>
      <c r="F218" s="11" t="str">
        <f>"证券卖出"</f>
        <v>证券卖出</v>
      </c>
      <c r="G218" s="13">
        <v>100.55</v>
      </c>
      <c r="H218" s="1">
        <v>-1300</v>
      </c>
      <c r="I218" s="5">
        <v>130715</v>
      </c>
      <c r="J218" s="5">
        <v>118791.75</v>
      </c>
      <c r="K218" s="1">
        <v>0</v>
      </c>
      <c r="L218" s="1" t="str">
        <f>"A280737240"</f>
        <v>A280737240</v>
      </c>
      <c r="M218" s="1" t="str">
        <f>"证券卖出"</f>
        <v>证券卖出</v>
      </c>
    </row>
    <row r="219" spans="1:13" x14ac:dyDescent="0.2">
      <c r="A219" s="3" t="str">
        <f>"6791"</f>
        <v>6791</v>
      </c>
      <c r="B219" s="4">
        <v>42795</v>
      </c>
      <c r="C219" s="11" t="str">
        <f>"华宝油气"</f>
        <v>华宝油气</v>
      </c>
      <c r="D219" s="11" t="str">
        <f>"162411"</f>
        <v>162411</v>
      </c>
      <c r="E219" s="11" t="str">
        <f>"买入"</f>
        <v>买入</v>
      </c>
      <c r="F219" s="11" t="str">
        <f>"证券买入"</f>
        <v>证券买入</v>
      </c>
      <c r="G219" s="13">
        <v>0.64900000000000002</v>
      </c>
      <c r="H219" s="1">
        <v>183000</v>
      </c>
      <c r="I219" s="5">
        <v>-118790.75</v>
      </c>
      <c r="J219" s="5">
        <v>1</v>
      </c>
      <c r="K219" s="1">
        <v>23.75</v>
      </c>
      <c r="L219" s="1" t="str">
        <f>"0184500716"</f>
        <v>0184500716</v>
      </c>
      <c r="M219" s="1" t="str">
        <f>"证券买入"</f>
        <v>证券买入</v>
      </c>
    </row>
    <row r="220" spans="1:13" x14ac:dyDescent="0.2">
      <c r="A220" s="3" t="str">
        <f>"297"</f>
        <v>297</v>
      </c>
      <c r="B220" s="4">
        <v>42796</v>
      </c>
      <c r="C220" s="11" t="s">
        <v>34</v>
      </c>
      <c r="D220" s="11">
        <v>940018</v>
      </c>
      <c r="E220" s="11" t="str">
        <f>"卖出"</f>
        <v>卖出</v>
      </c>
      <c r="F220" s="11" t="str">
        <f>"资管转让资金上账"</f>
        <v>资管转让资金上账</v>
      </c>
      <c r="G220" s="13">
        <v>0</v>
      </c>
      <c r="H220" s="1">
        <v>0</v>
      </c>
      <c r="I220" s="5">
        <v>231618</v>
      </c>
      <c r="J220" s="5">
        <v>231619</v>
      </c>
      <c r="K220" s="1">
        <v>0</v>
      </c>
      <c r="L220" s="1" t="str">
        <f t="shared" ref="L220:L221" si="16">" "</f>
        <v xml:space="preserve"> </v>
      </c>
      <c r="M220" s="1" t="str">
        <f>"快速取现退出资金拨入,产品代码940018,对方资产账户40000545"</f>
        <v>快速取现退出资金拨入,产品代码940018,对方资产账户40000545</v>
      </c>
    </row>
    <row r="221" spans="1:13" x14ac:dyDescent="0.2">
      <c r="A221" s="3" t="str">
        <f>"1971"</f>
        <v>1971</v>
      </c>
      <c r="B221" s="4">
        <v>42796</v>
      </c>
      <c r="C221" s="11" t="s">
        <v>34</v>
      </c>
      <c r="D221" s="11">
        <v>940018</v>
      </c>
      <c r="E221" s="11" t="str">
        <f>"卖出"</f>
        <v>卖出</v>
      </c>
      <c r="F221" s="11" t="str">
        <f>"基金资金拨出"</f>
        <v>基金资金拨出</v>
      </c>
      <c r="G221" s="13">
        <v>0</v>
      </c>
      <c r="H221" s="1">
        <v>0</v>
      </c>
      <c r="I221" s="5">
        <v>-31616</v>
      </c>
      <c r="J221" s="5">
        <v>200003</v>
      </c>
      <c r="K221" s="1">
        <v>0</v>
      </c>
      <c r="L221" s="1" t="str">
        <f t="shared" si="16"/>
        <v xml:space="preserve"> </v>
      </c>
      <c r="M221" s="1" t="str">
        <f>"122扣除金额 基金代码：940018"</f>
        <v>122扣除金额 基金代码：940018</v>
      </c>
    </row>
    <row r="222" spans="1:13" x14ac:dyDescent="0.2">
      <c r="A222" s="3" t="str">
        <f>"4858"</f>
        <v>4858</v>
      </c>
      <c r="B222" s="4">
        <v>42796</v>
      </c>
      <c r="C222" s="11" t="str">
        <f>"GC001"</f>
        <v>GC001</v>
      </c>
      <c r="D222" s="11" t="str">
        <f>"204001"</f>
        <v>204001</v>
      </c>
      <c r="E222" s="11" t="str">
        <f>"卖出"</f>
        <v>卖出</v>
      </c>
      <c r="F222" s="11" t="str">
        <f>"质押回购拆出"</f>
        <v>质押回购拆出</v>
      </c>
      <c r="G222" s="13">
        <v>4.7050000000000001</v>
      </c>
      <c r="H222" s="1">
        <v>200</v>
      </c>
      <c r="I222" s="5">
        <v>-200002</v>
      </c>
      <c r="J222" s="5">
        <v>1</v>
      </c>
      <c r="K222" s="1">
        <v>2</v>
      </c>
      <c r="L222" s="1" t="str">
        <f>"A280737240"</f>
        <v>A280737240</v>
      </c>
      <c r="M222" s="1" t="str">
        <f>"融券回购购回日:20170303息:26.14-888880"</f>
        <v>融券回购购回日:20170303息:26.14-888880</v>
      </c>
    </row>
    <row r="223" spans="1:13" x14ac:dyDescent="0.2">
      <c r="A223" s="3" t="str">
        <f>"2947"</f>
        <v>2947</v>
      </c>
      <c r="B223" s="4">
        <v>42797</v>
      </c>
      <c r="C223" s="11" t="str">
        <f>"银华日利"</f>
        <v>银华日利</v>
      </c>
      <c r="D223" s="11" t="str">
        <f>"511880"</f>
        <v>511880</v>
      </c>
      <c r="E223" s="11" t="str">
        <f>"买入"</f>
        <v>买入</v>
      </c>
      <c r="F223" s="11" t="str">
        <f>"证券买入"</f>
        <v>证券买入</v>
      </c>
      <c r="G223" s="13">
        <v>100.583</v>
      </c>
      <c r="H223" s="1">
        <v>2400</v>
      </c>
      <c r="I223" s="5">
        <v>-241399.2</v>
      </c>
      <c r="J223" s="5">
        <v>-241398.2</v>
      </c>
      <c r="K223" s="1">
        <v>0</v>
      </c>
      <c r="L223" s="1" t="str">
        <f>"A280737240"</f>
        <v>A280737240</v>
      </c>
      <c r="M223" s="1" t="str">
        <f>"证券买入"</f>
        <v>证券买入</v>
      </c>
    </row>
    <row r="224" spans="1:13" x14ac:dyDescent="0.2">
      <c r="A224" s="3" t="str">
        <f>"5518"</f>
        <v>5518</v>
      </c>
      <c r="B224" s="4">
        <v>42797</v>
      </c>
      <c r="C224" s="11" t="str">
        <f>"GC001"</f>
        <v>GC001</v>
      </c>
      <c r="D224" s="11" t="str">
        <f>"204001"</f>
        <v>204001</v>
      </c>
      <c r="E224" s="11" t="str">
        <f t="shared" ref="E224:E230" si="17">"卖出"</f>
        <v>卖出</v>
      </c>
      <c r="F224" s="11" t="str">
        <f>"拆出质押购回"</f>
        <v>拆出质押购回</v>
      </c>
      <c r="G224" s="13">
        <v>4.7050000000000001</v>
      </c>
      <c r="H224" s="1">
        <v>-200</v>
      </c>
      <c r="I224" s="5">
        <v>200026.14</v>
      </c>
      <c r="J224" s="5">
        <v>-41372.06</v>
      </c>
      <c r="K224" s="1">
        <v>0</v>
      </c>
      <c r="L224" s="1" t="str">
        <f>"A280737240"</f>
        <v>A280737240</v>
      </c>
      <c r="M224" s="1" t="str">
        <f>"融券购回:26.14-888880"</f>
        <v>融券购回:26.14-888880</v>
      </c>
    </row>
    <row r="225" spans="1:13" x14ac:dyDescent="0.2">
      <c r="A225" s="3" t="str">
        <f>"6864"</f>
        <v>6864</v>
      </c>
      <c r="B225" s="4">
        <v>42797</v>
      </c>
      <c r="C225" s="11" t="s">
        <v>34</v>
      </c>
      <c r="D225" s="11">
        <v>940018</v>
      </c>
      <c r="E225" s="11" t="str">
        <f t="shared" si="17"/>
        <v>卖出</v>
      </c>
      <c r="F225" s="11" t="str">
        <f>"基金资金拨出"</f>
        <v>基金资金拨出</v>
      </c>
      <c r="G225" s="13">
        <v>0</v>
      </c>
      <c r="H225" s="1">
        <v>0</v>
      </c>
      <c r="I225" s="5">
        <v>-2379.7600000000002</v>
      </c>
      <c r="J225" s="5">
        <v>-43751.82</v>
      </c>
      <c r="K225" s="1">
        <v>0</v>
      </c>
      <c r="L225" s="1" t="str">
        <f t="shared" ref="L225:L229" si="18">" "</f>
        <v xml:space="preserve"> </v>
      </c>
      <c r="M225" s="1" t="str">
        <f>"122扣除金额 基金代码：940018"</f>
        <v>122扣除金额 基金代码：940018</v>
      </c>
    </row>
    <row r="226" spans="1:13" x14ac:dyDescent="0.2">
      <c r="A226" s="3" t="str">
        <f>"6865"</f>
        <v>6865</v>
      </c>
      <c r="B226" s="4">
        <v>42797</v>
      </c>
      <c r="C226" s="11" t="s">
        <v>34</v>
      </c>
      <c r="D226" s="11">
        <v>940018</v>
      </c>
      <c r="E226" s="11" t="str">
        <f t="shared" si="17"/>
        <v>卖出</v>
      </c>
      <c r="F226" s="11" t="str">
        <f>"基金资金拨入"</f>
        <v>基金资金拨入</v>
      </c>
      <c r="G226" s="13">
        <v>0</v>
      </c>
      <c r="H226" s="1">
        <v>0</v>
      </c>
      <c r="I226" s="5">
        <v>43752.82</v>
      </c>
      <c r="J226" s="5">
        <v>1</v>
      </c>
      <c r="K226" s="1">
        <v>0</v>
      </c>
      <c r="L226" s="1" t="str">
        <f t="shared" si="18"/>
        <v xml:space="preserve"> </v>
      </c>
      <c r="M226" s="1" t="str">
        <f>"124增加金额 基金代码：940018,发生份额：43752.82"</f>
        <v>124增加金额 基金代码：940018,发生份额：43752.82</v>
      </c>
    </row>
    <row r="227" spans="1:13" x14ac:dyDescent="0.2">
      <c r="A227" s="3" t="str">
        <f>"2258"</f>
        <v>2258</v>
      </c>
      <c r="B227" s="4">
        <v>42800</v>
      </c>
      <c r="C227" s="11" t="s">
        <v>34</v>
      </c>
      <c r="D227" s="11">
        <v>940018</v>
      </c>
      <c r="E227" s="11" t="str">
        <f t="shared" si="17"/>
        <v>卖出</v>
      </c>
      <c r="F227" s="11" t="str">
        <f>"基金资金拨出"</f>
        <v>基金资金拨出</v>
      </c>
      <c r="G227" s="13">
        <v>0</v>
      </c>
      <c r="H227" s="1">
        <v>0</v>
      </c>
      <c r="I227" s="5">
        <v>-1</v>
      </c>
      <c r="J227" s="5">
        <v>0</v>
      </c>
      <c r="K227" s="1">
        <v>0</v>
      </c>
      <c r="L227" s="1" t="str">
        <f t="shared" si="18"/>
        <v xml:space="preserve"> </v>
      </c>
      <c r="M227" s="1" t="str">
        <f>"122扣除金额 基金代码：940018"</f>
        <v>122扣除金额 基金代码：940018</v>
      </c>
    </row>
    <row r="228" spans="1:13" x14ac:dyDescent="0.2">
      <c r="A228" s="3" t="str">
        <f>"2391"</f>
        <v>2391</v>
      </c>
      <c r="B228" s="4">
        <v>42803</v>
      </c>
      <c r="C228" s="11" t="s">
        <v>34</v>
      </c>
      <c r="D228" s="11">
        <v>940018</v>
      </c>
      <c r="E228" s="11" t="str">
        <f t="shared" si="17"/>
        <v>卖出</v>
      </c>
      <c r="F228" s="11" t="str">
        <f>"基金资金拨出"</f>
        <v>基金资金拨出</v>
      </c>
      <c r="G228" s="13">
        <v>0</v>
      </c>
      <c r="H228" s="1">
        <v>0</v>
      </c>
      <c r="I228" s="5">
        <v>-26.74</v>
      </c>
      <c r="J228" s="5">
        <v>-26.74</v>
      </c>
      <c r="K228" s="1">
        <v>0</v>
      </c>
      <c r="L228" s="1" t="str">
        <f t="shared" si="18"/>
        <v xml:space="preserve"> </v>
      </c>
      <c r="M228" s="1" t="str">
        <f>"122扣除金额 基金代码：940018"</f>
        <v>122扣除金额 基金代码：940018</v>
      </c>
    </row>
    <row r="229" spans="1:13" x14ac:dyDescent="0.2">
      <c r="A229" s="3" t="str">
        <f>"2392"</f>
        <v>2392</v>
      </c>
      <c r="B229" s="4">
        <v>42803</v>
      </c>
      <c r="C229" s="11" t="s">
        <v>34</v>
      </c>
      <c r="D229" s="11">
        <v>940018</v>
      </c>
      <c r="E229" s="11" t="str">
        <f t="shared" si="17"/>
        <v>卖出</v>
      </c>
      <c r="F229" s="11" t="str">
        <f>"基金资金拨入"</f>
        <v>基金资金拨入</v>
      </c>
      <c r="G229" s="13">
        <v>0</v>
      </c>
      <c r="H229" s="1">
        <v>0</v>
      </c>
      <c r="I229" s="5">
        <v>2380.7600000000002</v>
      </c>
      <c r="J229" s="5">
        <v>2354.02</v>
      </c>
      <c r="K229" s="1">
        <v>0</v>
      </c>
      <c r="L229" s="1" t="str">
        <f t="shared" si="18"/>
        <v xml:space="preserve"> </v>
      </c>
      <c r="M229" s="1" t="str">
        <f>"124增加金额 基金代码：940018,发生份额：2380.76"</f>
        <v>124增加金额 基金代码：940018,发生份额：2380.76</v>
      </c>
    </row>
    <row r="230" spans="1:13" x14ac:dyDescent="0.2">
      <c r="A230" s="3" t="str">
        <f>"5011"</f>
        <v>5011</v>
      </c>
      <c r="B230" s="4">
        <v>42803</v>
      </c>
      <c r="C230" s="11" t="str">
        <f>"银华日利"</f>
        <v>银华日利</v>
      </c>
      <c r="D230" s="11" t="str">
        <f>"511880"</f>
        <v>511880</v>
      </c>
      <c r="E230" s="11" t="str">
        <f t="shared" si="17"/>
        <v>卖出</v>
      </c>
      <c r="F230" s="11" t="str">
        <f>"证券卖出"</f>
        <v>证券卖出</v>
      </c>
      <c r="G230" s="13">
        <v>100.64700000000001</v>
      </c>
      <c r="H230" s="1">
        <v>-1200</v>
      </c>
      <c r="I230" s="5">
        <v>120776.4</v>
      </c>
      <c r="J230" s="5">
        <v>123130.42</v>
      </c>
      <c r="K230" s="1">
        <v>0</v>
      </c>
      <c r="L230" s="1" t="str">
        <f>"A280737240"</f>
        <v>A280737240</v>
      </c>
      <c r="M230" s="1" t="str">
        <f>"证券卖出"</f>
        <v>证券卖出</v>
      </c>
    </row>
    <row r="231" spans="1:13" x14ac:dyDescent="0.2">
      <c r="A231" s="3" t="str">
        <f>"6954"</f>
        <v>6954</v>
      </c>
      <c r="B231" s="4">
        <v>42803</v>
      </c>
      <c r="C231" s="11" t="str">
        <f>"华宝油气"</f>
        <v>华宝油气</v>
      </c>
      <c r="D231" s="11" t="str">
        <f>"162411"</f>
        <v>162411</v>
      </c>
      <c r="E231" s="11" t="str">
        <f>"买入"</f>
        <v>买入</v>
      </c>
      <c r="F231" s="11" t="str">
        <f>"证券买入"</f>
        <v>证券买入</v>
      </c>
      <c r="G231" s="13">
        <v>0.623</v>
      </c>
      <c r="H231" s="1">
        <v>197600</v>
      </c>
      <c r="I231" s="5">
        <v>-123129.42</v>
      </c>
      <c r="J231" s="5">
        <v>1</v>
      </c>
      <c r="K231" s="1">
        <v>24.62</v>
      </c>
      <c r="L231" s="1" t="str">
        <f>"0184500716"</f>
        <v>0184500716</v>
      </c>
      <c r="M231" s="1" t="str">
        <f>"证券买入"</f>
        <v>证券买入</v>
      </c>
    </row>
    <row r="232" spans="1:13" x14ac:dyDescent="0.2">
      <c r="A232" s="3" t="str">
        <f>"7013"</f>
        <v>7013</v>
      </c>
      <c r="B232" s="4">
        <v>42804</v>
      </c>
      <c r="C232" s="11" t="s">
        <v>34</v>
      </c>
      <c r="D232" s="11">
        <v>940018</v>
      </c>
      <c r="E232" s="11" t="str">
        <f>"卖出"</f>
        <v>卖出</v>
      </c>
      <c r="F232" s="11" t="str">
        <f>"基金资金拨出"</f>
        <v>基金资金拨出</v>
      </c>
      <c r="G232" s="13">
        <v>0</v>
      </c>
      <c r="H232" s="1">
        <v>0</v>
      </c>
      <c r="I232" s="5">
        <v>-1</v>
      </c>
      <c r="J232" s="5">
        <v>0</v>
      </c>
      <c r="K232" s="1">
        <v>0</v>
      </c>
      <c r="L232" s="1" t="str">
        <f t="shared" ref="L232:L233" si="19">" "</f>
        <v xml:space="preserve"> </v>
      </c>
      <c r="M232" s="1" t="str">
        <f>"122扣除金额 基金代码：940018"</f>
        <v>122扣除金额 基金代码：940018</v>
      </c>
    </row>
    <row r="233" spans="1:13" x14ac:dyDescent="0.2">
      <c r="A233" s="3" t="str">
        <f>"2448"</f>
        <v>2448</v>
      </c>
      <c r="B233" s="4">
        <v>42810</v>
      </c>
      <c r="C233" s="11" t="s">
        <v>34</v>
      </c>
      <c r="D233" s="11">
        <v>940018</v>
      </c>
      <c r="E233" s="11" t="str">
        <f>"卖出"</f>
        <v>卖出</v>
      </c>
      <c r="F233" s="11" t="str">
        <f>"基金资金拨出"</f>
        <v>基金资金拨出</v>
      </c>
      <c r="G233" s="13">
        <v>0</v>
      </c>
      <c r="H233" s="1">
        <v>0</v>
      </c>
      <c r="I233" s="5">
        <v>-330.85</v>
      </c>
      <c r="J233" s="5">
        <v>-330.85</v>
      </c>
      <c r="K233" s="1">
        <v>0</v>
      </c>
      <c r="L233" s="1" t="str">
        <f t="shared" si="19"/>
        <v xml:space="preserve"> </v>
      </c>
      <c r="M233" s="1" t="str">
        <f>"122扣除金额 基金代码：940018"</f>
        <v>122扣除金额 基金代码：940018</v>
      </c>
    </row>
    <row r="234" spans="1:13" x14ac:dyDescent="0.2">
      <c r="A234" s="3" t="str">
        <f>"5211"</f>
        <v>5211</v>
      </c>
      <c r="B234" s="4">
        <v>42810</v>
      </c>
      <c r="C234" s="11" t="str">
        <f>"H股ETF"</f>
        <v>H股ETF</v>
      </c>
      <c r="D234" s="11" t="str">
        <f>"510900"</f>
        <v>510900</v>
      </c>
      <c r="E234" s="11" t="str">
        <f>"卖出"</f>
        <v>卖出</v>
      </c>
      <c r="F234" s="11" t="str">
        <f>"证券卖出"</f>
        <v>证券卖出</v>
      </c>
      <c r="G234" s="13">
        <v>1.151</v>
      </c>
      <c r="H234" s="1">
        <v>-42000</v>
      </c>
      <c r="I234" s="5">
        <v>48332.33</v>
      </c>
      <c r="J234" s="5">
        <v>48001.48</v>
      </c>
      <c r="K234" s="1">
        <v>9.67</v>
      </c>
      <c r="L234" s="1" t="str">
        <f>"A280737240"</f>
        <v>A280737240</v>
      </c>
      <c r="M234" s="1" t="str">
        <f>"证券卖出"</f>
        <v>证券卖出</v>
      </c>
    </row>
    <row r="235" spans="1:13" x14ac:dyDescent="0.2">
      <c r="A235" s="3" t="str">
        <f>"7488"</f>
        <v>7488</v>
      </c>
      <c r="B235" s="4">
        <v>42810</v>
      </c>
      <c r="C235" s="11" t="str">
        <f>"Ｒ-001"</f>
        <v>Ｒ-001</v>
      </c>
      <c r="D235" s="11" t="str">
        <f>"131810"</f>
        <v>131810</v>
      </c>
      <c r="E235" s="11" t="str">
        <f>"卖出"</f>
        <v>卖出</v>
      </c>
      <c r="F235" s="11" t="str">
        <f>"质押回购拆出"</f>
        <v>质押回购拆出</v>
      </c>
      <c r="G235" s="13">
        <v>7.5090000000000003</v>
      </c>
      <c r="H235" s="1">
        <v>480</v>
      </c>
      <c r="I235" s="5">
        <v>-48000.480000000003</v>
      </c>
      <c r="J235" s="5">
        <v>1</v>
      </c>
      <c r="K235" s="1">
        <v>0.48</v>
      </c>
      <c r="L235" s="1" t="str">
        <f>"0184500716"</f>
        <v>0184500716</v>
      </c>
      <c r="M235" s="1" t="str">
        <f>"融券回购购回日:20170317息:9.87-131990"</f>
        <v>融券回购购回日:20170317息:9.87-131990</v>
      </c>
    </row>
    <row r="236" spans="1:13" x14ac:dyDescent="0.2">
      <c r="A236" s="3" t="str">
        <f>"2664"</f>
        <v>2664</v>
      </c>
      <c r="B236" s="4">
        <v>42811</v>
      </c>
      <c r="C236" s="11" t="s">
        <v>34</v>
      </c>
      <c r="D236" s="11">
        <v>940018</v>
      </c>
      <c r="E236" s="11" t="str">
        <f>"卖出"</f>
        <v>卖出</v>
      </c>
      <c r="F236" s="11" t="str">
        <f>"基金资金拨出"</f>
        <v>基金资金拨出</v>
      </c>
      <c r="G236" s="13">
        <v>0</v>
      </c>
      <c r="H236" s="1">
        <v>0</v>
      </c>
      <c r="I236" s="5">
        <v>-7745.87</v>
      </c>
      <c r="J236" s="5">
        <v>-7744.87</v>
      </c>
      <c r="K236" s="1">
        <v>0</v>
      </c>
      <c r="L236" s="1" t="str">
        <f>" "</f>
        <v xml:space="preserve"> </v>
      </c>
      <c r="M236" s="1" t="str">
        <f>"122扣除金额 基金代码：940018"</f>
        <v>122扣除金额 基金代码：940018</v>
      </c>
    </row>
    <row r="237" spans="1:13" x14ac:dyDescent="0.2">
      <c r="A237" s="3" t="str">
        <f>"5660"</f>
        <v>5660</v>
      </c>
      <c r="B237" s="4">
        <v>42811</v>
      </c>
      <c r="C237" s="11" t="str">
        <f>"银华日利"</f>
        <v>银华日利</v>
      </c>
      <c r="D237" s="11" t="str">
        <f>"511880"</f>
        <v>511880</v>
      </c>
      <c r="E237" s="11" t="str">
        <f>"买入"</f>
        <v>买入</v>
      </c>
      <c r="F237" s="11" t="str">
        <f>"证券买入"</f>
        <v>证券买入</v>
      </c>
      <c r="G237" s="13">
        <v>100.66</v>
      </c>
      <c r="H237" s="1">
        <v>400</v>
      </c>
      <c r="I237" s="5">
        <v>-40264</v>
      </c>
      <c r="J237" s="5">
        <v>-48008.87</v>
      </c>
      <c r="K237" s="1">
        <v>0</v>
      </c>
      <c r="L237" s="1" t="str">
        <f>"A280737240"</f>
        <v>A280737240</v>
      </c>
      <c r="M237" s="1" t="str">
        <f>"证券买入"</f>
        <v>证券买入</v>
      </c>
    </row>
    <row r="238" spans="1:13" x14ac:dyDescent="0.2">
      <c r="A238" s="3" t="str">
        <f>"9598"</f>
        <v>9598</v>
      </c>
      <c r="B238" s="4">
        <v>42811</v>
      </c>
      <c r="C238" s="11" t="str">
        <f>"Ｒ-001"</f>
        <v>Ｒ-001</v>
      </c>
      <c r="D238" s="11" t="str">
        <f>"131810"</f>
        <v>131810</v>
      </c>
      <c r="E238" s="11" t="str">
        <f t="shared" ref="E238:E257" si="20">"卖出"</f>
        <v>卖出</v>
      </c>
      <c r="F238" s="11" t="str">
        <f>"拆出质押购回"</f>
        <v>拆出质押购回</v>
      </c>
      <c r="G238" s="13">
        <v>7.5090000000000003</v>
      </c>
      <c r="H238" s="1">
        <v>-480</v>
      </c>
      <c r="I238" s="5">
        <v>48009.87</v>
      </c>
      <c r="J238" s="5">
        <v>1</v>
      </c>
      <c r="K238" s="1">
        <v>0</v>
      </c>
      <c r="L238" s="1" t="str">
        <f>"0184500716"</f>
        <v>0184500716</v>
      </c>
      <c r="M238" s="1" t="str">
        <f>"融券购回:9.87-131990"</f>
        <v>融券购回:9.87-131990</v>
      </c>
    </row>
    <row r="239" spans="1:13" x14ac:dyDescent="0.2">
      <c r="A239" s="3" t="str">
        <f>"2321"</f>
        <v>2321</v>
      </c>
      <c r="B239" s="4">
        <v>42814</v>
      </c>
      <c r="C239" s="11" t="s">
        <v>34</v>
      </c>
      <c r="D239" s="11">
        <v>940018</v>
      </c>
      <c r="E239" s="11" t="str">
        <f t="shared" si="20"/>
        <v>卖出</v>
      </c>
      <c r="F239" s="11" t="str">
        <f>"基金资金拨出"</f>
        <v>基金资金拨出</v>
      </c>
      <c r="G239" s="13">
        <v>0</v>
      </c>
      <c r="H239" s="1">
        <v>0</v>
      </c>
      <c r="I239" s="5">
        <v>-1</v>
      </c>
      <c r="J239" s="5">
        <v>0</v>
      </c>
      <c r="K239" s="1">
        <v>0</v>
      </c>
      <c r="L239" s="1" t="str">
        <f t="shared" ref="C239:L242" si="21">" "</f>
        <v xml:space="preserve"> </v>
      </c>
      <c r="M239" s="1" t="str">
        <f>"122扣除金额 基金代码：940018"</f>
        <v>122扣除金额 基金代码：940018</v>
      </c>
    </row>
    <row r="240" spans="1:13" x14ac:dyDescent="0.2">
      <c r="A240" s="3" t="str">
        <f>"6480"</f>
        <v>6480</v>
      </c>
      <c r="B240" s="4">
        <v>42815</v>
      </c>
      <c r="C240" s="11" t="str">
        <f t="shared" si="21"/>
        <v xml:space="preserve"> </v>
      </c>
      <c r="D240" s="11"/>
      <c r="E240" s="11" t="str">
        <f t="shared" si="20"/>
        <v>卖出</v>
      </c>
      <c r="F240" s="11" t="str">
        <f>"利息归本"</f>
        <v>利息归本</v>
      </c>
      <c r="G240" s="13">
        <v>0</v>
      </c>
      <c r="H240" s="1">
        <v>0</v>
      </c>
      <c r="I240" s="5">
        <v>2.38</v>
      </c>
      <c r="J240" s="5">
        <v>2.38</v>
      </c>
      <c r="K240" s="1">
        <v>0</v>
      </c>
      <c r="L240" s="1" t="str">
        <f t="shared" si="21"/>
        <v xml:space="preserve"> </v>
      </c>
      <c r="M240" s="1" t="str">
        <f>" 利息归本: 归本利息为 2.38"</f>
        <v xml:space="preserve"> 利息归本: 归本利息为 2.38</v>
      </c>
    </row>
    <row r="241" spans="1:13" x14ac:dyDescent="0.2">
      <c r="A241" s="3" t="str">
        <f>"9425"</f>
        <v>9425</v>
      </c>
      <c r="B241" s="4">
        <v>42815</v>
      </c>
      <c r="C241" s="11" t="s">
        <v>34</v>
      </c>
      <c r="D241" s="11">
        <v>940018</v>
      </c>
      <c r="E241" s="11" t="str">
        <f t="shared" si="20"/>
        <v>卖出</v>
      </c>
      <c r="F241" s="11" t="str">
        <f>"基金资金拨出"</f>
        <v>基金资金拨出</v>
      </c>
      <c r="G241" s="13">
        <v>0</v>
      </c>
      <c r="H241" s="1">
        <v>0</v>
      </c>
      <c r="I241" s="5">
        <v>-104.22</v>
      </c>
      <c r="J241" s="5">
        <v>-101.84</v>
      </c>
      <c r="K241" s="1">
        <v>0</v>
      </c>
      <c r="L241" s="1" t="str">
        <f t="shared" si="21"/>
        <v xml:space="preserve"> </v>
      </c>
      <c r="M241" s="1" t="str">
        <f>"122扣除金额 基金代码：940018"</f>
        <v>122扣除金额 基金代码：940018</v>
      </c>
    </row>
    <row r="242" spans="1:13" x14ac:dyDescent="0.2">
      <c r="A242" s="3" t="str">
        <f>"9428"</f>
        <v>9428</v>
      </c>
      <c r="B242" s="4">
        <v>42815</v>
      </c>
      <c r="C242" s="11" t="s">
        <v>34</v>
      </c>
      <c r="D242" s="11">
        <v>940018</v>
      </c>
      <c r="E242" s="11" t="str">
        <f t="shared" si="20"/>
        <v>卖出</v>
      </c>
      <c r="F242" s="11" t="str">
        <f>"基金资金拨入"</f>
        <v>基金资金拨入</v>
      </c>
      <c r="G242" s="13">
        <v>0</v>
      </c>
      <c r="H242" s="1">
        <v>0</v>
      </c>
      <c r="I242" s="5">
        <v>8105.46</v>
      </c>
      <c r="J242" s="5">
        <v>8003.62</v>
      </c>
      <c r="K242" s="1">
        <v>0</v>
      </c>
      <c r="L242" s="1" t="str">
        <f t="shared" si="21"/>
        <v xml:space="preserve"> </v>
      </c>
      <c r="M242" s="1" t="str">
        <f>"124增加金额 基金代码：940018,发生份额：8105.46"</f>
        <v>124增加金额 基金代码：940018,发生份额：8105.46</v>
      </c>
    </row>
    <row r="243" spans="1:13" x14ac:dyDescent="0.2">
      <c r="A243" s="3" t="str">
        <f>"14580"</f>
        <v>14580</v>
      </c>
      <c r="B243" s="4">
        <v>42815</v>
      </c>
      <c r="C243" s="11" t="str">
        <f>"Ｒ-003"</f>
        <v>Ｒ-003</v>
      </c>
      <c r="D243" s="11" t="str">
        <f>"131800"</f>
        <v>131800</v>
      </c>
      <c r="E243" s="11" t="str">
        <f t="shared" si="20"/>
        <v>卖出</v>
      </c>
      <c r="F243" s="11" t="str">
        <f>"质押回购拆出"</f>
        <v>质押回购拆出</v>
      </c>
      <c r="G243" s="13">
        <v>6.8579999999999997</v>
      </c>
      <c r="H243" s="1">
        <v>80</v>
      </c>
      <c r="I243" s="5">
        <v>-8000.24</v>
      </c>
      <c r="J243" s="5">
        <v>3.38</v>
      </c>
      <c r="K243" s="1">
        <v>0.24</v>
      </c>
      <c r="L243" s="1" t="str">
        <f>"0184500716"</f>
        <v>0184500716</v>
      </c>
      <c r="M243" s="1" t="str">
        <f>"融券回购购回日:20170324息:4.51-131990"</f>
        <v>融券回购购回日:20170324息:4.51-131990</v>
      </c>
    </row>
    <row r="244" spans="1:13" x14ac:dyDescent="0.2">
      <c r="A244" s="3" t="str">
        <f>"9146"</f>
        <v>9146</v>
      </c>
      <c r="B244" s="4">
        <v>42816</v>
      </c>
      <c r="C244" s="11" t="s">
        <v>34</v>
      </c>
      <c r="D244" s="11">
        <v>940018</v>
      </c>
      <c r="E244" s="11" t="str">
        <f t="shared" si="20"/>
        <v>卖出</v>
      </c>
      <c r="F244" s="11" t="str">
        <f>"基金资金拨出"</f>
        <v>基金资金拨出</v>
      </c>
      <c r="G244" s="13">
        <v>0</v>
      </c>
      <c r="H244" s="1">
        <v>0</v>
      </c>
      <c r="I244" s="5">
        <v>-3.38</v>
      </c>
      <c r="J244" s="5">
        <v>0</v>
      </c>
      <c r="K244" s="1">
        <v>0</v>
      </c>
      <c r="L244" s="1" t="str">
        <f t="shared" ref="L244:L245" si="22">" "</f>
        <v xml:space="preserve"> </v>
      </c>
      <c r="M244" s="1" t="str">
        <f>"122扣除金额 基金代码：940018"</f>
        <v>122扣除金额 基金代码：940018</v>
      </c>
    </row>
    <row r="245" spans="1:13" x14ac:dyDescent="0.2">
      <c r="A245" s="3" t="str">
        <f>"2499"</f>
        <v>2499</v>
      </c>
      <c r="B245" s="4">
        <v>42818</v>
      </c>
      <c r="C245" s="11" t="s">
        <v>34</v>
      </c>
      <c r="D245" s="11">
        <v>940018</v>
      </c>
      <c r="E245" s="11" t="str">
        <f t="shared" si="20"/>
        <v>卖出</v>
      </c>
      <c r="F245" s="11" t="str">
        <f>"基金资金拨出"</f>
        <v>基金资金拨出</v>
      </c>
      <c r="G245" s="13">
        <v>0</v>
      </c>
      <c r="H245" s="1">
        <v>0</v>
      </c>
      <c r="I245" s="5">
        <v>-8004.51</v>
      </c>
      <c r="J245" s="5">
        <v>-8004.51</v>
      </c>
      <c r="K245" s="1">
        <v>0</v>
      </c>
      <c r="L245" s="1" t="str">
        <f t="shared" si="22"/>
        <v xml:space="preserve"> </v>
      </c>
      <c r="M245" s="1" t="str">
        <f>"122扣除金额 基金代码：940018"</f>
        <v>122扣除金额 基金代码：940018</v>
      </c>
    </row>
    <row r="246" spans="1:13" x14ac:dyDescent="0.2">
      <c r="A246" s="3" t="str">
        <f>"8743"</f>
        <v>8743</v>
      </c>
      <c r="B246" s="4">
        <v>42818</v>
      </c>
      <c r="C246" s="11" t="str">
        <f>"Ｒ-003"</f>
        <v>Ｒ-003</v>
      </c>
      <c r="D246" s="11" t="str">
        <f>"131800"</f>
        <v>131800</v>
      </c>
      <c r="E246" s="11" t="str">
        <f t="shared" si="20"/>
        <v>卖出</v>
      </c>
      <c r="F246" s="11" t="str">
        <f>"拆出质押购回"</f>
        <v>拆出质押购回</v>
      </c>
      <c r="G246" s="13">
        <v>6.8579999999999997</v>
      </c>
      <c r="H246" s="1">
        <v>-80</v>
      </c>
      <c r="I246" s="5">
        <v>8004.51</v>
      </c>
      <c r="J246" s="5">
        <v>0</v>
      </c>
      <c r="K246" s="1">
        <v>0</v>
      </c>
      <c r="L246" s="1" t="str">
        <f>"0184500716"</f>
        <v>0184500716</v>
      </c>
      <c r="M246" s="1" t="str">
        <f>"融券购回:4.51-131990"</f>
        <v>融券购回:4.51-131990</v>
      </c>
    </row>
    <row r="247" spans="1:13" x14ac:dyDescent="0.2">
      <c r="A247" s="3" t="str">
        <f>"6261"</f>
        <v>6261</v>
      </c>
      <c r="B247" s="4">
        <v>42822</v>
      </c>
      <c r="C247" s="11" t="str">
        <f>"Ｒ-001"</f>
        <v>Ｒ-001</v>
      </c>
      <c r="D247" s="11" t="str">
        <f>"131810"</f>
        <v>131810</v>
      </c>
      <c r="E247" s="11" t="str">
        <f t="shared" si="20"/>
        <v>卖出</v>
      </c>
      <c r="F247" s="11" t="str">
        <f>"质押回购拆出"</f>
        <v>质押回购拆出</v>
      </c>
      <c r="G247" s="13">
        <v>6.1</v>
      </c>
      <c r="H247" s="1">
        <v>80</v>
      </c>
      <c r="I247" s="5">
        <v>-8000.08</v>
      </c>
      <c r="J247" s="5">
        <v>-8000.08</v>
      </c>
      <c r="K247" s="1">
        <v>0.08</v>
      </c>
      <c r="L247" s="1" t="str">
        <f>"0184500716"</f>
        <v>0184500716</v>
      </c>
      <c r="M247" s="1" t="str">
        <f>"融券回购购回日:20170329息:1.34-131990"</f>
        <v>融券回购购回日:20170329息:1.34-131990</v>
      </c>
    </row>
    <row r="248" spans="1:13" x14ac:dyDescent="0.2">
      <c r="A248" s="3" t="str">
        <f>"6722"</f>
        <v>6722</v>
      </c>
      <c r="B248" s="4">
        <v>42822</v>
      </c>
      <c r="C248" s="11" t="s">
        <v>34</v>
      </c>
      <c r="D248" s="11">
        <v>940018</v>
      </c>
      <c r="E248" s="11" t="str">
        <f t="shared" si="20"/>
        <v>卖出</v>
      </c>
      <c r="F248" s="11" t="str">
        <f>"基金资金拨出"</f>
        <v>基金资金拨出</v>
      </c>
      <c r="G248" s="13">
        <v>0</v>
      </c>
      <c r="H248" s="1">
        <v>0</v>
      </c>
      <c r="I248" s="5">
        <v>-111.03</v>
      </c>
      <c r="J248" s="5">
        <v>-8111.11</v>
      </c>
      <c r="K248" s="1">
        <v>0</v>
      </c>
      <c r="L248" s="1" t="str">
        <f t="shared" ref="L248:L250" si="23">" "</f>
        <v xml:space="preserve"> </v>
      </c>
      <c r="M248" s="1" t="str">
        <f>"122扣除金额 基金代码：940018"</f>
        <v>122扣除金额 基金代码：940018</v>
      </c>
    </row>
    <row r="249" spans="1:13" x14ac:dyDescent="0.2">
      <c r="A249" s="3" t="str">
        <f>"6723"</f>
        <v>6723</v>
      </c>
      <c r="B249" s="4">
        <v>42822</v>
      </c>
      <c r="C249" s="11" t="s">
        <v>34</v>
      </c>
      <c r="D249" s="11">
        <v>940018</v>
      </c>
      <c r="E249" s="11" t="str">
        <f t="shared" si="20"/>
        <v>卖出</v>
      </c>
      <c r="F249" s="11" t="str">
        <f>"基金资金拨入"</f>
        <v>基金资金拨入</v>
      </c>
      <c r="G249" s="13">
        <v>0</v>
      </c>
      <c r="H249" s="1">
        <v>0</v>
      </c>
      <c r="I249" s="5">
        <v>8112.11</v>
      </c>
      <c r="J249" s="5">
        <v>1</v>
      </c>
      <c r="K249" s="1">
        <v>0</v>
      </c>
      <c r="L249" s="1" t="str">
        <f t="shared" si="23"/>
        <v xml:space="preserve"> </v>
      </c>
      <c r="M249" s="1" t="str">
        <f>"124增加金额 基金代码：940018,发生份额：8112.11"</f>
        <v>124增加金额 基金代码：940018,发生份额：8112.11</v>
      </c>
    </row>
    <row r="250" spans="1:13" x14ac:dyDescent="0.2">
      <c r="A250" s="3" t="str">
        <f>"2566"</f>
        <v>2566</v>
      </c>
      <c r="B250" s="4">
        <v>42823</v>
      </c>
      <c r="C250" s="11" t="s">
        <v>34</v>
      </c>
      <c r="D250" s="11">
        <v>940018</v>
      </c>
      <c r="E250" s="11" t="str">
        <f t="shared" si="20"/>
        <v>卖出</v>
      </c>
      <c r="F250" s="11" t="str">
        <f>"基金资金拨出"</f>
        <v>基金资金拨出</v>
      </c>
      <c r="G250" s="13">
        <v>0</v>
      </c>
      <c r="H250" s="1">
        <v>0</v>
      </c>
      <c r="I250" s="5">
        <v>-1.1000000000000001</v>
      </c>
      <c r="J250" s="5">
        <v>-0.1</v>
      </c>
      <c r="K250" s="1">
        <v>0</v>
      </c>
      <c r="L250" s="1" t="str">
        <f t="shared" si="23"/>
        <v xml:space="preserve"> </v>
      </c>
      <c r="M250" s="1" t="str">
        <f>"122扣除金额 基金代码：940018"</f>
        <v>122扣除金额 基金代码：940018</v>
      </c>
    </row>
    <row r="251" spans="1:13" x14ac:dyDescent="0.2">
      <c r="A251" s="3" t="str">
        <f>"7519"</f>
        <v>7519</v>
      </c>
      <c r="B251" s="4">
        <v>42823</v>
      </c>
      <c r="C251" s="11" t="str">
        <f>"Ｒ-003"</f>
        <v>Ｒ-003</v>
      </c>
      <c r="D251" s="11" t="str">
        <f>"131800"</f>
        <v>131800</v>
      </c>
      <c r="E251" s="11" t="str">
        <f t="shared" si="20"/>
        <v>卖出</v>
      </c>
      <c r="F251" s="11" t="str">
        <f>"质押回购拆出"</f>
        <v>质押回购拆出</v>
      </c>
      <c r="G251" s="13">
        <v>11.1</v>
      </c>
      <c r="H251" s="1">
        <v>80</v>
      </c>
      <c r="I251" s="5">
        <v>-8000.24</v>
      </c>
      <c r="J251" s="5">
        <v>-8000.34</v>
      </c>
      <c r="K251" s="1">
        <v>0.24</v>
      </c>
      <c r="L251" s="1" t="str">
        <f>"0184500716"</f>
        <v>0184500716</v>
      </c>
      <c r="M251" s="1" t="str">
        <f>"融券回购购回日:20170401息:7.3-131990"</f>
        <v>融券回购购回日:20170401息:7.3-131990</v>
      </c>
    </row>
    <row r="252" spans="1:13" x14ac:dyDescent="0.2">
      <c r="A252" s="3" t="str">
        <f>"8410"</f>
        <v>8410</v>
      </c>
      <c r="B252" s="4">
        <v>42823</v>
      </c>
      <c r="C252" s="11" t="str">
        <f>"Ｒ-001"</f>
        <v>Ｒ-001</v>
      </c>
      <c r="D252" s="11" t="str">
        <f>"131810"</f>
        <v>131810</v>
      </c>
      <c r="E252" s="11" t="str">
        <f t="shared" si="20"/>
        <v>卖出</v>
      </c>
      <c r="F252" s="11" t="str">
        <f>"拆出质押购回"</f>
        <v>拆出质押购回</v>
      </c>
      <c r="G252" s="13">
        <v>6.1</v>
      </c>
      <c r="H252" s="1">
        <v>-80</v>
      </c>
      <c r="I252" s="5">
        <v>8001.34</v>
      </c>
      <c r="J252" s="5">
        <v>1</v>
      </c>
      <c r="K252" s="1">
        <v>0</v>
      </c>
      <c r="L252" s="1" t="str">
        <f>"0184500716"</f>
        <v>0184500716</v>
      </c>
      <c r="M252" s="1" t="str">
        <f>"融券购回:1.34-131990"</f>
        <v>融券购回:1.34-131990</v>
      </c>
    </row>
    <row r="253" spans="1:13" x14ac:dyDescent="0.2">
      <c r="A253" s="3" t="str">
        <f>"2778"</f>
        <v>2778</v>
      </c>
      <c r="B253" s="4">
        <v>42824</v>
      </c>
      <c r="C253" s="11" t="s">
        <v>34</v>
      </c>
      <c r="D253" s="11">
        <v>940018</v>
      </c>
      <c r="E253" s="11" t="str">
        <f t="shared" si="20"/>
        <v>卖出</v>
      </c>
      <c r="F253" s="11" t="str">
        <f>"基金资金拨出"</f>
        <v>基金资金拨出</v>
      </c>
      <c r="G253" s="13">
        <v>0</v>
      </c>
      <c r="H253" s="1">
        <v>0</v>
      </c>
      <c r="I253" s="5">
        <v>-1</v>
      </c>
      <c r="J253" s="5">
        <v>0</v>
      </c>
      <c r="K253" s="1">
        <v>0</v>
      </c>
      <c r="L253" s="1" t="str">
        <f t="shared" ref="L253:L254" si="24">" "</f>
        <v xml:space="preserve"> </v>
      </c>
      <c r="M253" s="1" t="str">
        <f>"122扣除金额 基金代码：940018"</f>
        <v>122扣除金额 基金代码：940018</v>
      </c>
    </row>
    <row r="254" spans="1:13" x14ac:dyDescent="0.2">
      <c r="A254" s="3" t="str">
        <f>"3107"</f>
        <v>3107</v>
      </c>
      <c r="B254" s="4">
        <v>42825</v>
      </c>
      <c r="C254" s="11" t="s">
        <v>34</v>
      </c>
      <c r="D254" s="11">
        <v>940018</v>
      </c>
      <c r="E254" s="11" t="str">
        <f t="shared" si="20"/>
        <v>卖出</v>
      </c>
      <c r="F254" s="11" t="str">
        <f>"基金资金拨出"</f>
        <v>基金资金拨出</v>
      </c>
      <c r="G254" s="13">
        <v>0</v>
      </c>
      <c r="H254" s="1">
        <v>0</v>
      </c>
      <c r="I254" s="5">
        <v>-10082.9</v>
      </c>
      <c r="J254" s="5">
        <v>-10082.9</v>
      </c>
      <c r="K254" s="1">
        <v>0</v>
      </c>
      <c r="L254" s="1" t="str">
        <f t="shared" si="24"/>
        <v xml:space="preserve"> </v>
      </c>
      <c r="M254" s="1" t="str">
        <f>"122扣除金额 基金代码：940018"</f>
        <v>122扣除金额 基金代码：940018</v>
      </c>
    </row>
    <row r="255" spans="1:13" x14ac:dyDescent="0.2">
      <c r="A255" s="3" t="str">
        <f>"5895"</f>
        <v>5895</v>
      </c>
      <c r="B255" s="4">
        <v>42825</v>
      </c>
      <c r="C255" s="11" t="str">
        <f>"银华日利"</f>
        <v>银华日利</v>
      </c>
      <c r="D255" s="11" t="str">
        <f>"511880"</f>
        <v>511880</v>
      </c>
      <c r="E255" s="11" t="str">
        <f t="shared" si="20"/>
        <v>卖出</v>
      </c>
      <c r="F255" s="11" t="str">
        <f>"证券卖出"</f>
        <v>证券卖出</v>
      </c>
      <c r="G255" s="13">
        <v>100.839</v>
      </c>
      <c r="H255" s="1">
        <v>-100</v>
      </c>
      <c r="I255" s="5">
        <v>10083.9</v>
      </c>
      <c r="J255" s="5">
        <v>1</v>
      </c>
      <c r="K255" s="1">
        <v>0</v>
      </c>
      <c r="L255" s="1" t="str">
        <f>"A280737240"</f>
        <v>A280737240</v>
      </c>
      <c r="M255" s="1" t="str">
        <f>"证券卖出"</f>
        <v>证券卖出</v>
      </c>
    </row>
    <row r="256" spans="1:13" x14ac:dyDescent="0.2">
      <c r="A256" s="3" t="str">
        <f>"3026"</f>
        <v>3026</v>
      </c>
      <c r="B256" s="4">
        <v>42830</v>
      </c>
      <c r="C256" s="11" t="s">
        <v>34</v>
      </c>
      <c r="D256" s="11">
        <v>940018</v>
      </c>
      <c r="E256" s="11" t="str">
        <f t="shared" si="20"/>
        <v>卖出</v>
      </c>
      <c r="F256" s="11" t="str">
        <f>"基金资金拨出"</f>
        <v>基金资金拨出</v>
      </c>
      <c r="G256" s="13">
        <v>0</v>
      </c>
      <c r="H256" s="1">
        <v>0</v>
      </c>
      <c r="I256" s="5">
        <v>-8008.3</v>
      </c>
      <c r="J256" s="5">
        <v>-8007.3</v>
      </c>
      <c r="K256" s="1">
        <v>0</v>
      </c>
      <c r="L256" s="1" t="str">
        <f>" "</f>
        <v xml:space="preserve"> </v>
      </c>
      <c r="M256" s="1" t="str">
        <f>"122扣除金额 基金代码：940018"</f>
        <v>122扣除金额 基金代码：940018</v>
      </c>
    </row>
    <row r="257" spans="1:13" x14ac:dyDescent="0.2">
      <c r="A257" s="3" t="str">
        <f>"10275"</f>
        <v>10275</v>
      </c>
      <c r="B257" s="4">
        <v>42830</v>
      </c>
      <c r="C257" s="11" t="str">
        <f>"Ｒ-003"</f>
        <v>Ｒ-003</v>
      </c>
      <c r="D257" s="11" t="str">
        <f>"131800"</f>
        <v>131800</v>
      </c>
      <c r="E257" s="11" t="str">
        <f t="shared" si="20"/>
        <v>卖出</v>
      </c>
      <c r="F257" s="11" t="str">
        <f>"拆出质押购回"</f>
        <v>拆出质押购回</v>
      </c>
      <c r="G257" s="13">
        <v>11.1</v>
      </c>
      <c r="H257" s="1">
        <v>-80</v>
      </c>
      <c r="I257" s="5">
        <v>8007.3</v>
      </c>
      <c r="J257" s="5">
        <v>0</v>
      </c>
      <c r="K257" s="1">
        <v>0</v>
      </c>
      <c r="L257" s="1" t="str">
        <f>"0184500716"</f>
        <v>0184500716</v>
      </c>
      <c r="M257" s="1" t="str">
        <f>"融券购回:7.3-131990"</f>
        <v>融券购回:7.3-131990</v>
      </c>
    </row>
    <row r="258" spans="1:13" x14ac:dyDescent="0.2">
      <c r="A258" s="3" t="str">
        <f>"3553"</f>
        <v>3553</v>
      </c>
      <c r="B258" s="4">
        <v>42836</v>
      </c>
      <c r="C258" s="11" t="str">
        <f>"H股ETF"</f>
        <v>H股ETF</v>
      </c>
      <c r="D258" s="11" t="str">
        <f>"510900"</f>
        <v>510900</v>
      </c>
      <c r="E258" s="11" t="str">
        <f>"买入"</f>
        <v>买入</v>
      </c>
      <c r="F258" s="11" t="str">
        <f>"证券买入"</f>
        <v>证券买入</v>
      </c>
      <c r="G258" s="13">
        <v>1.1140000000000001</v>
      </c>
      <c r="H258" s="1">
        <v>10800</v>
      </c>
      <c r="I258" s="5">
        <v>-12033.61</v>
      </c>
      <c r="J258" s="5">
        <v>-12033.61</v>
      </c>
      <c r="K258" s="1">
        <v>2.41</v>
      </c>
      <c r="L258" s="1" t="str">
        <f>"A280737240"</f>
        <v>A280737240</v>
      </c>
      <c r="M258" s="1" t="str">
        <f>"证券买入"</f>
        <v>证券买入</v>
      </c>
    </row>
    <row r="259" spans="1:13" x14ac:dyDescent="0.2">
      <c r="A259" s="3" t="str">
        <f>"8009"</f>
        <v>8009</v>
      </c>
      <c r="B259" s="4">
        <v>42836</v>
      </c>
      <c r="C259" s="11" t="s">
        <v>34</v>
      </c>
      <c r="D259" s="11">
        <v>940018</v>
      </c>
      <c r="E259" s="11" t="str">
        <f t="shared" ref="E259:E269" si="25">"卖出"</f>
        <v>卖出</v>
      </c>
      <c r="F259" s="11" t="str">
        <f>"基金资金拨出"</f>
        <v>基金资金拨出</v>
      </c>
      <c r="G259" s="13">
        <v>0</v>
      </c>
      <c r="H259" s="1">
        <v>0</v>
      </c>
      <c r="I259" s="5">
        <v>-6178.22</v>
      </c>
      <c r="J259" s="5">
        <v>-18211.830000000002</v>
      </c>
      <c r="K259" s="1">
        <v>0</v>
      </c>
      <c r="L259" s="1" t="str">
        <f t="shared" ref="L259:L263" si="26">" "</f>
        <v xml:space="preserve"> </v>
      </c>
      <c r="M259" s="1" t="str">
        <f>"122扣除金额 基金代码：940018"</f>
        <v>122扣除金额 基金代码：940018</v>
      </c>
    </row>
    <row r="260" spans="1:13" x14ac:dyDescent="0.2">
      <c r="A260" s="3" t="str">
        <f>"8011"</f>
        <v>8011</v>
      </c>
      <c r="B260" s="4">
        <v>42836</v>
      </c>
      <c r="C260" s="11" t="s">
        <v>34</v>
      </c>
      <c r="D260" s="11">
        <v>940018</v>
      </c>
      <c r="E260" s="11" t="str">
        <f t="shared" si="25"/>
        <v>卖出</v>
      </c>
      <c r="F260" s="11" t="str">
        <f>"基金资金拨入"</f>
        <v>基金资金拨入</v>
      </c>
      <c r="G260" s="13">
        <v>0</v>
      </c>
      <c r="H260" s="1">
        <v>0</v>
      </c>
      <c r="I260" s="5">
        <v>18212.830000000002</v>
      </c>
      <c r="J260" s="5">
        <v>1</v>
      </c>
      <c r="K260" s="1">
        <v>0</v>
      </c>
      <c r="L260" s="1" t="str">
        <f t="shared" si="26"/>
        <v xml:space="preserve"> </v>
      </c>
      <c r="M260" s="1" t="str">
        <f>"124增加金额 基金代码：940018,发生份额：18212.83"</f>
        <v>124增加金额 基金代码：940018,发生份额：18212.83</v>
      </c>
    </row>
    <row r="261" spans="1:13" x14ac:dyDescent="0.2">
      <c r="A261" s="3" t="str">
        <f>"2309"</f>
        <v>2309</v>
      </c>
      <c r="B261" s="4">
        <v>42837</v>
      </c>
      <c r="C261" s="11" t="s">
        <v>34</v>
      </c>
      <c r="D261" s="11">
        <v>940018</v>
      </c>
      <c r="E261" s="11" t="str">
        <f t="shared" si="25"/>
        <v>卖出</v>
      </c>
      <c r="F261" s="11" t="str">
        <f>"基金资金拨出"</f>
        <v>基金资金拨出</v>
      </c>
      <c r="G261" s="13">
        <v>0</v>
      </c>
      <c r="H261" s="1">
        <v>0</v>
      </c>
      <c r="I261" s="5">
        <v>-1</v>
      </c>
      <c r="J261" s="5">
        <v>0</v>
      </c>
      <c r="K261" s="1">
        <v>0</v>
      </c>
      <c r="L261" s="1" t="str">
        <f t="shared" si="26"/>
        <v xml:space="preserve"> </v>
      </c>
      <c r="M261" s="1" t="str">
        <f>"122扣除金额 基金代码：940018"</f>
        <v>122扣除金额 基金代码：940018</v>
      </c>
    </row>
    <row r="262" spans="1:13" x14ac:dyDescent="0.2">
      <c r="A262" s="3" t="str">
        <f>"2068"</f>
        <v>2068</v>
      </c>
      <c r="B262" s="4">
        <v>42845</v>
      </c>
      <c r="C262" s="11" t="s">
        <v>34</v>
      </c>
      <c r="D262" s="11">
        <v>940018</v>
      </c>
      <c r="E262" s="11" t="str">
        <f t="shared" si="25"/>
        <v>卖出</v>
      </c>
      <c r="F262" s="11" t="str">
        <f>"基金资金拨出"</f>
        <v>基金资金拨出</v>
      </c>
      <c r="G262" s="13">
        <v>0</v>
      </c>
      <c r="H262" s="1">
        <v>0</v>
      </c>
      <c r="I262" s="5">
        <v>-5795.3</v>
      </c>
      <c r="J262" s="5">
        <v>-5795.3</v>
      </c>
      <c r="K262" s="1">
        <v>0</v>
      </c>
      <c r="L262" s="1" t="str">
        <f t="shared" si="26"/>
        <v xml:space="preserve"> </v>
      </c>
      <c r="M262" s="1" t="str">
        <f>"122扣除金额 基金代码：940018"</f>
        <v>122扣除金额 基金代码：940018</v>
      </c>
    </row>
    <row r="263" spans="1:13" x14ac:dyDescent="0.2">
      <c r="A263" s="3" t="str">
        <f>"2069"</f>
        <v>2069</v>
      </c>
      <c r="B263" s="4">
        <v>42845</v>
      </c>
      <c r="C263" s="11" t="s">
        <v>34</v>
      </c>
      <c r="D263" s="11">
        <v>940018</v>
      </c>
      <c r="E263" s="11" t="str">
        <f t="shared" si="25"/>
        <v>卖出</v>
      </c>
      <c r="F263" s="11" t="str">
        <f>"基金资金拨入"</f>
        <v>基金资金拨入</v>
      </c>
      <c r="G263" s="13">
        <v>0</v>
      </c>
      <c r="H263" s="1">
        <v>0</v>
      </c>
      <c r="I263" s="5">
        <v>6179.22</v>
      </c>
      <c r="J263" s="5">
        <v>383.92</v>
      </c>
      <c r="K263" s="1">
        <v>0</v>
      </c>
      <c r="L263" s="1" t="str">
        <f t="shared" si="26"/>
        <v xml:space="preserve"> </v>
      </c>
      <c r="M263" s="1" t="str">
        <f>"124增加金额 基金代码：940018,发生份额：6179.22"</f>
        <v>124增加金额 基金代码：940018,发生份额：6179.22</v>
      </c>
    </row>
    <row r="264" spans="1:13" x14ac:dyDescent="0.2">
      <c r="A264" s="3" t="str">
        <f>"5064"</f>
        <v>5064</v>
      </c>
      <c r="B264" s="4">
        <v>42845</v>
      </c>
      <c r="C264" s="11" t="str">
        <f>"银华日利"</f>
        <v>银华日利</v>
      </c>
      <c r="D264" s="11" t="str">
        <f>"511880"</f>
        <v>511880</v>
      </c>
      <c r="E264" s="11" t="str">
        <f t="shared" si="25"/>
        <v>卖出</v>
      </c>
      <c r="F264" s="11" t="str">
        <f>"证券卖出"</f>
        <v>证券卖出</v>
      </c>
      <c r="G264" s="13">
        <v>101.032</v>
      </c>
      <c r="H264" s="1">
        <v>-1200</v>
      </c>
      <c r="I264" s="5">
        <v>121238.39999999999</v>
      </c>
      <c r="J264" s="5">
        <v>121622.32</v>
      </c>
      <c r="K264" s="1">
        <v>0</v>
      </c>
      <c r="L264" s="1" t="str">
        <f>"A280737240"</f>
        <v>A280737240</v>
      </c>
      <c r="M264" s="1" t="str">
        <f>"证券卖出"</f>
        <v>证券卖出</v>
      </c>
    </row>
    <row r="265" spans="1:13" x14ac:dyDescent="0.2">
      <c r="A265" s="3" t="str">
        <f>"4044"</f>
        <v>4044</v>
      </c>
      <c r="B265" s="4">
        <v>42846</v>
      </c>
      <c r="C265" s="11" t="s">
        <v>34</v>
      </c>
      <c r="D265" s="11">
        <v>940018</v>
      </c>
      <c r="E265" s="11" t="str">
        <f t="shared" si="25"/>
        <v>卖出</v>
      </c>
      <c r="F265" s="11" t="str">
        <f>"基金资金拨出"</f>
        <v>基金资金拨出</v>
      </c>
      <c r="G265" s="13">
        <v>0</v>
      </c>
      <c r="H265" s="1">
        <v>0</v>
      </c>
      <c r="I265" s="5">
        <v>-121622.32</v>
      </c>
      <c r="J265" s="5">
        <v>0</v>
      </c>
      <c r="K265" s="1">
        <v>0</v>
      </c>
      <c r="L265" s="1" t="str">
        <f t="shared" ref="C265:L268" si="27">" "</f>
        <v xml:space="preserve"> </v>
      </c>
      <c r="M265" s="1" t="str">
        <f>"122扣除金额 基金代码：940018"</f>
        <v>122扣除金额 基金代码：940018</v>
      </c>
    </row>
    <row r="266" spans="1:13" x14ac:dyDescent="0.2">
      <c r="A266" s="3" t="str">
        <f>"639"</f>
        <v>639</v>
      </c>
      <c r="B266" s="4">
        <v>42850</v>
      </c>
      <c r="C266" s="11" t="s">
        <v>34</v>
      </c>
      <c r="D266" s="11">
        <v>940018</v>
      </c>
      <c r="E266" s="11" t="str">
        <f t="shared" si="25"/>
        <v>卖出</v>
      </c>
      <c r="F266" s="11" t="str">
        <f>"资管转让资金上账"</f>
        <v>资管转让资金上账</v>
      </c>
      <c r="G266" s="13">
        <v>0</v>
      </c>
      <c r="H266" s="1">
        <v>0</v>
      </c>
      <c r="I266" s="5">
        <v>11880</v>
      </c>
      <c r="J266" s="5">
        <v>11880</v>
      </c>
      <c r="K266" s="1">
        <v>0</v>
      </c>
      <c r="L266" s="1" t="str">
        <f t="shared" si="27"/>
        <v xml:space="preserve"> </v>
      </c>
      <c r="M266" s="1" t="str">
        <f>"快速取现退出资金拨入,产品代码940018,对方资产账户40000545"</f>
        <v>快速取现退出资金拨入,产品代码940018,对方资产账户40000545</v>
      </c>
    </row>
    <row r="267" spans="1:13" x14ac:dyDescent="0.2">
      <c r="A267" s="3" t="str">
        <f>"642"</f>
        <v>642</v>
      </c>
      <c r="B267" s="4">
        <v>42850</v>
      </c>
      <c r="C267" s="11" t="str">
        <f t="shared" si="27"/>
        <v xml:space="preserve"> </v>
      </c>
      <c r="D267" s="11"/>
      <c r="E267" s="11" t="str">
        <f t="shared" si="25"/>
        <v>卖出</v>
      </c>
      <c r="F267" s="11" t="str">
        <f>"银行转取"</f>
        <v>银行转取</v>
      </c>
      <c r="G267" s="13">
        <v>0</v>
      </c>
      <c r="H267" s="1">
        <v>0</v>
      </c>
      <c r="I267" s="5">
        <v>-11880</v>
      </c>
      <c r="J267" s="5">
        <v>0</v>
      </c>
      <c r="K267" s="1">
        <v>0</v>
      </c>
      <c r="L267" s="1" t="str">
        <f t="shared" si="27"/>
        <v xml:space="preserve"> </v>
      </c>
      <c r="M267" s="1" t="str">
        <f>"银行返回码[ ]返回信息[0000 交易成功]|转账成功"</f>
        <v>银行返回码[ ]返回信息[0000 交易成功]|转账成功</v>
      </c>
    </row>
    <row r="268" spans="1:13" x14ac:dyDescent="0.2">
      <c r="A268" s="3" t="str">
        <f>"2059"</f>
        <v>2059</v>
      </c>
      <c r="B268" s="4">
        <v>42850</v>
      </c>
      <c r="C268" s="11" t="s">
        <v>34</v>
      </c>
      <c r="D268" s="11">
        <v>940018</v>
      </c>
      <c r="E268" s="11" t="str">
        <f t="shared" si="25"/>
        <v>卖出</v>
      </c>
      <c r="F268" s="11" t="str">
        <f>"基金资金拨出"</f>
        <v>基金资金拨出</v>
      </c>
      <c r="G268" s="13">
        <v>0</v>
      </c>
      <c r="H268" s="1">
        <v>0</v>
      </c>
      <c r="I268" s="5">
        <v>-6111.7</v>
      </c>
      <c r="J268" s="5">
        <v>-6111.7</v>
      </c>
      <c r="K268" s="1">
        <v>0</v>
      </c>
      <c r="L268" s="1" t="str">
        <f t="shared" si="27"/>
        <v xml:space="preserve"> </v>
      </c>
      <c r="M268" s="1" t="str">
        <f>"122扣除金额 基金代码：940018"</f>
        <v>122扣除金额 基金代码：940018</v>
      </c>
    </row>
    <row r="269" spans="1:13" x14ac:dyDescent="0.2">
      <c r="A269" s="3" t="str">
        <f>"4481"</f>
        <v>4481</v>
      </c>
      <c r="B269" s="4">
        <v>42850</v>
      </c>
      <c r="C269" s="11" t="str">
        <f>"银华日利"</f>
        <v>银华日利</v>
      </c>
      <c r="D269" s="11" t="str">
        <f>"511880"</f>
        <v>511880</v>
      </c>
      <c r="E269" s="11" t="str">
        <f t="shared" si="25"/>
        <v>卖出</v>
      </c>
      <c r="F269" s="11" t="str">
        <f>"证券卖出"</f>
        <v>证券卖出</v>
      </c>
      <c r="G269" s="13">
        <v>101.063</v>
      </c>
      <c r="H269" s="1">
        <v>-100</v>
      </c>
      <c r="I269" s="5">
        <v>10106.299999999999</v>
      </c>
      <c r="J269" s="5">
        <v>3994.6</v>
      </c>
      <c r="K269" s="1">
        <v>0</v>
      </c>
      <c r="L269" s="1" t="str">
        <f>"A280737240"</f>
        <v>A280737240</v>
      </c>
      <c r="M269" s="1" t="str">
        <f>"证券卖出"</f>
        <v>证券卖出</v>
      </c>
    </row>
    <row r="270" spans="1:13" x14ac:dyDescent="0.2">
      <c r="A270" s="3" t="str">
        <f>"6285"</f>
        <v>6285</v>
      </c>
      <c r="B270" s="4">
        <v>42850</v>
      </c>
      <c r="C270" s="11" t="str">
        <f>"广发医药"</f>
        <v>广发医药</v>
      </c>
      <c r="D270" s="11" t="str">
        <f>"159938"</f>
        <v>159938</v>
      </c>
      <c r="E270" s="11" t="str">
        <f>"买入"</f>
        <v>买入</v>
      </c>
      <c r="F270" s="11" t="str">
        <f>"证券买入"</f>
        <v>证券买入</v>
      </c>
      <c r="G270" s="13">
        <v>1.288</v>
      </c>
      <c r="H270" s="1">
        <v>3100</v>
      </c>
      <c r="I270" s="5">
        <v>-3993.6</v>
      </c>
      <c r="J270" s="5">
        <v>1</v>
      </c>
      <c r="K270" s="1">
        <v>0.8</v>
      </c>
      <c r="L270" s="1" t="str">
        <f>"0184500716"</f>
        <v>0184500716</v>
      </c>
      <c r="M270" s="1" t="str">
        <f>"证券买入"</f>
        <v>证券买入</v>
      </c>
    </row>
    <row r="271" spans="1:13" x14ac:dyDescent="0.2">
      <c r="A271" s="3" t="str">
        <f>"3800"</f>
        <v>3800</v>
      </c>
      <c r="B271" s="4">
        <v>42851</v>
      </c>
      <c r="C271" s="11" t="s">
        <v>34</v>
      </c>
      <c r="D271" s="11">
        <v>940018</v>
      </c>
      <c r="E271" s="11" t="str">
        <f>"卖出"</f>
        <v>卖出</v>
      </c>
      <c r="F271" s="11" t="str">
        <f>"基金资金拨出"</f>
        <v>基金资金拨出</v>
      </c>
      <c r="G271" s="13">
        <v>0</v>
      </c>
      <c r="H271" s="1">
        <v>0</v>
      </c>
      <c r="I271" s="5">
        <v>-1</v>
      </c>
      <c r="J271" s="5">
        <v>0</v>
      </c>
      <c r="K271" s="1">
        <v>0</v>
      </c>
      <c r="L271" s="1" t="str">
        <f>" "</f>
        <v xml:space="preserve"> </v>
      </c>
      <c r="M271" s="1" t="str">
        <f>"122扣除金额 基金代码：940018"</f>
        <v>122扣除金额 基金代码：940018</v>
      </c>
    </row>
    <row r="272" spans="1:13" x14ac:dyDescent="0.2">
      <c r="A272" s="3" t="str">
        <f>"2801"</f>
        <v>2801</v>
      </c>
      <c r="B272" s="4">
        <v>42853</v>
      </c>
      <c r="C272" s="11" t="str">
        <f>"500ETF"</f>
        <v>500ETF</v>
      </c>
      <c r="D272" s="11" t="str">
        <f>"510500"</f>
        <v>510500</v>
      </c>
      <c r="E272" s="11" t="str">
        <f>"买入"</f>
        <v>买入</v>
      </c>
      <c r="F272" s="11" t="str">
        <f>"证券买入"</f>
        <v>证券买入</v>
      </c>
      <c r="G272" s="13">
        <v>6.4779999999999998</v>
      </c>
      <c r="H272" s="1">
        <v>600</v>
      </c>
      <c r="I272" s="5">
        <v>-3887.58</v>
      </c>
      <c r="J272" s="5">
        <v>-3887.58</v>
      </c>
      <c r="K272" s="1">
        <v>0.78</v>
      </c>
      <c r="L272" s="1" t="str">
        <f>"A280737240"</f>
        <v>A280737240</v>
      </c>
      <c r="M272" s="1" t="str">
        <f>"证券买入"</f>
        <v>证券买入</v>
      </c>
    </row>
    <row r="273" spans="1:13" x14ac:dyDescent="0.2">
      <c r="A273" s="3" t="str">
        <f>"2802"</f>
        <v>2802</v>
      </c>
      <c r="B273" s="4">
        <v>42853</v>
      </c>
      <c r="C273" s="11" t="str">
        <f>"银华日利"</f>
        <v>银华日利</v>
      </c>
      <c r="D273" s="11" t="str">
        <f>"511880"</f>
        <v>511880</v>
      </c>
      <c r="E273" s="11" t="str">
        <f>"卖出"</f>
        <v>卖出</v>
      </c>
      <c r="F273" s="11" t="str">
        <f>"证券卖出"</f>
        <v>证券卖出</v>
      </c>
      <c r="G273" s="13">
        <v>101.131</v>
      </c>
      <c r="H273" s="1">
        <v>-100</v>
      </c>
      <c r="I273" s="5">
        <v>10113.1</v>
      </c>
      <c r="J273" s="5">
        <v>6225.52</v>
      </c>
      <c r="K273" s="1">
        <v>0</v>
      </c>
      <c r="L273" s="1" t="str">
        <f>"A280737240"</f>
        <v>A280737240</v>
      </c>
      <c r="M273" s="1" t="str">
        <f>"证券卖出"</f>
        <v>证券卖出</v>
      </c>
    </row>
    <row r="274" spans="1:13" x14ac:dyDescent="0.2">
      <c r="A274" s="3" t="str">
        <f>"5197"</f>
        <v>5197</v>
      </c>
      <c r="B274" s="4">
        <v>42853</v>
      </c>
      <c r="C274" s="11" t="str">
        <f>"广发医药"</f>
        <v>广发医药</v>
      </c>
      <c r="D274" s="11" t="str">
        <f>"159938"</f>
        <v>159938</v>
      </c>
      <c r="E274" s="11" t="str">
        <f>"买入"</f>
        <v>买入</v>
      </c>
      <c r="F274" s="11" t="str">
        <f>"证券买入"</f>
        <v>证券买入</v>
      </c>
      <c r="G274" s="13">
        <v>1.2889999999999999</v>
      </c>
      <c r="H274" s="1">
        <v>3100</v>
      </c>
      <c r="I274" s="5">
        <v>-3996.7</v>
      </c>
      <c r="J274" s="5">
        <v>2228.8200000000002</v>
      </c>
      <c r="K274" s="1">
        <v>0.8</v>
      </c>
      <c r="L274" s="1" t="str">
        <f>"0184500716"</f>
        <v>0184500716</v>
      </c>
      <c r="M274" s="1" t="str">
        <f>"证券买入"</f>
        <v>证券买入</v>
      </c>
    </row>
    <row r="275" spans="1:13" x14ac:dyDescent="0.2">
      <c r="A275" s="3" t="str">
        <f>"7440"</f>
        <v>7440</v>
      </c>
      <c r="B275" s="4">
        <v>42853</v>
      </c>
      <c r="C275" s="11" t="s">
        <v>34</v>
      </c>
      <c r="D275" s="11">
        <v>940018</v>
      </c>
      <c r="E275" s="11" t="str">
        <f>"卖出"</f>
        <v>卖出</v>
      </c>
      <c r="F275" s="11" t="str">
        <f>"基金资金拨出"</f>
        <v>基金资金拨出</v>
      </c>
      <c r="G275" s="13">
        <v>0</v>
      </c>
      <c r="H275" s="1">
        <v>0</v>
      </c>
      <c r="I275" s="5">
        <v>-2227.8200000000002</v>
      </c>
      <c r="J275" s="5">
        <v>1</v>
      </c>
      <c r="K275" s="1">
        <v>0</v>
      </c>
      <c r="L275" s="1" t="str">
        <f t="shared" ref="L275:L278" si="28">" "</f>
        <v xml:space="preserve"> </v>
      </c>
      <c r="M275" s="1" t="str">
        <f>"122扣除金额 基金代码：940018"</f>
        <v>122扣除金额 基金代码：940018</v>
      </c>
    </row>
    <row r="276" spans="1:13" x14ac:dyDescent="0.2">
      <c r="A276" s="3" t="str">
        <f>"2413"</f>
        <v>2413</v>
      </c>
      <c r="B276" s="4">
        <v>42857</v>
      </c>
      <c r="C276" s="11" t="s">
        <v>34</v>
      </c>
      <c r="D276" s="11">
        <v>940018</v>
      </c>
      <c r="E276" s="11" t="str">
        <f>"卖出"</f>
        <v>卖出</v>
      </c>
      <c r="F276" s="11" t="str">
        <f>"基金资金拨出"</f>
        <v>基金资金拨出</v>
      </c>
      <c r="G276" s="13">
        <v>0</v>
      </c>
      <c r="H276" s="1">
        <v>0</v>
      </c>
      <c r="I276" s="5">
        <v>-1</v>
      </c>
      <c r="J276" s="5">
        <v>0</v>
      </c>
      <c r="K276" s="1">
        <v>0</v>
      </c>
      <c r="L276" s="1" t="str">
        <f t="shared" si="28"/>
        <v xml:space="preserve"> </v>
      </c>
      <c r="M276" s="1" t="str">
        <f>"122扣除金额 基金代码：940018"</f>
        <v>122扣除金额 基金代码：940018</v>
      </c>
    </row>
    <row r="277" spans="1:13" x14ac:dyDescent="0.2">
      <c r="A277" s="3" t="str">
        <f>"2334"</f>
        <v>2334</v>
      </c>
      <c r="B277" s="4">
        <v>42858</v>
      </c>
      <c r="C277" s="11" t="s">
        <v>34</v>
      </c>
      <c r="D277" s="11">
        <v>940018</v>
      </c>
      <c r="E277" s="11" t="str">
        <f>"卖出"</f>
        <v>卖出</v>
      </c>
      <c r="F277" s="11" t="str">
        <f>"基金资金拨出"</f>
        <v>基金资金拨出</v>
      </c>
      <c r="G277" s="13">
        <v>0</v>
      </c>
      <c r="H277" s="1">
        <v>0</v>
      </c>
      <c r="I277" s="5">
        <v>-3278.72</v>
      </c>
      <c r="J277" s="5">
        <v>-3278.72</v>
      </c>
      <c r="K277" s="1">
        <v>0</v>
      </c>
      <c r="L277" s="1" t="str">
        <f t="shared" si="28"/>
        <v xml:space="preserve"> </v>
      </c>
      <c r="M277" s="1" t="str">
        <f>"122扣除金额 基金代码：940018"</f>
        <v>122扣除金额 基金代码：940018</v>
      </c>
    </row>
    <row r="278" spans="1:13" x14ac:dyDescent="0.2">
      <c r="A278" s="3" t="str">
        <f>"2335"</f>
        <v>2335</v>
      </c>
      <c r="B278" s="4">
        <v>42858</v>
      </c>
      <c r="C278" s="11" t="s">
        <v>34</v>
      </c>
      <c r="D278" s="11">
        <v>940018</v>
      </c>
      <c r="E278" s="11" t="str">
        <f>"卖出"</f>
        <v>卖出</v>
      </c>
      <c r="F278" s="11" t="str">
        <f>"基金资金拨入"</f>
        <v>基金资金拨入</v>
      </c>
      <c r="G278" s="13">
        <v>0</v>
      </c>
      <c r="H278" s="1">
        <v>0</v>
      </c>
      <c r="I278" s="5">
        <v>123903.84</v>
      </c>
      <c r="J278" s="5">
        <v>120625.12</v>
      </c>
      <c r="K278" s="1">
        <v>0</v>
      </c>
      <c r="L278" s="1" t="str">
        <f t="shared" si="28"/>
        <v xml:space="preserve"> </v>
      </c>
      <c r="M278" s="1" t="str">
        <f>"124增加金额 基金代码：940018,发生份额：123903.84"</f>
        <v>124增加金额 基金代码：940018,发生份额：123903.84</v>
      </c>
    </row>
    <row r="279" spans="1:13" x14ac:dyDescent="0.2">
      <c r="A279" s="3" t="str">
        <f>"6802"</f>
        <v>6802</v>
      </c>
      <c r="B279" s="4">
        <v>42858</v>
      </c>
      <c r="C279" s="11" t="str">
        <f>"华宝油气"</f>
        <v>华宝油气</v>
      </c>
      <c r="D279" s="11" t="str">
        <f>"162411"</f>
        <v>162411</v>
      </c>
      <c r="E279" s="11" t="str">
        <f>"买入"</f>
        <v>买入</v>
      </c>
      <c r="F279" s="11" t="str">
        <f>"证券买入"</f>
        <v>证券买入</v>
      </c>
      <c r="G279" s="13">
        <v>0.6</v>
      </c>
      <c r="H279" s="1">
        <v>201000</v>
      </c>
      <c r="I279" s="5">
        <v>-120624.12</v>
      </c>
      <c r="J279" s="5">
        <v>1</v>
      </c>
      <c r="K279" s="1">
        <v>24.12</v>
      </c>
      <c r="L279" s="1" t="str">
        <f>"0184500716"</f>
        <v>0184500716</v>
      </c>
      <c r="M279" s="1" t="str">
        <f>"证券买入"</f>
        <v>证券买入</v>
      </c>
    </row>
    <row r="280" spans="1:13" x14ac:dyDescent="0.2">
      <c r="A280" s="3" t="str">
        <f>"2683"</f>
        <v>2683</v>
      </c>
      <c r="B280" s="4">
        <v>42859</v>
      </c>
      <c r="C280" s="11" t="s">
        <v>34</v>
      </c>
      <c r="D280" s="11">
        <v>940018</v>
      </c>
      <c r="E280" s="11" t="str">
        <f t="shared" ref="E280:E287" si="29">"卖出"</f>
        <v>卖出</v>
      </c>
      <c r="F280" s="11" t="str">
        <f>"基金资金拨出"</f>
        <v>基金资金拨出</v>
      </c>
      <c r="G280" s="13">
        <v>0</v>
      </c>
      <c r="H280" s="1">
        <v>0</v>
      </c>
      <c r="I280" s="5">
        <v>-1</v>
      </c>
      <c r="J280" s="5">
        <v>0</v>
      </c>
      <c r="K280" s="1">
        <v>0</v>
      </c>
      <c r="L280" s="1" t="str">
        <f t="shared" ref="C280:L287" si="30">" "</f>
        <v xml:space="preserve"> </v>
      </c>
      <c r="M280" s="1" t="str">
        <f>"122扣除金额 基金代码：940018"</f>
        <v>122扣除金额 基金代码：940018</v>
      </c>
    </row>
    <row r="281" spans="1:13" x14ac:dyDescent="0.2">
      <c r="A281" s="3" t="str">
        <f>"880"</f>
        <v>880</v>
      </c>
      <c r="B281" s="4">
        <v>42860</v>
      </c>
      <c r="C281" s="11" t="str">
        <f t="shared" si="30"/>
        <v xml:space="preserve"> </v>
      </c>
      <c r="D281" s="11"/>
      <c r="E281" s="11" t="str">
        <f t="shared" si="29"/>
        <v>卖出</v>
      </c>
      <c r="F281" s="11" t="str">
        <f>"银行转存"</f>
        <v>银行转存</v>
      </c>
      <c r="G281" s="13">
        <v>0</v>
      </c>
      <c r="H281" s="1">
        <v>0</v>
      </c>
      <c r="I281" s="5">
        <v>10000</v>
      </c>
      <c r="J281" s="5">
        <v>10000</v>
      </c>
      <c r="K281" s="1">
        <v>0</v>
      </c>
      <c r="L281" s="1" t="str">
        <f t="shared" si="30"/>
        <v xml:space="preserve"> </v>
      </c>
      <c r="M281" s="1" t="str">
        <f>"银行返回码[ ]返回信息[0000 交易成功]|转账成功correct_balance=0"</f>
        <v>银行返回码[ ]返回信息[0000 交易成功]|转账成功correct_balance=0</v>
      </c>
    </row>
    <row r="282" spans="1:13" x14ac:dyDescent="0.2">
      <c r="A282" s="3" t="str">
        <f>"3211"</f>
        <v>3211</v>
      </c>
      <c r="B282" s="4">
        <v>42860</v>
      </c>
      <c r="C282" s="11" t="s">
        <v>34</v>
      </c>
      <c r="D282" s="11">
        <v>940018</v>
      </c>
      <c r="E282" s="11" t="str">
        <f t="shared" si="29"/>
        <v>卖出</v>
      </c>
      <c r="F282" s="11" t="str">
        <f>"基金资金拨出"</f>
        <v>基金资金拨出</v>
      </c>
      <c r="G282" s="13">
        <v>0</v>
      </c>
      <c r="H282" s="1">
        <v>0</v>
      </c>
      <c r="I282" s="5">
        <v>-10000</v>
      </c>
      <c r="J282" s="5">
        <v>0</v>
      </c>
      <c r="K282" s="1">
        <v>0</v>
      </c>
      <c r="L282" s="1" t="str">
        <f t="shared" si="30"/>
        <v xml:space="preserve"> </v>
      </c>
      <c r="M282" s="1" t="str">
        <f>"122扣除金额 基金代码：940018"</f>
        <v>122扣除金额 基金代码：940018</v>
      </c>
    </row>
    <row r="283" spans="1:13" x14ac:dyDescent="0.2">
      <c r="A283" s="3" t="str">
        <f>"837"</f>
        <v>837</v>
      </c>
      <c r="B283" s="4">
        <v>42878</v>
      </c>
      <c r="C283" s="11" t="s">
        <v>34</v>
      </c>
      <c r="D283" s="11">
        <v>940018</v>
      </c>
      <c r="E283" s="11" t="str">
        <f t="shared" si="29"/>
        <v>卖出</v>
      </c>
      <c r="F283" s="11" t="str">
        <f>"资管转让资金上账"</f>
        <v>资管转让资金上账</v>
      </c>
      <c r="G283" s="13">
        <v>0</v>
      </c>
      <c r="H283" s="1">
        <v>0</v>
      </c>
      <c r="I283" s="5">
        <v>5737</v>
      </c>
      <c r="J283" s="5">
        <v>5737</v>
      </c>
      <c r="K283" s="1">
        <v>0</v>
      </c>
      <c r="L283" s="1" t="str">
        <f t="shared" si="30"/>
        <v xml:space="preserve"> </v>
      </c>
      <c r="M283" s="1" t="str">
        <f>"快速取现退出资金拨入,产品代码940018,对方资产账户40000545correct_balance=0"</f>
        <v>快速取现退出资金拨入,产品代码940018,对方资产账户40000545correct_balance=0</v>
      </c>
    </row>
    <row r="284" spans="1:13" x14ac:dyDescent="0.2">
      <c r="A284" s="3" t="str">
        <f>"840"</f>
        <v>840</v>
      </c>
      <c r="B284" s="4">
        <v>42878</v>
      </c>
      <c r="C284" s="11" t="str">
        <f t="shared" si="30"/>
        <v xml:space="preserve"> </v>
      </c>
      <c r="D284" s="11"/>
      <c r="E284" s="11" t="str">
        <f t="shared" si="29"/>
        <v>卖出</v>
      </c>
      <c r="F284" s="11" t="str">
        <f>"银行转取"</f>
        <v>银行转取</v>
      </c>
      <c r="G284" s="13">
        <v>0</v>
      </c>
      <c r="H284" s="1">
        <v>0</v>
      </c>
      <c r="I284" s="5">
        <v>-5737</v>
      </c>
      <c r="J284" s="5">
        <v>0</v>
      </c>
      <c r="K284" s="1">
        <v>0</v>
      </c>
      <c r="L284" s="1" t="str">
        <f t="shared" si="30"/>
        <v xml:space="preserve"> </v>
      </c>
      <c r="M284" s="1" t="str">
        <f>"银行返回码[ ]返回信息[0000 交易成功]|转账成功correct_balance=5737"</f>
        <v>银行返回码[ ]返回信息[0000 交易成功]|转账成功correct_balance=5737</v>
      </c>
    </row>
    <row r="285" spans="1:13" x14ac:dyDescent="0.2">
      <c r="A285" s="3" t="str">
        <f>"851"</f>
        <v>851</v>
      </c>
      <c r="B285" s="4">
        <v>42878</v>
      </c>
      <c r="C285" s="11" t="s">
        <v>34</v>
      </c>
      <c r="D285" s="11">
        <v>940018</v>
      </c>
      <c r="E285" s="11" t="str">
        <f t="shared" si="29"/>
        <v>卖出</v>
      </c>
      <c r="F285" s="11" t="str">
        <f>"资管转让资金上账"</f>
        <v>资管转让资金上账</v>
      </c>
      <c r="G285" s="13">
        <v>0</v>
      </c>
      <c r="H285" s="1">
        <v>0</v>
      </c>
      <c r="I285" s="5">
        <v>7542</v>
      </c>
      <c r="J285" s="5">
        <v>7542</v>
      </c>
      <c r="K285" s="1">
        <v>0</v>
      </c>
      <c r="L285" s="1" t="str">
        <f t="shared" si="30"/>
        <v xml:space="preserve"> </v>
      </c>
      <c r="M285" s="1" t="str">
        <f>"快速取现退出资金拨入,产品代码940018,对方资产账户40000545correct_balance=0"</f>
        <v>快速取现退出资金拨入,产品代码940018,对方资产账户40000545correct_balance=0</v>
      </c>
    </row>
    <row r="286" spans="1:13" x14ac:dyDescent="0.2">
      <c r="A286" s="3" t="str">
        <f>"854"</f>
        <v>854</v>
      </c>
      <c r="B286" s="4">
        <v>42878</v>
      </c>
      <c r="C286" s="11" t="str">
        <f t="shared" si="30"/>
        <v xml:space="preserve"> </v>
      </c>
      <c r="D286" s="11"/>
      <c r="E286" s="11" t="str">
        <f t="shared" si="29"/>
        <v>卖出</v>
      </c>
      <c r="F286" s="11" t="str">
        <f>"银行转取"</f>
        <v>银行转取</v>
      </c>
      <c r="G286" s="13">
        <v>0</v>
      </c>
      <c r="H286" s="1">
        <v>0</v>
      </c>
      <c r="I286" s="5">
        <v>-7542</v>
      </c>
      <c r="J286" s="5">
        <v>0</v>
      </c>
      <c r="K286" s="1">
        <v>0</v>
      </c>
      <c r="L286" s="1" t="str">
        <f t="shared" si="30"/>
        <v xml:space="preserve"> </v>
      </c>
      <c r="M286" s="1" t="str">
        <f>"银行返回码[ ]返回信息[0000 交易成功]|转账成功correct_balance=7542"</f>
        <v>银行返回码[ ]返回信息[0000 交易成功]|转账成功correct_balance=7542</v>
      </c>
    </row>
    <row r="287" spans="1:13" x14ac:dyDescent="0.2">
      <c r="A287" s="3" t="str">
        <f>"2250"</f>
        <v>2250</v>
      </c>
      <c r="B287" s="4">
        <v>42878</v>
      </c>
      <c r="C287" s="11" t="s">
        <v>34</v>
      </c>
      <c r="D287" s="11">
        <v>940018</v>
      </c>
      <c r="E287" s="11" t="str">
        <f t="shared" si="29"/>
        <v>卖出</v>
      </c>
      <c r="F287" s="11" t="str">
        <f>"基金资金拨出"</f>
        <v>基金资金拨出</v>
      </c>
      <c r="G287" s="13">
        <v>0</v>
      </c>
      <c r="H287" s="1">
        <v>0</v>
      </c>
      <c r="I287" s="5">
        <v>-13990.01</v>
      </c>
      <c r="J287" s="5">
        <v>-13990.01</v>
      </c>
      <c r="K287" s="1">
        <v>0</v>
      </c>
      <c r="L287" s="1" t="str">
        <f t="shared" si="30"/>
        <v xml:space="preserve"> </v>
      </c>
      <c r="M287" s="1" t="str">
        <f>"122扣除金额 基金代码：940018"</f>
        <v>122扣除金额 基金代码：940018</v>
      </c>
    </row>
    <row r="288" spans="1:13" x14ac:dyDescent="0.2">
      <c r="A288" s="3" t="str">
        <f>"3906"</f>
        <v>3906</v>
      </c>
      <c r="B288" s="4">
        <v>42878</v>
      </c>
      <c r="C288" s="11" t="str">
        <f>"500ETF"</f>
        <v>500ETF</v>
      </c>
      <c r="D288" s="11" t="str">
        <f>"510500"</f>
        <v>510500</v>
      </c>
      <c r="E288" s="11" t="str">
        <f>"买入"</f>
        <v>买入</v>
      </c>
      <c r="F288" s="11" t="str">
        <f>"证券买入"</f>
        <v>证券买入</v>
      </c>
      <c r="G288" s="13">
        <v>6.0780000000000003</v>
      </c>
      <c r="H288" s="1">
        <v>600</v>
      </c>
      <c r="I288" s="5">
        <v>-3647.53</v>
      </c>
      <c r="J288" s="5">
        <v>-17637.54</v>
      </c>
      <c r="K288" s="1">
        <v>0.73</v>
      </c>
      <c r="L288" s="1" t="str">
        <f>"A280737240"</f>
        <v>A280737240</v>
      </c>
      <c r="M288" s="1" t="str">
        <f>"证券买入"</f>
        <v>证券买入</v>
      </c>
    </row>
    <row r="289" spans="1:13" x14ac:dyDescent="0.2">
      <c r="A289" s="3" t="str">
        <f>"3907"</f>
        <v>3907</v>
      </c>
      <c r="B289" s="4">
        <v>42878</v>
      </c>
      <c r="C289" s="11" t="str">
        <f>"银华日利"</f>
        <v>银华日利</v>
      </c>
      <c r="D289" s="11" t="str">
        <f>"511880"</f>
        <v>511880</v>
      </c>
      <c r="E289" s="11" t="str">
        <f>"卖出"</f>
        <v>卖出</v>
      </c>
      <c r="F289" s="11" t="str">
        <f>"证券卖出"</f>
        <v>证券卖出</v>
      </c>
      <c r="G289" s="13">
        <v>101.352</v>
      </c>
      <c r="H289" s="1">
        <v>-100</v>
      </c>
      <c r="I289" s="5">
        <v>10135.200000000001</v>
      </c>
      <c r="J289" s="5">
        <v>-7502.34</v>
      </c>
      <c r="K289" s="1">
        <v>0</v>
      </c>
      <c r="L289" s="1" t="str">
        <f>"A280737240"</f>
        <v>A280737240</v>
      </c>
      <c r="M289" s="1" t="str">
        <f>"证券卖出"</f>
        <v>证券卖出</v>
      </c>
    </row>
    <row r="290" spans="1:13" x14ac:dyDescent="0.2">
      <c r="A290" s="3" t="str">
        <f>"3908"</f>
        <v>3908</v>
      </c>
      <c r="B290" s="4">
        <v>42878</v>
      </c>
      <c r="C290" s="11" t="str">
        <f>"H股ETF"</f>
        <v>H股ETF</v>
      </c>
      <c r="D290" s="11" t="str">
        <f>"510900"</f>
        <v>510900</v>
      </c>
      <c r="E290" s="11" t="str">
        <f>"卖出"</f>
        <v>卖出</v>
      </c>
      <c r="F290" s="11" t="str">
        <f>"证券卖出"</f>
        <v>证券卖出</v>
      </c>
      <c r="G290" s="13">
        <v>1.1399999999999999</v>
      </c>
      <c r="H290" s="1">
        <v>-10000</v>
      </c>
      <c r="I290" s="5">
        <v>11397.72</v>
      </c>
      <c r="J290" s="5">
        <v>3895.38</v>
      </c>
      <c r="K290" s="1">
        <v>2.2799999999999998</v>
      </c>
      <c r="L290" s="1" t="str">
        <f>"A280737240"</f>
        <v>A280737240</v>
      </c>
      <c r="M290" s="1" t="str">
        <f>"证券卖出"</f>
        <v>证券卖出</v>
      </c>
    </row>
    <row r="291" spans="1:13" x14ac:dyDescent="0.2">
      <c r="A291" s="3" t="str">
        <f>"6442"</f>
        <v>6442</v>
      </c>
      <c r="B291" s="4">
        <v>42878</v>
      </c>
      <c r="C291" s="11" t="str">
        <f>"广发医药"</f>
        <v>广发医药</v>
      </c>
      <c r="D291" s="11" t="str">
        <f>"159938"</f>
        <v>159938</v>
      </c>
      <c r="E291" s="11" t="str">
        <f>"买入"</f>
        <v>买入</v>
      </c>
      <c r="F291" s="11" t="str">
        <f>"证券买入"</f>
        <v>证券买入</v>
      </c>
      <c r="G291" s="13">
        <v>1.256</v>
      </c>
      <c r="H291" s="1">
        <v>3100</v>
      </c>
      <c r="I291" s="5">
        <v>-3894.38</v>
      </c>
      <c r="J291" s="5">
        <v>1</v>
      </c>
      <c r="K291" s="1">
        <v>0.78</v>
      </c>
      <c r="L291" s="1" t="str">
        <f>"0184500716"</f>
        <v>0184500716</v>
      </c>
      <c r="M291" s="1" t="str">
        <f>"证券买入"</f>
        <v>证券买入</v>
      </c>
    </row>
    <row r="292" spans="1:13" x14ac:dyDescent="0.2">
      <c r="A292" s="3" t="str">
        <f>"422"</f>
        <v>422</v>
      </c>
      <c r="B292" s="4">
        <v>42879</v>
      </c>
      <c r="C292" s="11" t="s">
        <v>34</v>
      </c>
      <c r="D292" s="11">
        <v>940018</v>
      </c>
      <c r="E292" s="11" t="str">
        <f>"卖出"</f>
        <v>卖出</v>
      </c>
      <c r="F292" s="11" t="str">
        <f>"资管转让资金上账"</f>
        <v>资管转让资金上账</v>
      </c>
      <c r="G292" s="13">
        <v>0</v>
      </c>
      <c r="H292" s="1">
        <v>0</v>
      </c>
      <c r="I292" s="5">
        <v>11999</v>
      </c>
      <c r="J292" s="5">
        <v>12000</v>
      </c>
      <c r="K292" s="1">
        <v>0</v>
      </c>
      <c r="L292" s="1" t="str">
        <f t="shared" ref="C292:L294" si="31">" "</f>
        <v xml:space="preserve"> </v>
      </c>
      <c r="M292" s="1" t="str">
        <f>"快速取现退出资金拨入,产品代码940018,对方资产账户40000545correct_balance=0"</f>
        <v>快速取现退出资金拨入,产品代码940018,对方资产账户40000545correct_balance=0</v>
      </c>
    </row>
    <row r="293" spans="1:13" x14ac:dyDescent="0.2">
      <c r="A293" s="3" t="str">
        <f>"425"</f>
        <v>425</v>
      </c>
      <c r="B293" s="4">
        <v>42879</v>
      </c>
      <c r="C293" s="11" t="str">
        <f t="shared" si="31"/>
        <v xml:space="preserve"> </v>
      </c>
      <c r="D293" s="11"/>
      <c r="E293" s="11" t="str">
        <f>"卖出"</f>
        <v>卖出</v>
      </c>
      <c r="F293" s="11" t="str">
        <f>"银行转取"</f>
        <v>银行转取</v>
      </c>
      <c r="G293" s="13">
        <v>0</v>
      </c>
      <c r="H293" s="1">
        <v>0</v>
      </c>
      <c r="I293" s="5">
        <v>-12000</v>
      </c>
      <c r="J293" s="5">
        <v>0</v>
      </c>
      <c r="K293" s="1">
        <v>0</v>
      </c>
      <c r="L293" s="1" t="str">
        <f t="shared" si="31"/>
        <v xml:space="preserve"> </v>
      </c>
      <c r="M293" s="1" t="str">
        <f>"银行返回码[ ]返回信息[0000 交易成功]|转账成功correct_balance=12000"</f>
        <v>银行返回码[ ]返回信息[0000 交易成功]|转账成功correct_balance=12000</v>
      </c>
    </row>
    <row r="294" spans="1:13" x14ac:dyDescent="0.2">
      <c r="A294" s="3" t="str">
        <f>"1913"</f>
        <v>1913</v>
      </c>
      <c r="B294" s="4">
        <v>42880</v>
      </c>
      <c r="C294" s="11" t="s">
        <v>34</v>
      </c>
      <c r="D294" s="11">
        <v>940018</v>
      </c>
      <c r="E294" s="11" t="str">
        <f>"卖出"</f>
        <v>卖出</v>
      </c>
      <c r="F294" s="11" t="str">
        <f>"基金资金拨出"</f>
        <v>基金资金拨出</v>
      </c>
      <c r="G294" s="13">
        <v>0</v>
      </c>
      <c r="H294" s="1">
        <v>0</v>
      </c>
      <c r="I294" s="5">
        <v>-49251.95</v>
      </c>
      <c r="J294" s="5">
        <v>-49251.95</v>
      </c>
      <c r="K294" s="1">
        <v>0</v>
      </c>
      <c r="L294" s="1" t="str">
        <f t="shared" si="31"/>
        <v xml:space="preserve"> </v>
      </c>
      <c r="M294" s="1" t="str">
        <f>"122扣除金额 基金代码：940018"</f>
        <v>122扣除金额 基金代码：940018</v>
      </c>
    </row>
    <row r="295" spans="1:13" x14ac:dyDescent="0.2">
      <c r="A295" s="3" t="str">
        <f>"4433"</f>
        <v>4433</v>
      </c>
      <c r="B295" s="4">
        <v>42880</v>
      </c>
      <c r="C295" s="11" t="str">
        <f>"H股ETF"</f>
        <v>H股ETF</v>
      </c>
      <c r="D295" s="11" t="str">
        <f>"510900"</f>
        <v>510900</v>
      </c>
      <c r="E295" s="11" t="str">
        <f>"卖出"</f>
        <v>卖出</v>
      </c>
      <c r="F295" s="11" t="str">
        <f>"证券卖出"</f>
        <v>证券卖出</v>
      </c>
      <c r="G295" s="13">
        <v>1.151</v>
      </c>
      <c r="H295" s="1">
        <v>-42800</v>
      </c>
      <c r="I295" s="5">
        <v>49252.95</v>
      </c>
      <c r="J295" s="5">
        <v>1</v>
      </c>
      <c r="K295" s="1">
        <v>9.85</v>
      </c>
      <c r="L295" s="1" t="str">
        <f>"A280737240"</f>
        <v>A280737240</v>
      </c>
      <c r="M295" s="1" t="str">
        <f>"证券卖出"</f>
        <v>证券卖出</v>
      </c>
    </row>
    <row r="296" spans="1:13" x14ac:dyDescent="0.2">
      <c r="A296" s="3" t="str">
        <f>"2548"</f>
        <v>2548</v>
      </c>
      <c r="B296" s="4">
        <v>42881</v>
      </c>
      <c r="C296" s="11" t="s">
        <v>34</v>
      </c>
      <c r="D296" s="11">
        <v>940018</v>
      </c>
      <c r="E296" s="11" t="str">
        <f>"卖出"</f>
        <v>卖出</v>
      </c>
      <c r="F296" s="11" t="str">
        <f>"基金资金拨出"</f>
        <v>基金资金拨出</v>
      </c>
      <c r="G296" s="13">
        <v>0</v>
      </c>
      <c r="H296" s="1">
        <v>0</v>
      </c>
      <c r="I296" s="5">
        <v>-1</v>
      </c>
      <c r="J296" s="5">
        <v>0</v>
      </c>
      <c r="K296" s="1">
        <v>0</v>
      </c>
      <c r="L296" s="1" t="str">
        <f>" "</f>
        <v xml:space="preserve"> </v>
      </c>
      <c r="M296" s="1" t="str">
        <f>"122扣除金额 基金代码：940018"</f>
        <v>122扣除金额 基金代码：940018</v>
      </c>
    </row>
    <row r="297" spans="1:13" x14ac:dyDescent="0.2">
      <c r="A297" s="3" t="str">
        <f>"4859"</f>
        <v>4859</v>
      </c>
      <c r="B297" s="4">
        <v>42886</v>
      </c>
      <c r="C297" s="11" t="str">
        <f>"华宝油气"</f>
        <v>华宝油气</v>
      </c>
      <c r="D297" s="11" t="str">
        <f>"162411"</f>
        <v>162411</v>
      </c>
      <c r="E297" s="11" t="str">
        <f>"买入"</f>
        <v>买入</v>
      </c>
      <c r="F297" s="11" t="str">
        <f>"证券买入"</f>
        <v>证券买入</v>
      </c>
      <c r="G297" s="13">
        <v>0.57499999999999996</v>
      </c>
      <c r="H297" s="1">
        <v>88000</v>
      </c>
      <c r="I297" s="5">
        <v>-50610.12</v>
      </c>
      <c r="J297" s="5">
        <v>-50610.12</v>
      </c>
      <c r="K297" s="1">
        <v>10.119999999999999</v>
      </c>
      <c r="L297" s="1" t="str">
        <f>"0184500716"</f>
        <v>0184500716</v>
      </c>
      <c r="M297" s="1" t="str">
        <f>"证券买入"</f>
        <v>证券买入</v>
      </c>
    </row>
    <row r="298" spans="1:13" x14ac:dyDescent="0.2">
      <c r="A298" s="3" t="str">
        <f>"7506"</f>
        <v>7506</v>
      </c>
      <c r="B298" s="4">
        <v>42886</v>
      </c>
      <c r="C298" s="11" t="s">
        <v>34</v>
      </c>
      <c r="D298" s="11">
        <v>940018</v>
      </c>
      <c r="E298" s="11" t="str">
        <f t="shared" ref="E298:E306" si="32">"卖出"</f>
        <v>卖出</v>
      </c>
      <c r="F298" s="11" t="str">
        <f>"基金资金拨出"</f>
        <v>基金资金拨出</v>
      </c>
      <c r="G298" s="13">
        <v>0</v>
      </c>
      <c r="H298" s="1">
        <v>0</v>
      </c>
      <c r="I298" s="5">
        <v>-694.94</v>
      </c>
      <c r="J298" s="5">
        <v>-51305.06</v>
      </c>
      <c r="K298" s="1">
        <v>0</v>
      </c>
      <c r="L298" s="1" t="str">
        <f t="shared" ref="C298:L306" si="33">" "</f>
        <v xml:space="preserve"> </v>
      </c>
      <c r="M298" s="1" t="str">
        <f>"122扣除金额 基金代码：940018"</f>
        <v>122扣除金额 基金代码：940018</v>
      </c>
    </row>
    <row r="299" spans="1:13" x14ac:dyDescent="0.2">
      <c r="A299" s="3" t="str">
        <f>"7508"</f>
        <v>7508</v>
      </c>
      <c r="B299" s="4">
        <v>42886</v>
      </c>
      <c r="C299" s="11" t="s">
        <v>34</v>
      </c>
      <c r="D299" s="11">
        <v>940018</v>
      </c>
      <c r="E299" s="11" t="str">
        <f t="shared" si="32"/>
        <v>卖出</v>
      </c>
      <c r="F299" s="11" t="str">
        <f>"基金资金拨入"</f>
        <v>基金资金拨入</v>
      </c>
      <c r="G299" s="13">
        <v>0</v>
      </c>
      <c r="H299" s="1">
        <v>0</v>
      </c>
      <c r="I299" s="5">
        <v>51306.06</v>
      </c>
      <c r="J299" s="5">
        <v>1</v>
      </c>
      <c r="K299" s="1">
        <v>0</v>
      </c>
      <c r="L299" s="1" t="str">
        <f t="shared" si="33"/>
        <v xml:space="preserve"> </v>
      </c>
      <c r="M299" s="1" t="str">
        <f>"124增加金额 基金代码：940018,发生份额：51306.06"</f>
        <v>124增加金额 基金代码：940018,发生份额：51306.06</v>
      </c>
    </row>
    <row r="300" spans="1:13" x14ac:dyDescent="0.2">
      <c r="A300" s="3" t="str">
        <f>"2437"</f>
        <v>2437</v>
      </c>
      <c r="B300" s="4">
        <v>42887</v>
      </c>
      <c r="C300" s="11" t="s">
        <v>34</v>
      </c>
      <c r="D300" s="11">
        <v>940018</v>
      </c>
      <c r="E300" s="11" t="str">
        <f t="shared" si="32"/>
        <v>卖出</v>
      </c>
      <c r="F300" s="11" t="str">
        <f>"基金资金拨出"</f>
        <v>基金资金拨出</v>
      </c>
      <c r="G300" s="13">
        <v>0</v>
      </c>
      <c r="H300" s="1">
        <v>0</v>
      </c>
      <c r="I300" s="5">
        <v>-1</v>
      </c>
      <c r="J300" s="5">
        <v>0</v>
      </c>
      <c r="K300" s="1">
        <v>0</v>
      </c>
      <c r="L300" s="1" t="str">
        <f t="shared" si="33"/>
        <v xml:space="preserve"> </v>
      </c>
      <c r="M300" s="1" t="str">
        <f>"122扣除金额 基金代码：940018"</f>
        <v>122扣除金额 基金代码：940018</v>
      </c>
    </row>
    <row r="301" spans="1:13" x14ac:dyDescent="0.2">
      <c r="A301" s="3" t="str">
        <f>"2437"</f>
        <v>2437</v>
      </c>
      <c r="B301" s="4">
        <v>42887</v>
      </c>
      <c r="C301" s="11" t="s">
        <v>34</v>
      </c>
      <c r="D301" s="11">
        <v>940018</v>
      </c>
      <c r="E301" s="11" t="str">
        <f t="shared" si="32"/>
        <v>卖出</v>
      </c>
      <c r="F301" s="11" t="str">
        <f>"基金资金拨出"</f>
        <v>基金资金拨出</v>
      </c>
      <c r="G301" s="13">
        <v>0</v>
      </c>
      <c r="H301" s="1">
        <v>0</v>
      </c>
      <c r="I301" s="5">
        <v>-1</v>
      </c>
      <c r="J301" s="5">
        <v>0</v>
      </c>
      <c r="K301" s="1">
        <v>0</v>
      </c>
      <c r="L301" s="1" t="str">
        <f t="shared" si="33"/>
        <v xml:space="preserve"> </v>
      </c>
      <c r="M301" s="1" t="str">
        <f>"122扣除金额 基金代码：940018"</f>
        <v>122扣除金额 基金代码：940018</v>
      </c>
    </row>
    <row r="302" spans="1:13" x14ac:dyDescent="0.2">
      <c r="A302" s="3" t="str">
        <f>"6461"</f>
        <v>6461</v>
      </c>
      <c r="B302" s="4">
        <v>42907</v>
      </c>
      <c r="C302" s="11" t="str">
        <f t="shared" si="33"/>
        <v xml:space="preserve"> </v>
      </c>
      <c r="D302" s="11"/>
      <c r="E302" s="11" t="str">
        <f t="shared" si="32"/>
        <v>卖出</v>
      </c>
      <c r="F302" s="11" t="str">
        <f>"利息归本"</f>
        <v>利息归本</v>
      </c>
      <c r="G302" s="13">
        <v>0</v>
      </c>
      <c r="H302" s="1">
        <v>0</v>
      </c>
      <c r="I302" s="5">
        <v>1.18</v>
      </c>
      <c r="J302" s="5">
        <v>1.18</v>
      </c>
      <c r="K302" s="1">
        <v>0</v>
      </c>
      <c r="L302" s="1" t="str">
        <f t="shared" si="33"/>
        <v xml:space="preserve"> </v>
      </c>
      <c r="M302" s="1" t="str">
        <f>" 利息归本: 归本利息为 1.18correct_balance=0"</f>
        <v xml:space="preserve"> 利息归本: 归本利息为 1.18correct_balance=0</v>
      </c>
    </row>
    <row r="303" spans="1:13" x14ac:dyDescent="0.2">
      <c r="A303" s="3" t="str">
        <f>"3557"</f>
        <v>3557</v>
      </c>
      <c r="B303" s="4">
        <v>42908</v>
      </c>
      <c r="C303" s="11" t="s">
        <v>34</v>
      </c>
      <c r="D303" s="11">
        <v>940018</v>
      </c>
      <c r="E303" s="11" t="str">
        <f t="shared" si="32"/>
        <v>卖出</v>
      </c>
      <c r="F303" s="11" t="str">
        <f>"基金资金拨出"</f>
        <v>基金资金拨出</v>
      </c>
      <c r="G303" s="13">
        <v>0</v>
      </c>
      <c r="H303" s="1">
        <v>0</v>
      </c>
      <c r="I303" s="5">
        <v>-1.18</v>
      </c>
      <c r="J303" s="5">
        <v>0</v>
      </c>
      <c r="K303" s="1">
        <v>0</v>
      </c>
      <c r="L303" s="1" t="str">
        <f t="shared" si="33"/>
        <v xml:space="preserve"> </v>
      </c>
      <c r="M303" s="1" t="str">
        <f>"122扣除金额 基金代码：940018"</f>
        <v>122扣除金额 基金代码：940018</v>
      </c>
    </row>
    <row r="304" spans="1:13" x14ac:dyDescent="0.2">
      <c r="A304" s="3" t="str">
        <f>"666"</f>
        <v>666</v>
      </c>
      <c r="B304" s="4">
        <v>42951</v>
      </c>
      <c r="C304" s="11" t="str">
        <f t="shared" si="33"/>
        <v xml:space="preserve"> </v>
      </c>
      <c r="D304" s="11"/>
      <c r="E304" s="11" t="str">
        <f t="shared" si="32"/>
        <v>卖出</v>
      </c>
      <c r="F304" s="11" t="str">
        <f>"银行转存"</f>
        <v>银行转存</v>
      </c>
      <c r="G304" s="13">
        <v>0</v>
      </c>
      <c r="H304" s="1">
        <v>0</v>
      </c>
      <c r="I304" s="5">
        <v>25000</v>
      </c>
      <c r="J304" s="5">
        <v>25000</v>
      </c>
      <c r="K304" s="1">
        <v>0</v>
      </c>
      <c r="L304" s="1" t="str">
        <f t="shared" si="33"/>
        <v xml:space="preserve"> </v>
      </c>
      <c r="M304" s="1" t="str">
        <f>"银行返回码[ ]返回信息[0000 交易成功]|转账成功correct_balance=0"</f>
        <v>银行返回码[ ]返回信息[0000 交易成功]|转账成功correct_balance=0</v>
      </c>
    </row>
    <row r="305" spans="1:13" x14ac:dyDescent="0.2">
      <c r="A305" s="3" t="str">
        <f>"2591"</f>
        <v>2591</v>
      </c>
      <c r="B305" s="4">
        <v>42951</v>
      </c>
      <c r="C305" s="11" t="s">
        <v>34</v>
      </c>
      <c r="D305" s="11">
        <v>940018</v>
      </c>
      <c r="E305" s="11" t="str">
        <f t="shared" si="32"/>
        <v>卖出</v>
      </c>
      <c r="F305" s="11" t="str">
        <f>"基金资金拨出"</f>
        <v>基金资金拨出</v>
      </c>
      <c r="G305" s="13">
        <v>0</v>
      </c>
      <c r="H305" s="1">
        <v>0</v>
      </c>
      <c r="I305" s="5">
        <v>-507.1</v>
      </c>
      <c r="J305" s="5">
        <v>24492.9</v>
      </c>
      <c r="K305" s="1">
        <v>0</v>
      </c>
      <c r="L305" s="1" t="str">
        <f t="shared" si="33"/>
        <v xml:space="preserve"> </v>
      </c>
      <c r="M305" s="1" t="str">
        <f>"122扣除金额 基金代码：940018"</f>
        <v>122扣除金额 基金代码：940018</v>
      </c>
    </row>
    <row r="306" spans="1:13" x14ac:dyDescent="0.2">
      <c r="A306" s="3" t="str">
        <f>"2592"</f>
        <v>2592</v>
      </c>
      <c r="B306" s="4">
        <v>42951</v>
      </c>
      <c r="C306" s="11" t="s">
        <v>34</v>
      </c>
      <c r="D306" s="11">
        <v>940018</v>
      </c>
      <c r="E306" s="11" t="str">
        <f t="shared" si="32"/>
        <v>卖出</v>
      </c>
      <c r="F306" s="11" t="str">
        <f>"基金资金拨入"</f>
        <v>基金资金拨入</v>
      </c>
      <c r="G306" s="13">
        <v>0</v>
      </c>
      <c r="H306" s="1">
        <v>0</v>
      </c>
      <c r="I306" s="5">
        <v>713.14</v>
      </c>
      <c r="J306" s="5">
        <v>25206.04</v>
      </c>
      <c r="K306" s="1">
        <v>0</v>
      </c>
      <c r="L306" s="1" t="str">
        <f t="shared" si="33"/>
        <v xml:space="preserve"> </v>
      </c>
      <c r="M306" s="1" t="str">
        <f>"124增加金额 基金代码：940018,发生份额：713.14"</f>
        <v>124增加金额 基金代码：940018,发生份额：713.14</v>
      </c>
    </row>
    <row r="307" spans="1:13" x14ac:dyDescent="0.2">
      <c r="A307" s="3" t="str">
        <f>"7303"</f>
        <v>7303</v>
      </c>
      <c r="B307" s="4">
        <v>42951</v>
      </c>
      <c r="C307" s="11" t="str">
        <f>"华宝油气"</f>
        <v>华宝油气</v>
      </c>
      <c r="D307" s="11" t="str">
        <f>"162411"</f>
        <v>162411</v>
      </c>
      <c r="E307" s="11" t="str">
        <f>"买入"</f>
        <v>买入</v>
      </c>
      <c r="F307" s="11" t="str">
        <f>"证券买入"</f>
        <v>证券买入</v>
      </c>
      <c r="G307" s="13">
        <v>0.52500000000000002</v>
      </c>
      <c r="H307" s="1">
        <v>48000</v>
      </c>
      <c r="I307" s="5">
        <v>-25205.040000000001</v>
      </c>
      <c r="J307" s="5">
        <v>1</v>
      </c>
      <c r="K307" s="1">
        <v>5.04</v>
      </c>
      <c r="L307" s="1" t="str">
        <f>"0184500716"</f>
        <v>0184500716</v>
      </c>
      <c r="M307" s="1" t="str">
        <f>"证券买入"</f>
        <v>证券买入</v>
      </c>
    </row>
    <row r="308" spans="1:13" x14ac:dyDescent="0.2">
      <c r="A308" s="3" t="str">
        <f>"2550"</f>
        <v>2550</v>
      </c>
      <c r="B308" s="4">
        <v>42954</v>
      </c>
      <c r="C308" s="11" t="s">
        <v>34</v>
      </c>
      <c r="D308" s="11">
        <v>940018</v>
      </c>
      <c r="E308" s="11" t="str">
        <f>"卖出"</f>
        <v>卖出</v>
      </c>
      <c r="F308" s="11" t="str">
        <f>"基金资金拨出"</f>
        <v>基金资金拨出</v>
      </c>
      <c r="G308" s="13">
        <v>0</v>
      </c>
      <c r="H308" s="1">
        <v>0</v>
      </c>
      <c r="I308" s="5">
        <v>-1</v>
      </c>
      <c r="J308" s="5">
        <v>0</v>
      </c>
      <c r="K308" s="1">
        <v>0</v>
      </c>
      <c r="L308" s="1" t="str">
        <f t="shared" ref="C308:L311" si="34">" "</f>
        <v xml:space="preserve"> </v>
      </c>
      <c r="M308" s="1" t="str">
        <f>"122扣除金额 基金代码：940018"</f>
        <v>122扣除金额 基金代码：940018</v>
      </c>
    </row>
    <row r="309" spans="1:13" x14ac:dyDescent="0.2">
      <c r="A309" s="3" t="str">
        <f>"375"</f>
        <v>375</v>
      </c>
      <c r="B309" s="4">
        <v>43063</v>
      </c>
      <c r="C309" s="11" t="str">
        <f t="shared" si="34"/>
        <v xml:space="preserve"> </v>
      </c>
      <c r="D309" s="11"/>
      <c r="E309" s="11" t="str">
        <f>"卖出"</f>
        <v>卖出</v>
      </c>
      <c r="F309" s="11" t="str">
        <f>"银行转存"</f>
        <v>银行转存</v>
      </c>
      <c r="G309" s="13">
        <v>0</v>
      </c>
      <c r="H309" s="1">
        <v>0</v>
      </c>
      <c r="I309" s="5">
        <v>7600</v>
      </c>
      <c r="J309" s="5">
        <v>7600</v>
      </c>
      <c r="K309" s="1">
        <v>0</v>
      </c>
      <c r="L309" s="1" t="str">
        <f t="shared" si="34"/>
        <v xml:space="preserve"> </v>
      </c>
      <c r="M309" s="1" t="str">
        <f>"银行返回码[ ]返回信息[0000 交易成功]|转账成功correct_balance=0"</f>
        <v>银行返回码[ ]返回信息[0000 交易成功]|转账成功correct_balance=0</v>
      </c>
    </row>
    <row r="310" spans="1:13" x14ac:dyDescent="0.2">
      <c r="A310" s="3" t="str">
        <f>"2561"</f>
        <v>2561</v>
      </c>
      <c r="B310" s="4">
        <v>43063</v>
      </c>
      <c r="C310" s="11" t="s">
        <v>34</v>
      </c>
      <c r="D310" s="11">
        <v>940018</v>
      </c>
      <c r="E310" s="11" t="str">
        <f>"卖出"</f>
        <v>卖出</v>
      </c>
      <c r="F310" s="11" t="str">
        <f>"基金资金拨出"</f>
        <v>基金资金拨出</v>
      </c>
      <c r="G310" s="13">
        <v>0</v>
      </c>
      <c r="H310" s="1">
        <v>0</v>
      </c>
      <c r="I310" s="5">
        <v>-366.69</v>
      </c>
      <c r="J310" s="5">
        <v>7233.31</v>
      </c>
      <c r="K310" s="1">
        <v>0</v>
      </c>
      <c r="L310" s="1" t="str">
        <f t="shared" si="34"/>
        <v xml:space="preserve"> </v>
      </c>
      <c r="M310" s="1" t="str">
        <f>"122扣除金额 基金代码：940018"</f>
        <v>122扣除金额 基金代码：940018</v>
      </c>
    </row>
    <row r="311" spans="1:13" x14ac:dyDescent="0.2">
      <c r="A311" s="3" t="str">
        <f>"2565"</f>
        <v>2565</v>
      </c>
      <c r="B311" s="4">
        <v>43063</v>
      </c>
      <c r="C311" s="11" t="s">
        <v>34</v>
      </c>
      <c r="D311" s="11">
        <v>940018</v>
      </c>
      <c r="E311" s="11" t="str">
        <f>"卖出"</f>
        <v>卖出</v>
      </c>
      <c r="F311" s="11" t="str">
        <f>"基金资金拨入"</f>
        <v>基金资金拨入</v>
      </c>
      <c r="G311" s="13">
        <v>0</v>
      </c>
      <c r="H311" s="1">
        <v>0</v>
      </c>
      <c r="I311" s="5">
        <v>511.17</v>
      </c>
      <c r="J311" s="5">
        <v>7744.48</v>
      </c>
      <c r="K311" s="1">
        <v>0</v>
      </c>
      <c r="L311" s="1" t="str">
        <f t="shared" si="34"/>
        <v xml:space="preserve"> </v>
      </c>
      <c r="M311" s="1" t="str">
        <f>"124增加金额 基金代码：940018,发生份额：511.17"</f>
        <v>124增加金额 基金代码：940018,发生份额：511.17</v>
      </c>
    </row>
    <row r="312" spans="1:13" x14ac:dyDescent="0.2">
      <c r="A312" s="3" t="str">
        <f>"4150"</f>
        <v>4150</v>
      </c>
      <c r="B312" s="4">
        <v>43063</v>
      </c>
      <c r="C312" s="11" t="str">
        <f>"500ETF"</f>
        <v>500ETF</v>
      </c>
      <c r="D312" s="11" t="str">
        <f>"510500"</f>
        <v>510500</v>
      </c>
      <c r="E312" s="11" t="str">
        <f>"买入"</f>
        <v>买入</v>
      </c>
      <c r="F312" s="11" t="str">
        <f>"证券买入"</f>
        <v>证券买入</v>
      </c>
      <c r="G312" s="13">
        <v>6.585</v>
      </c>
      <c r="H312" s="1">
        <v>1200</v>
      </c>
      <c r="I312" s="5">
        <v>-7903.58</v>
      </c>
      <c r="J312" s="5">
        <v>-159.1</v>
      </c>
      <c r="K312" s="1">
        <v>1.58</v>
      </c>
      <c r="L312" s="1" t="str">
        <f>"A280737240"</f>
        <v>A280737240</v>
      </c>
      <c r="M312" s="1" t="str">
        <f>"证券买入"</f>
        <v>证券买入</v>
      </c>
    </row>
    <row r="313" spans="1:13" x14ac:dyDescent="0.2">
      <c r="A313" s="3" t="str">
        <f>"6529"</f>
        <v>6529</v>
      </c>
      <c r="B313" s="4">
        <v>43063</v>
      </c>
      <c r="C313" s="11" t="str">
        <f>"恒生ETF"</f>
        <v>恒生ETF</v>
      </c>
      <c r="D313" s="11" t="str">
        <f>"159920"</f>
        <v>159920</v>
      </c>
      <c r="E313" s="11" t="str">
        <f>"卖出"</f>
        <v>卖出</v>
      </c>
      <c r="F313" s="11" t="str">
        <f>"证券卖出"</f>
        <v>证券卖出</v>
      </c>
      <c r="G313" s="13">
        <v>1.6020000000000001</v>
      </c>
      <c r="H313" s="1">
        <v>-100</v>
      </c>
      <c r="I313" s="5">
        <v>160.1</v>
      </c>
      <c r="J313" s="5">
        <v>1</v>
      </c>
      <c r="K313" s="1">
        <v>0.1</v>
      </c>
      <c r="L313" s="1" t="str">
        <f>"0184500716"</f>
        <v>0184500716</v>
      </c>
      <c r="M313" s="1" t="str">
        <f>"证券卖出"</f>
        <v>证券卖出</v>
      </c>
    </row>
    <row r="314" spans="1:13" x14ac:dyDescent="0.2">
      <c r="A314" s="3" t="str">
        <f>"2515"</f>
        <v>2515</v>
      </c>
      <c r="B314" s="4">
        <v>43066</v>
      </c>
      <c r="C314" s="11" t="s">
        <v>34</v>
      </c>
      <c r="D314" s="11">
        <v>940018</v>
      </c>
      <c r="E314" s="11" t="str">
        <f>"卖出"</f>
        <v>卖出</v>
      </c>
      <c r="F314" s="11" t="str">
        <f>"基金资金拨出"</f>
        <v>基金资金拨出</v>
      </c>
      <c r="G314" s="13">
        <v>0</v>
      </c>
      <c r="H314" s="1">
        <v>0</v>
      </c>
      <c r="I314" s="5">
        <v>-1</v>
      </c>
      <c r="J314" s="5">
        <v>0</v>
      </c>
      <c r="K314" s="1">
        <v>0</v>
      </c>
      <c r="L314" s="1" t="str">
        <f t="shared" ref="C314:L316" si="35">" "</f>
        <v xml:space="preserve"> </v>
      </c>
      <c r="M314" s="1" t="str">
        <f>"122扣除金额 基金代码：940018"</f>
        <v>122扣除金额 基金代码：940018</v>
      </c>
    </row>
    <row r="315" spans="1:13" x14ac:dyDescent="0.2">
      <c r="A315" s="3" t="str">
        <f>"842"</f>
        <v>842</v>
      </c>
      <c r="B315" s="4">
        <v>43074</v>
      </c>
      <c r="C315" s="11" t="str">
        <f t="shared" si="35"/>
        <v xml:space="preserve"> </v>
      </c>
      <c r="D315" s="11"/>
      <c r="E315" s="11" t="str">
        <f>"卖出"</f>
        <v>卖出</v>
      </c>
      <c r="F315" s="11" t="str">
        <f>"银行转存"</f>
        <v>银行转存</v>
      </c>
      <c r="G315" s="13">
        <v>0</v>
      </c>
      <c r="H315" s="1">
        <v>0</v>
      </c>
      <c r="I315" s="5">
        <v>4000</v>
      </c>
      <c r="J315" s="5">
        <v>4000</v>
      </c>
      <c r="K315" s="1">
        <v>0</v>
      </c>
      <c r="L315" s="1" t="str">
        <f t="shared" si="35"/>
        <v xml:space="preserve"> </v>
      </c>
      <c r="M315" s="1" t="str">
        <f>"银行返回码[ ]返回信息[0000 交易成功]|转账成功correct_balance=0"</f>
        <v>银行返回码[ ]返回信息[0000 交易成功]|转账成功correct_balance=0</v>
      </c>
    </row>
    <row r="316" spans="1:13" x14ac:dyDescent="0.2">
      <c r="A316" s="3" t="str">
        <f>"2235"</f>
        <v>2235</v>
      </c>
      <c r="B316" s="4">
        <v>43074</v>
      </c>
      <c r="C316" s="11" t="s">
        <v>34</v>
      </c>
      <c r="D316" s="11">
        <v>940018</v>
      </c>
      <c r="E316" s="11" t="str">
        <f>"卖出"</f>
        <v>卖出</v>
      </c>
      <c r="F316" s="11" t="str">
        <f>"基金资金拨出"</f>
        <v>基金资金拨出</v>
      </c>
      <c r="G316" s="13">
        <v>0</v>
      </c>
      <c r="H316" s="1">
        <v>0</v>
      </c>
      <c r="I316" s="5">
        <v>-134.22999999999999</v>
      </c>
      <c r="J316" s="5">
        <v>3865.77</v>
      </c>
      <c r="K316" s="1">
        <v>0</v>
      </c>
      <c r="L316" s="1" t="str">
        <f t="shared" si="35"/>
        <v xml:space="preserve"> </v>
      </c>
      <c r="M316" s="1" t="str">
        <f>"122扣除金额 基金代码：940018"</f>
        <v>122扣除金额 基金代码：940018</v>
      </c>
    </row>
    <row r="317" spans="1:13" x14ac:dyDescent="0.2">
      <c r="A317" s="3" t="str">
        <f>"4320"</f>
        <v>4320</v>
      </c>
      <c r="B317" s="4">
        <v>43074</v>
      </c>
      <c r="C317" s="11" t="str">
        <f>"500ETF"</f>
        <v>500ETF</v>
      </c>
      <c r="D317" s="11" t="str">
        <f>"510500"</f>
        <v>510500</v>
      </c>
      <c r="E317" s="11" t="str">
        <f>"买入"</f>
        <v>买入</v>
      </c>
      <c r="F317" s="11" t="str">
        <f>"证券买入"</f>
        <v>证券买入</v>
      </c>
      <c r="G317" s="13">
        <v>6.44</v>
      </c>
      <c r="H317" s="1">
        <v>600</v>
      </c>
      <c r="I317" s="5">
        <v>-3864.77</v>
      </c>
      <c r="J317" s="5">
        <v>1</v>
      </c>
      <c r="K317" s="1">
        <v>0.77</v>
      </c>
      <c r="L317" s="1" t="str">
        <f>"A280737240"</f>
        <v>A280737240</v>
      </c>
      <c r="M317" s="1" t="str">
        <f>"证券买入"</f>
        <v>证券买入</v>
      </c>
    </row>
    <row r="318" spans="1:13" x14ac:dyDescent="0.2">
      <c r="A318" s="3" t="str">
        <f>"2231"</f>
        <v>2231</v>
      </c>
      <c r="B318" s="4">
        <v>43075</v>
      </c>
      <c r="C318" s="11" t="s">
        <v>34</v>
      </c>
      <c r="D318" s="11">
        <v>940018</v>
      </c>
      <c r="E318" s="11" t="str">
        <f t="shared" ref="E318:E323" si="36">"卖出"</f>
        <v>卖出</v>
      </c>
      <c r="F318" s="11" t="str">
        <f>"基金资金拨出"</f>
        <v>基金资金拨出</v>
      </c>
      <c r="G318" s="13">
        <v>0</v>
      </c>
      <c r="H318" s="1">
        <v>0</v>
      </c>
      <c r="I318" s="5">
        <v>-1</v>
      </c>
      <c r="J318" s="5">
        <v>0</v>
      </c>
      <c r="K318" s="1">
        <v>0</v>
      </c>
      <c r="L318" s="1" t="str">
        <f t="shared" ref="C318:L323" si="37">" "</f>
        <v xml:space="preserve"> </v>
      </c>
      <c r="M318" s="1" t="str">
        <f>"122扣除金额 基金代码：940018"</f>
        <v>122扣除金额 基金代码：940018</v>
      </c>
    </row>
    <row r="319" spans="1:13" x14ac:dyDescent="0.2">
      <c r="A319" s="3" t="str">
        <f>"572"</f>
        <v>572</v>
      </c>
      <c r="B319" s="4">
        <v>43095</v>
      </c>
      <c r="C319" s="11" t="str">
        <f t="shared" si="37"/>
        <v xml:space="preserve"> </v>
      </c>
      <c r="D319" s="11"/>
      <c r="E319" s="11" t="str">
        <f t="shared" si="36"/>
        <v>卖出</v>
      </c>
      <c r="F319" s="11" t="str">
        <f>"银行转存"</f>
        <v>银行转存</v>
      </c>
      <c r="G319" s="13">
        <v>0</v>
      </c>
      <c r="H319" s="1">
        <v>0</v>
      </c>
      <c r="I319" s="5">
        <v>500</v>
      </c>
      <c r="J319" s="5">
        <v>500</v>
      </c>
      <c r="K319" s="1">
        <v>0</v>
      </c>
      <c r="L319" s="1" t="str">
        <f t="shared" si="37"/>
        <v xml:space="preserve"> </v>
      </c>
      <c r="M319" s="1" t="str">
        <f>"银行返回码[ ]返回信息[0000 交易成功]|转账成功correct_balance=0"</f>
        <v>银行返回码[ ]返回信息[0000 交易成功]|转账成功correct_balance=0</v>
      </c>
    </row>
    <row r="320" spans="1:13" x14ac:dyDescent="0.2">
      <c r="A320" s="3" t="str">
        <f>"5536"</f>
        <v>5536</v>
      </c>
      <c r="B320" s="4">
        <v>43095</v>
      </c>
      <c r="C320" s="11" t="s">
        <v>34</v>
      </c>
      <c r="D320" s="11">
        <v>940018</v>
      </c>
      <c r="E320" s="11" t="str">
        <f t="shared" si="36"/>
        <v>卖出</v>
      </c>
      <c r="F320" s="11" t="str">
        <f>"基金资金拨出"</f>
        <v>基金资金拨出</v>
      </c>
      <c r="G320" s="13">
        <v>0</v>
      </c>
      <c r="H320" s="1">
        <v>0</v>
      </c>
      <c r="I320" s="5">
        <v>-3.95</v>
      </c>
      <c r="J320" s="5">
        <v>496.05</v>
      </c>
      <c r="K320" s="1">
        <v>0</v>
      </c>
      <c r="L320" s="1" t="str">
        <f t="shared" si="37"/>
        <v xml:space="preserve"> </v>
      </c>
      <c r="M320" s="1" t="str">
        <f>"122扣除金额 基金代码：940018"</f>
        <v>122扣除金额 基金代码：940018</v>
      </c>
    </row>
    <row r="321" spans="1:13" x14ac:dyDescent="0.2">
      <c r="A321" s="3" t="str">
        <f>"5537"</f>
        <v>5537</v>
      </c>
      <c r="B321" s="4">
        <v>43095</v>
      </c>
      <c r="C321" s="11" t="s">
        <v>34</v>
      </c>
      <c r="D321" s="11">
        <v>940018</v>
      </c>
      <c r="E321" s="11" t="str">
        <f t="shared" si="36"/>
        <v>卖出</v>
      </c>
      <c r="F321" s="11" t="str">
        <f>"基金资金拨入"</f>
        <v>基金资金拨入</v>
      </c>
      <c r="G321" s="13">
        <v>0</v>
      </c>
      <c r="H321" s="1">
        <v>0</v>
      </c>
      <c r="I321" s="5">
        <v>503.95</v>
      </c>
      <c r="J321" s="5">
        <v>1000</v>
      </c>
      <c r="K321" s="1">
        <v>0</v>
      </c>
      <c r="L321" s="1" t="str">
        <f t="shared" si="37"/>
        <v xml:space="preserve"> </v>
      </c>
      <c r="M321" s="1" t="str">
        <f>"124增加金额 基金代码：940018,发生份额：503.95"</f>
        <v>124增加金额 基金代码：940018,发生份额：503.95</v>
      </c>
    </row>
    <row r="322" spans="1:13" x14ac:dyDescent="0.2">
      <c r="A322" s="3" t="str">
        <f>"2378"</f>
        <v>2378</v>
      </c>
      <c r="B322" s="4">
        <v>43096</v>
      </c>
      <c r="C322" s="11" t="s">
        <v>34</v>
      </c>
      <c r="D322" s="11">
        <v>940018</v>
      </c>
      <c r="E322" s="11" t="str">
        <f t="shared" si="36"/>
        <v>卖出</v>
      </c>
      <c r="F322" s="11" t="str">
        <f>"基金资金拨出"</f>
        <v>基金资金拨出</v>
      </c>
      <c r="G322" s="13">
        <v>0</v>
      </c>
      <c r="H322" s="1">
        <v>0</v>
      </c>
      <c r="I322" s="5">
        <v>-6293.26</v>
      </c>
      <c r="J322" s="5">
        <v>-5293.26</v>
      </c>
      <c r="K322" s="1">
        <v>0</v>
      </c>
      <c r="L322" s="1" t="str">
        <f t="shared" si="37"/>
        <v xml:space="preserve"> </v>
      </c>
      <c r="M322" s="1" t="str">
        <f>"122扣除金额 基金代码：940018"</f>
        <v>122扣除金额 基金代码：940018</v>
      </c>
    </row>
    <row r="323" spans="1:13" x14ac:dyDescent="0.2">
      <c r="A323" s="3" t="str">
        <f>"2985"</f>
        <v>2985</v>
      </c>
      <c r="B323" s="4">
        <v>43096</v>
      </c>
      <c r="C323" s="11" t="s">
        <v>34</v>
      </c>
      <c r="D323" s="11">
        <v>940018</v>
      </c>
      <c r="E323" s="11" t="str">
        <f t="shared" si="36"/>
        <v>卖出</v>
      </c>
      <c r="F323" s="11" t="str">
        <f>"基金资金拨出"</f>
        <v>基金资金拨出</v>
      </c>
      <c r="G323" s="13">
        <v>0</v>
      </c>
      <c r="H323" s="1">
        <v>0</v>
      </c>
      <c r="I323" s="5">
        <v>-1000</v>
      </c>
      <c r="J323" s="5">
        <v>-6293.26</v>
      </c>
      <c r="K323" s="1">
        <v>0</v>
      </c>
      <c r="L323" s="1" t="str">
        <f t="shared" si="37"/>
        <v xml:space="preserve"> </v>
      </c>
      <c r="M323" s="1" t="str">
        <f>"122扣除金额 基金代码：004749"</f>
        <v>122扣除金额 基金代码：004749</v>
      </c>
    </row>
    <row r="324" spans="1:13" x14ac:dyDescent="0.2">
      <c r="A324" s="3" t="str">
        <f>"4476"</f>
        <v>4476</v>
      </c>
      <c r="B324" s="4">
        <v>43096</v>
      </c>
      <c r="C324" s="11" t="str">
        <f>"银华日利"</f>
        <v>银华日利</v>
      </c>
      <c r="D324" s="11" t="str">
        <f>"511880"</f>
        <v>511880</v>
      </c>
      <c r="E324" s="11" t="str">
        <f>"买入"</f>
        <v>买入</v>
      </c>
      <c r="F324" s="11" t="str">
        <f>"证券买入"</f>
        <v>证券买入</v>
      </c>
      <c r="G324" s="13">
        <v>103.619</v>
      </c>
      <c r="H324" s="1">
        <v>1900</v>
      </c>
      <c r="I324" s="5">
        <v>-196876.1</v>
      </c>
      <c r="J324" s="5">
        <v>-203169.36</v>
      </c>
      <c r="K324" s="1">
        <v>0</v>
      </c>
      <c r="L324" s="1" t="str">
        <f>"A280737240"</f>
        <v>A280737240</v>
      </c>
      <c r="M324" s="1" t="str">
        <f>"证券买入"</f>
        <v>证券买入</v>
      </c>
    </row>
    <row r="325" spans="1:13" x14ac:dyDescent="0.2">
      <c r="A325" s="3" t="str">
        <f>"6599"</f>
        <v>6599</v>
      </c>
      <c r="B325" s="4">
        <v>43096</v>
      </c>
      <c r="C325" s="11" t="str">
        <f>"华宝油气"</f>
        <v>华宝油气</v>
      </c>
      <c r="D325" s="11" t="str">
        <f>"162411"</f>
        <v>162411</v>
      </c>
      <c r="E325" s="11" t="str">
        <f t="shared" ref="E325:E333" si="38">"卖出"</f>
        <v>卖出</v>
      </c>
      <c r="F325" s="11" t="str">
        <f>"证券卖出"</f>
        <v>证券卖出</v>
      </c>
      <c r="G325" s="13">
        <v>0.60299999999999998</v>
      </c>
      <c r="H325" s="1">
        <v>-337000</v>
      </c>
      <c r="I325" s="5">
        <v>203170.36</v>
      </c>
      <c r="J325" s="5">
        <v>1</v>
      </c>
      <c r="K325" s="1">
        <v>40.64</v>
      </c>
      <c r="L325" s="1" t="str">
        <f>"0184500716"</f>
        <v>0184500716</v>
      </c>
      <c r="M325" s="1" t="str">
        <f>"证券卖出"</f>
        <v>证券卖出</v>
      </c>
    </row>
    <row r="326" spans="1:13" x14ac:dyDescent="0.2">
      <c r="A326" s="3" t="str">
        <f>"5161"</f>
        <v>5161</v>
      </c>
      <c r="B326" s="4">
        <v>43097</v>
      </c>
      <c r="C326" s="11" t="s">
        <v>34</v>
      </c>
      <c r="D326" s="11">
        <v>940018</v>
      </c>
      <c r="E326" s="11" t="str">
        <f t="shared" si="38"/>
        <v>卖出</v>
      </c>
      <c r="F326" s="11" t="str">
        <f>"基金资金拨出"</f>
        <v>基金资金拨出</v>
      </c>
      <c r="G326" s="13">
        <v>0</v>
      </c>
      <c r="H326" s="1">
        <v>0</v>
      </c>
      <c r="I326" s="5">
        <v>-297.99</v>
      </c>
      <c r="J326" s="5">
        <v>-296.99</v>
      </c>
      <c r="K326" s="1">
        <v>0</v>
      </c>
      <c r="L326" s="1" t="str">
        <f t="shared" ref="L326:L327" si="39">" "</f>
        <v xml:space="preserve"> </v>
      </c>
      <c r="M326" s="1" t="str">
        <f>"122扣除金额 基金代码：940018"</f>
        <v>122扣除金额 基金代码：940018</v>
      </c>
    </row>
    <row r="327" spans="1:13" x14ac:dyDescent="0.2">
      <c r="A327" s="3" t="str">
        <f>"5162"</f>
        <v>5162</v>
      </c>
      <c r="B327" s="4">
        <v>43097</v>
      </c>
      <c r="C327" s="11" t="s">
        <v>34</v>
      </c>
      <c r="D327" s="11">
        <v>940018</v>
      </c>
      <c r="E327" s="11" t="str">
        <f t="shared" si="38"/>
        <v>卖出</v>
      </c>
      <c r="F327" s="11" t="str">
        <f>"基金资金拨入"</f>
        <v>基金资金拨入</v>
      </c>
      <c r="G327" s="13">
        <v>0</v>
      </c>
      <c r="H327" s="1">
        <v>0</v>
      </c>
      <c r="I327" s="5">
        <v>6298.05</v>
      </c>
      <c r="J327" s="5">
        <v>6001.06</v>
      </c>
      <c r="K327" s="1">
        <v>0</v>
      </c>
      <c r="L327" s="1" t="str">
        <f t="shared" si="39"/>
        <v xml:space="preserve"> </v>
      </c>
      <c r="M327" s="1" t="str">
        <f>"124增加金额 基金代码：940018,发生份额：6298.05"</f>
        <v>124增加金额 基金代码：940018,发生份额：6298.05</v>
      </c>
    </row>
    <row r="328" spans="1:13" x14ac:dyDescent="0.2">
      <c r="A328" s="3" t="str">
        <f>"5996"</f>
        <v>5996</v>
      </c>
      <c r="B328" s="4">
        <v>43097</v>
      </c>
      <c r="C328" s="11" t="str">
        <f>"Ｒ-001"</f>
        <v>Ｒ-001</v>
      </c>
      <c r="D328" s="11" t="str">
        <f>"131810"</f>
        <v>131810</v>
      </c>
      <c r="E328" s="11" t="str">
        <f t="shared" si="38"/>
        <v>卖出</v>
      </c>
      <c r="F328" s="11" t="str">
        <f>"质押回购拆出"</f>
        <v>质押回购拆出</v>
      </c>
      <c r="G328" s="13">
        <v>14</v>
      </c>
      <c r="H328" s="1">
        <v>60</v>
      </c>
      <c r="I328" s="5">
        <v>-6000.06</v>
      </c>
      <c r="J328" s="5">
        <v>1</v>
      </c>
      <c r="K328" s="1">
        <v>0.06</v>
      </c>
      <c r="L328" s="1" t="str">
        <f>"0184500716"</f>
        <v>0184500716</v>
      </c>
      <c r="M328" s="1" t="str">
        <f>"融券回购购回日:20171229预计利息:9.21参考占款天数：4-131990"</f>
        <v>融券回购购回日:20171229预计利息:9.21参考占款天数：4-131990</v>
      </c>
    </row>
    <row r="329" spans="1:13" x14ac:dyDescent="0.2">
      <c r="A329" s="3" t="str">
        <f>"2468"</f>
        <v>2468</v>
      </c>
      <c r="B329" s="4">
        <v>43098</v>
      </c>
      <c r="C329" s="11" t="s">
        <v>34</v>
      </c>
      <c r="D329" s="11">
        <v>940018</v>
      </c>
      <c r="E329" s="11" t="str">
        <f t="shared" si="38"/>
        <v>卖出</v>
      </c>
      <c r="F329" s="11" t="str">
        <f>"基金资金拨出"</f>
        <v>基金资金拨出</v>
      </c>
      <c r="G329" s="13">
        <v>0</v>
      </c>
      <c r="H329" s="1">
        <v>0</v>
      </c>
      <c r="I329" s="5">
        <v>-6010.21</v>
      </c>
      <c r="J329" s="5">
        <v>-6009.21</v>
      </c>
      <c r="K329" s="1">
        <v>0</v>
      </c>
      <c r="L329" s="1" t="str">
        <f t="shared" ref="C329:L330" si="40">" "</f>
        <v xml:space="preserve"> </v>
      </c>
      <c r="M329" s="1" t="str">
        <f>"122扣除金额 基金代码：940018"</f>
        <v>122扣除金额 基金代码：940018</v>
      </c>
    </row>
    <row r="330" spans="1:13" x14ac:dyDescent="0.2">
      <c r="A330" s="3" t="str">
        <f>"3356"</f>
        <v>3356</v>
      </c>
      <c r="B330" s="4">
        <v>43098</v>
      </c>
      <c r="C330" s="11" t="str">
        <f t="shared" si="40"/>
        <v xml:space="preserve"> </v>
      </c>
      <c r="D330" s="11">
        <v>4749</v>
      </c>
      <c r="E330" s="11" t="str">
        <f t="shared" si="38"/>
        <v>卖出</v>
      </c>
      <c r="F330" s="11" t="str">
        <f>"基金资金拨入"</f>
        <v>基金资金拨入</v>
      </c>
      <c r="G330" s="13">
        <v>0</v>
      </c>
      <c r="H330" s="1">
        <v>0</v>
      </c>
      <c r="I330" s="5">
        <v>1000</v>
      </c>
      <c r="J330" s="5">
        <v>-5009.21</v>
      </c>
      <c r="K330" s="1">
        <v>0</v>
      </c>
      <c r="L330" s="1" t="str">
        <f t="shared" si="40"/>
        <v xml:space="preserve"> </v>
      </c>
      <c r="M330" s="1" t="str">
        <f>"124增加金额 基金代码：004749,发生份额：1000"</f>
        <v>124增加金额 基金代码：004749,发生份额：1000</v>
      </c>
    </row>
    <row r="331" spans="1:13" x14ac:dyDescent="0.2">
      <c r="A331" s="3" t="str">
        <f>"7084"</f>
        <v>7084</v>
      </c>
      <c r="B331" s="4">
        <v>43098</v>
      </c>
      <c r="C331" s="11" t="str">
        <f>"Ｒ-001"</f>
        <v>Ｒ-001</v>
      </c>
      <c r="D331" s="11" t="str">
        <f>"131810"</f>
        <v>131810</v>
      </c>
      <c r="E331" s="11" t="str">
        <f t="shared" si="38"/>
        <v>卖出</v>
      </c>
      <c r="F331" s="11" t="str">
        <f>"拆出质押购回"</f>
        <v>拆出质押购回</v>
      </c>
      <c r="G331" s="13">
        <v>14</v>
      </c>
      <c r="H331" s="1">
        <v>-60</v>
      </c>
      <c r="I331" s="5">
        <v>6009.21</v>
      </c>
      <c r="J331" s="5">
        <v>1000</v>
      </c>
      <c r="K331" s="1">
        <v>0</v>
      </c>
      <c r="L331" s="1" t="str">
        <f>"0184500716"</f>
        <v>0184500716</v>
      </c>
      <c r="M331" s="1" t="str">
        <f>"融券购回:9.21实际占款天数：4-131990"</f>
        <v>融券购回:9.21实际占款天数：4-131990</v>
      </c>
    </row>
    <row r="332" spans="1:13" x14ac:dyDescent="0.2">
      <c r="A332" s="3" t="str">
        <f>"7164"</f>
        <v>7164</v>
      </c>
      <c r="B332" s="4">
        <v>43102</v>
      </c>
      <c r="C332" s="11" t="s">
        <v>34</v>
      </c>
      <c r="D332" s="11">
        <v>940018</v>
      </c>
      <c r="E332" s="11" t="str">
        <f t="shared" si="38"/>
        <v>卖出</v>
      </c>
      <c r="F332" s="11" t="str">
        <f>"基金资金拨出"</f>
        <v>基金资金拨出</v>
      </c>
      <c r="G332" s="13">
        <v>0</v>
      </c>
      <c r="H332" s="1">
        <v>0</v>
      </c>
      <c r="I332" s="5">
        <v>-1000</v>
      </c>
      <c r="J332" s="5">
        <v>0</v>
      </c>
      <c r="K332" s="1">
        <v>0</v>
      </c>
      <c r="L332" s="1" t="str">
        <f>" "</f>
        <v xml:space="preserve"> </v>
      </c>
      <c r="M332" s="1" t="str">
        <f>"122扣除金额 基金代码：940018,发生份额：1000"</f>
        <v>122扣除金额 基金代码：940018,发生份额：1000</v>
      </c>
    </row>
    <row r="333" spans="1:13" x14ac:dyDescent="0.2">
      <c r="A333" s="3" t="str">
        <f>"5293"</f>
        <v>5293</v>
      </c>
      <c r="B333" s="4">
        <v>43103</v>
      </c>
      <c r="C333" s="11" t="str">
        <f>"银华日利"</f>
        <v>银华日利</v>
      </c>
      <c r="D333" s="11" t="str">
        <f>"511880"</f>
        <v>511880</v>
      </c>
      <c r="E333" s="11" t="str">
        <f t="shared" si="38"/>
        <v>卖出</v>
      </c>
      <c r="F333" s="11" t="str">
        <f>"股息入帐"</f>
        <v>股息入帐</v>
      </c>
      <c r="G333" s="13">
        <v>100.196</v>
      </c>
      <c r="H333" s="1">
        <v>0</v>
      </c>
      <c r="I333" s="5">
        <v>6798.2</v>
      </c>
      <c r="J333" s="5">
        <v>6798.2</v>
      </c>
      <c r="K333" s="1">
        <v>0</v>
      </c>
      <c r="L333" s="1" t="str">
        <f>"A280737240"</f>
        <v>A280737240</v>
      </c>
      <c r="M333" s="1" t="str">
        <f>"股息入账:银华日利511880; 权益股数:1900;股东账号：A280737240;"</f>
        <v>股息入账:银华日利511880; 权益股数:1900;股东账号：A280737240;</v>
      </c>
    </row>
    <row r="334" spans="1:13" x14ac:dyDescent="0.2">
      <c r="A334" s="3" t="str">
        <f>"2681"</f>
        <v>2681</v>
      </c>
      <c r="B334" s="4">
        <v>43104</v>
      </c>
      <c r="C334" s="11" t="str">
        <f>"银华日利"</f>
        <v>银华日利</v>
      </c>
      <c r="D334" s="11" t="str">
        <f>"511880"</f>
        <v>511880</v>
      </c>
      <c r="E334" s="11" t="str">
        <f>"买入"</f>
        <v>买入</v>
      </c>
      <c r="F334" s="11" t="str">
        <f>"证券买入"</f>
        <v>证券买入</v>
      </c>
      <c r="G334" s="13">
        <v>100.203</v>
      </c>
      <c r="H334" s="1">
        <v>100</v>
      </c>
      <c r="I334" s="5">
        <v>-10020.299999999999</v>
      </c>
      <c r="J334" s="5">
        <v>-3222.1</v>
      </c>
      <c r="K334" s="1">
        <v>0</v>
      </c>
      <c r="L334" s="1" t="str">
        <f>"A280737240"</f>
        <v>A280737240</v>
      </c>
      <c r="M334" s="1" t="str">
        <f>"证券买入"</f>
        <v>证券买入</v>
      </c>
    </row>
    <row r="335" spans="1:13" x14ac:dyDescent="0.2">
      <c r="A335" s="3" t="str">
        <f>"7140"</f>
        <v>7140</v>
      </c>
      <c r="B335" s="4">
        <v>43104</v>
      </c>
      <c r="C335" s="11" t="s">
        <v>34</v>
      </c>
      <c r="D335" s="11">
        <v>940018</v>
      </c>
      <c r="E335" s="11" t="str">
        <f>"卖出"</f>
        <v>卖出</v>
      </c>
      <c r="F335" s="11" t="str">
        <f>"基金资金拨出"</f>
        <v>基金资金拨出</v>
      </c>
      <c r="G335" s="13">
        <v>0</v>
      </c>
      <c r="H335" s="1">
        <v>0</v>
      </c>
      <c r="I335" s="5">
        <v>-4085.1</v>
      </c>
      <c r="J335" s="5">
        <v>-7307.2</v>
      </c>
      <c r="K335" s="1">
        <v>0</v>
      </c>
      <c r="L335" s="1" t="str">
        <f t="shared" ref="L335:L338" si="41">" "</f>
        <v xml:space="preserve"> </v>
      </c>
      <c r="M335" s="1" t="str">
        <f>"122扣除金额 基金代码：940018,发生份额：4085.1"</f>
        <v>122扣除金额 基金代码：940018,发生份额：4085.1</v>
      </c>
    </row>
    <row r="336" spans="1:13" x14ac:dyDescent="0.2">
      <c r="A336" s="3" t="str">
        <f>"7141"</f>
        <v>7141</v>
      </c>
      <c r="B336" s="4">
        <v>43104</v>
      </c>
      <c r="C336" s="11" t="s">
        <v>34</v>
      </c>
      <c r="D336" s="11">
        <v>940018</v>
      </c>
      <c r="E336" s="11" t="str">
        <f>"卖出"</f>
        <v>卖出</v>
      </c>
      <c r="F336" s="11" t="str">
        <f>"基金资金拨入"</f>
        <v>基金资金拨入</v>
      </c>
      <c r="G336" s="13">
        <v>0</v>
      </c>
      <c r="H336" s="1">
        <v>0</v>
      </c>
      <c r="I336" s="5">
        <v>7308.2</v>
      </c>
      <c r="J336" s="5">
        <v>1</v>
      </c>
      <c r="K336" s="1">
        <v>0</v>
      </c>
      <c r="L336" s="1" t="str">
        <f t="shared" si="41"/>
        <v xml:space="preserve"> </v>
      </c>
      <c r="M336" s="1" t="str">
        <f>"124增加金额 基金代码：940018,发生份额：7308.2"</f>
        <v>124增加金额 基金代码：940018,发生份额：7308.2</v>
      </c>
    </row>
    <row r="337" spans="1:13" x14ac:dyDescent="0.2">
      <c r="A337" s="3" t="str">
        <f>"2179"</f>
        <v>2179</v>
      </c>
      <c r="B337" s="4">
        <v>43105</v>
      </c>
      <c r="C337" s="11" t="s">
        <v>34</v>
      </c>
      <c r="D337" s="11">
        <v>940018</v>
      </c>
      <c r="E337" s="11" t="str">
        <f>"卖出"</f>
        <v>卖出</v>
      </c>
      <c r="F337" s="11" t="str">
        <f>"基金资金拨出"</f>
        <v>基金资金拨出</v>
      </c>
      <c r="G337" s="13">
        <v>0</v>
      </c>
      <c r="H337" s="1">
        <v>0</v>
      </c>
      <c r="I337" s="5">
        <v>-1</v>
      </c>
      <c r="J337" s="5">
        <v>0</v>
      </c>
      <c r="K337" s="1">
        <v>0</v>
      </c>
      <c r="L337" s="1" t="str">
        <f t="shared" si="41"/>
        <v xml:space="preserve"> </v>
      </c>
      <c r="M337" s="1" t="str">
        <f>"122扣除金额 基金代码：940018,发生份额：1"</f>
        <v>122扣除金额 基金代码：940018,发生份额：1</v>
      </c>
    </row>
    <row r="338" spans="1:13" x14ac:dyDescent="0.2">
      <c r="A338" s="3" t="str">
        <f>"2467"</f>
        <v>2467</v>
      </c>
      <c r="B338" s="4">
        <v>43108</v>
      </c>
      <c r="C338" s="11" t="s">
        <v>34</v>
      </c>
      <c r="D338" s="11">
        <v>940018</v>
      </c>
      <c r="E338" s="11" t="str">
        <f>"卖出"</f>
        <v>卖出</v>
      </c>
      <c r="F338" s="11" t="str">
        <f>"基金资金拨出"</f>
        <v>基金资金拨出</v>
      </c>
      <c r="G338" s="13">
        <v>0</v>
      </c>
      <c r="H338" s="1">
        <v>0</v>
      </c>
      <c r="I338" s="5">
        <v>-657</v>
      </c>
      <c r="J338" s="5">
        <v>-657</v>
      </c>
      <c r="K338" s="1">
        <v>0</v>
      </c>
      <c r="L338" s="1" t="str">
        <f t="shared" si="41"/>
        <v xml:space="preserve"> </v>
      </c>
      <c r="M338" s="1" t="str">
        <f>"122扣除金额 基金代码：940018,发生份额：657"</f>
        <v>122扣除金额 基金代码：940018,发生份额：657</v>
      </c>
    </row>
    <row r="339" spans="1:13" x14ac:dyDescent="0.2">
      <c r="A339" s="3" t="str">
        <f>"4398"</f>
        <v>4398</v>
      </c>
      <c r="B339" s="4">
        <v>43108</v>
      </c>
      <c r="C339" s="11" t="str">
        <f>"银华日利"</f>
        <v>银华日利</v>
      </c>
      <c r="D339" s="11" t="str">
        <f>"511880"</f>
        <v>511880</v>
      </c>
      <c r="E339" s="11" t="str">
        <f>"卖出"</f>
        <v>卖出</v>
      </c>
      <c r="F339" s="11" t="str">
        <f>"证券卖出"</f>
        <v>证券卖出</v>
      </c>
      <c r="G339" s="13">
        <v>100.33</v>
      </c>
      <c r="H339" s="1">
        <v>-2000</v>
      </c>
      <c r="I339" s="5">
        <v>200660</v>
      </c>
      <c r="J339" s="5">
        <v>200003</v>
      </c>
      <c r="K339" s="1">
        <v>0</v>
      </c>
      <c r="L339" s="1" t="str">
        <f>"A280737240"</f>
        <v>A280737240</v>
      </c>
      <c r="M339" s="1" t="str">
        <f>"证券卖出"</f>
        <v>证券卖出</v>
      </c>
    </row>
    <row r="340" spans="1:13" x14ac:dyDescent="0.2">
      <c r="A340" s="3" t="str">
        <f>"4400"</f>
        <v>4400</v>
      </c>
      <c r="B340" s="4">
        <v>43108</v>
      </c>
      <c r="C340" s="11" t="str">
        <f>"现金添富"</f>
        <v>现金添富</v>
      </c>
      <c r="D340" s="11" t="str">
        <f>"511980"</f>
        <v>511980</v>
      </c>
      <c r="E340" s="11" t="str">
        <f>"买入"</f>
        <v>买入</v>
      </c>
      <c r="F340" s="11" t="str">
        <f>"证券买入"</f>
        <v>证券买入</v>
      </c>
      <c r="G340" s="13">
        <v>100.001</v>
      </c>
      <c r="H340" s="1">
        <v>2000</v>
      </c>
      <c r="I340" s="5">
        <v>-200002</v>
      </c>
      <c r="J340" s="5">
        <v>1</v>
      </c>
      <c r="K340" s="1">
        <v>0</v>
      </c>
      <c r="L340" s="1" t="str">
        <f>"A280737240"</f>
        <v>A280737240</v>
      </c>
      <c r="M340" s="1" t="str">
        <f>"证券买入"</f>
        <v>证券买入</v>
      </c>
    </row>
    <row r="341" spans="1:13" x14ac:dyDescent="0.2">
      <c r="A341" s="3" t="str">
        <f>"2417"</f>
        <v>2417</v>
      </c>
      <c r="B341" s="4">
        <v>43109</v>
      </c>
      <c r="C341" s="11" t="str">
        <f>"现金添富"</f>
        <v>现金添富</v>
      </c>
      <c r="D341" s="11" t="str">
        <f>"511980"</f>
        <v>511980</v>
      </c>
      <c r="E341" s="11" t="str">
        <f>"卖出"</f>
        <v>卖出</v>
      </c>
      <c r="F341" s="11" t="str">
        <f>"证券卖出"</f>
        <v>证券卖出</v>
      </c>
      <c r="G341" s="13">
        <v>99.998999999999995</v>
      </c>
      <c r="H341" s="1">
        <v>-2000</v>
      </c>
      <c r="I341" s="5">
        <v>199998</v>
      </c>
      <c r="J341" s="5">
        <v>199999</v>
      </c>
      <c r="K341" s="1">
        <v>0</v>
      </c>
      <c r="L341" s="1" t="str">
        <f>"A280737240"</f>
        <v>A280737240</v>
      </c>
      <c r="M341" s="1" t="str">
        <f>"证券卖出"</f>
        <v>证券卖出</v>
      </c>
    </row>
    <row r="342" spans="1:13" x14ac:dyDescent="0.2">
      <c r="A342" s="3" t="str">
        <f>"2418"</f>
        <v>2418</v>
      </c>
      <c r="B342" s="4">
        <v>43109</v>
      </c>
      <c r="C342" s="11" t="str">
        <f>"银华日利"</f>
        <v>银华日利</v>
      </c>
      <c r="D342" s="11" t="str">
        <f>"511880"</f>
        <v>511880</v>
      </c>
      <c r="E342" s="11" t="str">
        <f>"买入"</f>
        <v>买入</v>
      </c>
      <c r="F342" s="11" t="str">
        <f>"证券买入"</f>
        <v>证券买入</v>
      </c>
      <c r="G342" s="13">
        <v>100.27200000000001</v>
      </c>
      <c r="H342" s="1">
        <v>2000</v>
      </c>
      <c r="I342" s="5">
        <v>-200544</v>
      </c>
      <c r="J342" s="5">
        <v>-545</v>
      </c>
      <c r="K342" s="1">
        <v>0</v>
      </c>
      <c r="L342" s="1" t="str">
        <f>"A280737240"</f>
        <v>A280737240</v>
      </c>
      <c r="M342" s="1" t="str">
        <f>"证券买入"</f>
        <v>证券买入</v>
      </c>
    </row>
    <row r="343" spans="1:13" x14ac:dyDescent="0.2">
      <c r="A343" s="3" t="str">
        <f>"5313"</f>
        <v>5313</v>
      </c>
      <c r="B343" s="4">
        <v>43109</v>
      </c>
      <c r="C343" s="11" t="s">
        <v>34</v>
      </c>
      <c r="D343" s="11">
        <v>940018</v>
      </c>
      <c r="E343" s="11" t="str">
        <f t="shared" ref="E343:E350" si="42">"卖出"</f>
        <v>卖出</v>
      </c>
      <c r="F343" s="11" t="str">
        <f>"基金资金拨出"</f>
        <v>基金资金拨出</v>
      </c>
      <c r="G343" s="13">
        <v>0</v>
      </c>
      <c r="H343" s="1">
        <v>0</v>
      </c>
      <c r="I343" s="5">
        <v>-4197.1000000000004</v>
      </c>
      <c r="J343" s="5">
        <v>-4742.1000000000004</v>
      </c>
      <c r="K343" s="1">
        <v>0</v>
      </c>
      <c r="L343" s="1" t="str">
        <f t="shared" ref="L343:L346" si="43">" "</f>
        <v xml:space="preserve"> </v>
      </c>
      <c r="M343" s="1" t="str">
        <f>"122扣除金额 基金代码：940018,发生份额：4197.1"</f>
        <v>122扣除金额 基金代码：940018,发生份额：4197.1</v>
      </c>
    </row>
    <row r="344" spans="1:13" x14ac:dyDescent="0.2">
      <c r="A344" s="3" t="str">
        <f>"5314"</f>
        <v>5314</v>
      </c>
      <c r="B344" s="4">
        <v>43109</v>
      </c>
      <c r="C344" s="11" t="s">
        <v>34</v>
      </c>
      <c r="D344" s="11">
        <v>940018</v>
      </c>
      <c r="E344" s="11" t="str">
        <f t="shared" si="42"/>
        <v>卖出</v>
      </c>
      <c r="F344" s="11" t="str">
        <f>"基金资金拨入"</f>
        <v>基金资金拨入</v>
      </c>
      <c r="G344" s="13">
        <v>0</v>
      </c>
      <c r="H344" s="1">
        <v>0</v>
      </c>
      <c r="I344" s="5">
        <v>4743.1000000000004</v>
      </c>
      <c r="J344" s="5">
        <v>1</v>
      </c>
      <c r="K344" s="1">
        <v>0</v>
      </c>
      <c r="L344" s="1" t="str">
        <f t="shared" si="43"/>
        <v xml:space="preserve"> </v>
      </c>
      <c r="M344" s="1" t="str">
        <f>"124增加金额 基金代码：940018,发生份额：4743.1"</f>
        <v>124增加金额 基金代码：940018,发生份额：4743.1</v>
      </c>
    </row>
    <row r="345" spans="1:13" x14ac:dyDescent="0.2">
      <c r="A345" s="3" t="str">
        <f>"1876"</f>
        <v>1876</v>
      </c>
      <c r="B345" s="4">
        <v>43110</v>
      </c>
      <c r="C345" s="11" t="s">
        <v>34</v>
      </c>
      <c r="D345" s="11">
        <v>940018</v>
      </c>
      <c r="E345" s="11" t="str">
        <f t="shared" si="42"/>
        <v>卖出</v>
      </c>
      <c r="F345" s="11" t="str">
        <f>"基金资金拨出"</f>
        <v>基金资金拨出</v>
      </c>
      <c r="G345" s="13">
        <v>0</v>
      </c>
      <c r="H345" s="1">
        <v>0</v>
      </c>
      <c r="I345" s="5">
        <v>-197.06</v>
      </c>
      <c r="J345" s="5">
        <v>-196.06</v>
      </c>
      <c r="K345" s="1">
        <v>0</v>
      </c>
      <c r="L345" s="1" t="str">
        <f t="shared" si="43"/>
        <v xml:space="preserve"> </v>
      </c>
      <c r="M345" s="1" t="str">
        <f>"122扣除金额 基金代码：940018,发生份额：197.06"</f>
        <v>122扣除金额 基金代码：940018,发生份额：197.06</v>
      </c>
    </row>
    <row r="346" spans="1:13" x14ac:dyDescent="0.2">
      <c r="A346" s="3" t="str">
        <f>"1878"</f>
        <v>1878</v>
      </c>
      <c r="B346" s="4">
        <v>43110</v>
      </c>
      <c r="C346" s="11" t="s">
        <v>34</v>
      </c>
      <c r="D346" s="11">
        <v>940018</v>
      </c>
      <c r="E346" s="11" t="str">
        <f t="shared" si="42"/>
        <v>卖出</v>
      </c>
      <c r="F346" s="11" t="str">
        <f>"基金资金拨入"</f>
        <v>基金资金拨入</v>
      </c>
      <c r="G346" s="13">
        <v>0</v>
      </c>
      <c r="H346" s="1">
        <v>0</v>
      </c>
      <c r="I346" s="5">
        <v>4197.1000000000004</v>
      </c>
      <c r="J346" s="5">
        <v>4001.04</v>
      </c>
      <c r="K346" s="1">
        <v>0</v>
      </c>
      <c r="L346" s="1" t="str">
        <f t="shared" si="43"/>
        <v xml:space="preserve"> </v>
      </c>
      <c r="M346" s="1" t="str">
        <f>"124增加金额 基金代码：940018,发生份额：4197.1"</f>
        <v>124增加金额 基金代码：940018,发生份额：4197.1</v>
      </c>
    </row>
    <row r="347" spans="1:13" x14ac:dyDescent="0.2">
      <c r="A347" s="3" t="str">
        <f>"6289"</f>
        <v>6289</v>
      </c>
      <c r="B347" s="4">
        <v>43110</v>
      </c>
      <c r="C347" s="11" t="str">
        <f>"Ｒ-001"</f>
        <v>Ｒ-001</v>
      </c>
      <c r="D347" s="11" t="str">
        <f>"131810"</f>
        <v>131810</v>
      </c>
      <c r="E347" s="11" t="str">
        <f t="shared" si="42"/>
        <v>卖出</v>
      </c>
      <c r="F347" s="11" t="str">
        <f>"质押回购拆出"</f>
        <v>质押回购拆出</v>
      </c>
      <c r="G347" s="13">
        <v>2.681</v>
      </c>
      <c r="H347" s="1">
        <v>40</v>
      </c>
      <c r="I347" s="5">
        <v>-4000.04</v>
      </c>
      <c r="J347" s="5">
        <v>1</v>
      </c>
      <c r="K347" s="1">
        <v>0.04</v>
      </c>
      <c r="L347" s="1" t="str">
        <f>"0184500716"</f>
        <v>0184500716</v>
      </c>
      <c r="M347" s="1" t="str">
        <f>"融券回购购回日:20180111预计利息:.29参考占款天数：1-131990"</f>
        <v>融券回购购回日:20180111预计利息:.29参考占款天数：1-131990</v>
      </c>
    </row>
    <row r="348" spans="1:13" x14ac:dyDescent="0.2">
      <c r="A348" s="3" t="str">
        <f>"6770"</f>
        <v>6770</v>
      </c>
      <c r="B348" s="4">
        <v>43110</v>
      </c>
      <c r="C348" s="11" t="str">
        <f>"现金添富"</f>
        <v>现金添富</v>
      </c>
      <c r="D348" s="11" t="str">
        <f>"511980"</f>
        <v>511980</v>
      </c>
      <c r="E348" s="11" t="str">
        <f t="shared" si="42"/>
        <v>卖出</v>
      </c>
      <c r="F348" s="11" t="str">
        <f>"ETF现金替代退款"</f>
        <v>ETF现金替代退款</v>
      </c>
      <c r="G348" s="13">
        <v>100.001</v>
      </c>
      <c r="H348" s="1">
        <v>0</v>
      </c>
      <c r="I348" s="5">
        <v>21.25</v>
      </c>
      <c r="J348" s="5">
        <v>22.25</v>
      </c>
      <c r="K348" s="1">
        <v>0</v>
      </c>
      <c r="L348" s="1" t="str">
        <f>"A280737240"</f>
        <v>A280737240</v>
      </c>
      <c r="M348" s="1" t="str">
        <f>"ETF现金替代退款,证券代码:511980,委托时间:20180109,成交编号:2"</f>
        <v>ETF现金替代退款,证券代码:511980,委托时间:20180109,成交编号:2</v>
      </c>
    </row>
    <row r="349" spans="1:13" x14ac:dyDescent="0.2">
      <c r="A349" s="3" t="str">
        <f>"4646"</f>
        <v>4646</v>
      </c>
      <c r="B349" s="4">
        <v>43111</v>
      </c>
      <c r="C349" s="11" t="str">
        <f>"Ｒ-001"</f>
        <v>Ｒ-001</v>
      </c>
      <c r="D349" s="11" t="str">
        <f>"131810"</f>
        <v>131810</v>
      </c>
      <c r="E349" s="11" t="str">
        <f t="shared" si="42"/>
        <v>卖出</v>
      </c>
      <c r="F349" s="11" t="str">
        <f>"拆出质押购回"</f>
        <v>拆出质押购回</v>
      </c>
      <c r="G349" s="13">
        <v>2.681</v>
      </c>
      <c r="H349" s="1">
        <v>-40</v>
      </c>
      <c r="I349" s="5">
        <v>4000.29</v>
      </c>
      <c r="J349" s="5">
        <v>4022.54</v>
      </c>
      <c r="K349" s="1">
        <v>0</v>
      </c>
      <c r="L349" s="1" t="str">
        <f>"0184500716"</f>
        <v>0184500716</v>
      </c>
      <c r="M349" s="1" t="str">
        <f>"融券购回:.29实际占款天数：1-131990"</f>
        <v>融券购回:.29实际占款天数：1-131990</v>
      </c>
    </row>
    <row r="350" spans="1:13" x14ac:dyDescent="0.2">
      <c r="A350" s="3" t="str">
        <f>"6216"</f>
        <v>6216</v>
      </c>
      <c r="B350" s="4">
        <v>43111</v>
      </c>
      <c r="C350" s="11" t="s">
        <v>34</v>
      </c>
      <c r="D350" s="11">
        <v>940018</v>
      </c>
      <c r="E350" s="11" t="str">
        <f t="shared" si="42"/>
        <v>卖出</v>
      </c>
      <c r="F350" s="11" t="str">
        <f>"基金资金拨出"</f>
        <v>基金资金拨出</v>
      </c>
      <c r="G350" s="13">
        <v>0</v>
      </c>
      <c r="H350" s="1">
        <v>0</v>
      </c>
      <c r="I350" s="5">
        <v>-4022.54</v>
      </c>
      <c r="J350" s="5">
        <v>0</v>
      </c>
      <c r="K350" s="1">
        <v>0</v>
      </c>
      <c r="L350" s="1" t="str">
        <f>" "</f>
        <v xml:space="preserve"> </v>
      </c>
      <c r="M350" s="1" t="str">
        <f>"122扣除金额 基金代码：940018,发生份额：4022.54"</f>
        <v>122扣除金额 基金代码：940018,发生份额：4022.54</v>
      </c>
    </row>
    <row r="351" spans="1:13" x14ac:dyDescent="0.2">
      <c r="A351" s="3" t="str">
        <f>"2878"</f>
        <v>2878</v>
      </c>
      <c r="B351" s="4">
        <v>43115</v>
      </c>
      <c r="C351" s="11" t="str">
        <f>"500ETF"</f>
        <v>500ETF</v>
      </c>
      <c r="D351" s="11" t="str">
        <f>"510500"</f>
        <v>510500</v>
      </c>
      <c r="E351" s="11" t="str">
        <f>"买入"</f>
        <v>买入</v>
      </c>
      <c r="F351" s="11" t="str">
        <f>"证券买入"</f>
        <v>证券买入</v>
      </c>
      <c r="G351" s="13">
        <v>6.5739999999999998</v>
      </c>
      <c r="H351" s="1">
        <v>600</v>
      </c>
      <c r="I351" s="5">
        <v>-3945.19</v>
      </c>
      <c r="J351" s="5">
        <v>-3945.19</v>
      </c>
      <c r="K351" s="1">
        <v>0.79</v>
      </c>
      <c r="L351" s="1" t="str">
        <f>"A280737240"</f>
        <v>A280737240</v>
      </c>
      <c r="M351" s="1" t="str">
        <f>"证券买入"</f>
        <v>证券买入</v>
      </c>
    </row>
    <row r="352" spans="1:13" x14ac:dyDescent="0.2">
      <c r="A352" s="3" t="str">
        <f>"5176"</f>
        <v>5176</v>
      </c>
      <c r="B352" s="4">
        <v>43115</v>
      </c>
      <c r="C352" s="11" t="s">
        <v>34</v>
      </c>
      <c r="D352" s="11">
        <v>940018</v>
      </c>
      <c r="E352" s="11" t="str">
        <f>"卖出"</f>
        <v>卖出</v>
      </c>
      <c r="F352" s="11" t="str">
        <f>"基金资金拨出"</f>
        <v>基金资金拨出</v>
      </c>
      <c r="G352" s="13">
        <v>0</v>
      </c>
      <c r="H352" s="1">
        <v>0</v>
      </c>
      <c r="I352" s="5">
        <v>-273.41000000000003</v>
      </c>
      <c r="J352" s="5">
        <v>-4218.6000000000004</v>
      </c>
      <c r="K352" s="1">
        <v>0</v>
      </c>
      <c r="L352" s="1" t="str">
        <f t="shared" ref="L352:L355" si="44">" "</f>
        <v xml:space="preserve"> </v>
      </c>
      <c r="M352" s="1" t="str">
        <f>"122扣除金额 基金代码：940018,发生份额：273.41"</f>
        <v>122扣除金额 基金代码：940018,发生份额：273.41</v>
      </c>
    </row>
    <row r="353" spans="1:13" x14ac:dyDescent="0.2">
      <c r="A353" s="3" t="str">
        <f>"5177"</f>
        <v>5177</v>
      </c>
      <c r="B353" s="4">
        <v>43115</v>
      </c>
      <c r="C353" s="11" t="s">
        <v>34</v>
      </c>
      <c r="D353" s="11">
        <v>940018</v>
      </c>
      <c r="E353" s="11" t="str">
        <f>"卖出"</f>
        <v>卖出</v>
      </c>
      <c r="F353" s="11" t="str">
        <f>"基金资金拨入"</f>
        <v>基金资金拨入</v>
      </c>
      <c r="G353" s="13">
        <v>0</v>
      </c>
      <c r="H353" s="1">
        <v>0</v>
      </c>
      <c r="I353" s="5">
        <v>4219.6000000000004</v>
      </c>
      <c r="J353" s="5">
        <v>1</v>
      </c>
      <c r="K353" s="1">
        <v>0</v>
      </c>
      <c r="L353" s="1" t="str">
        <f t="shared" si="44"/>
        <v xml:space="preserve"> </v>
      </c>
      <c r="M353" s="1" t="str">
        <f>"124增加金额 基金代码：940018,发生份额：4219.6"</f>
        <v>124增加金额 基金代码：940018,发生份额：4219.6</v>
      </c>
    </row>
    <row r="354" spans="1:13" x14ac:dyDescent="0.2">
      <c r="A354" s="3" t="str">
        <f>"6158"</f>
        <v>6158</v>
      </c>
      <c r="B354" s="4">
        <v>43116</v>
      </c>
      <c r="C354" s="11" t="s">
        <v>34</v>
      </c>
      <c r="D354" s="11">
        <v>940018</v>
      </c>
      <c r="E354" s="11" t="str">
        <f>"卖出"</f>
        <v>卖出</v>
      </c>
      <c r="F354" s="11" t="str">
        <f>"基金资金拨出"</f>
        <v>基金资金拨出</v>
      </c>
      <c r="G354" s="13">
        <v>0</v>
      </c>
      <c r="H354" s="1">
        <v>0</v>
      </c>
      <c r="I354" s="5">
        <v>-1</v>
      </c>
      <c r="J354" s="5">
        <v>0</v>
      </c>
      <c r="K354" s="1">
        <v>0</v>
      </c>
      <c r="L354" s="1" t="str">
        <f t="shared" si="44"/>
        <v xml:space="preserve"> </v>
      </c>
      <c r="M354" s="1" t="str">
        <f>"122扣除金额 基金代码：940018,发生份额：1"</f>
        <v>122扣除金额 基金代码：940018,发生份额：1</v>
      </c>
    </row>
    <row r="355" spans="1:13" x14ac:dyDescent="0.2">
      <c r="A355" s="3" t="str">
        <f>"2461"</f>
        <v>2461</v>
      </c>
      <c r="B355" s="4">
        <v>43119</v>
      </c>
      <c r="C355" s="11" t="s">
        <v>34</v>
      </c>
      <c r="D355" s="11">
        <v>940018</v>
      </c>
      <c r="E355" s="11" t="str">
        <f>"卖出"</f>
        <v>卖出</v>
      </c>
      <c r="F355" s="11" t="str">
        <f>"基金资金拨出"</f>
        <v>基金资金拨出</v>
      </c>
      <c r="G355" s="13">
        <v>0</v>
      </c>
      <c r="H355" s="1">
        <v>0</v>
      </c>
      <c r="I355" s="5">
        <v>-6034.8</v>
      </c>
      <c r="J355" s="5">
        <v>-6034.8</v>
      </c>
      <c r="K355" s="1">
        <v>0</v>
      </c>
      <c r="L355" s="1" t="str">
        <f t="shared" si="44"/>
        <v xml:space="preserve"> </v>
      </c>
      <c r="M355" s="1" t="str">
        <f>"122扣除金额 基金代码：940018,发生份额：6034.8"</f>
        <v>122扣除金额 基金代码：940018,发生份额：6034.8</v>
      </c>
    </row>
    <row r="356" spans="1:13" x14ac:dyDescent="0.2">
      <c r="A356" s="3" t="str">
        <f>"4456"</f>
        <v>4456</v>
      </c>
      <c r="B356" s="4">
        <v>43119</v>
      </c>
      <c r="C356" s="11" t="str">
        <f>"银华日利"</f>
        <v>银华日利</v>
      </c>
      <c r="D356" s="11" t="str">
        <f>"511880"</f>
        <v>511880</v>
      </c>
      <c r="E356" s="11" t="str">
        <f>"卖出"</f>
        <v>卖出</v>
      </c>
      <c r="F356" s="11" t="str">
        <f>"证券卖出"</f>
        <v>证券卖出</v>
      </c>
      <c r="G356" s="13">
        <v>100.366</v>
      </c>
      <c r="H356" s="1">
        <v>-100</v>
      </c>
      <c r="I356" s="5">
        <v>10036.6</v>
      </c>
      <c r="J356" s="5">
        <v>4001.8</v>
      </c>
      <c r="K356" s="1">
        <v>0</v>
      </c>
      <c r="L356" s="1" t="str">
        <f>"A280737240"</f>
        <v>A280737240</v>
      </c>
      <c r="M356" s="1" t="str">
        <f>"证券卖出"</f>
        <v>证券卖出</v>
      </c>
    </row>
    <row r="357" spans="1:13" x14ac:dyDescent="0.2">
      <c r="A357" s="3" t="str">
        <f>"4457"</f>
        <v>4457</v>
      </c>
      <c r="B357" s="4">
        <v>43119</v>
      </c>
      <c r="C357" s="11" t="str">
        <f>"传媒ETF"</f>
        <v>传媒ETF</v>
      </c>
      <c r="D357" s="11" t="str">
        <f>"512980"</f>
        <v>512980</v>
      </c>
      <c r="E357" s="11" t="str">
        <f>"买入"</f>
        <v>买入</v>
      </c>
      <c r="F357" s="11" t="str">
        <f>"证券买入"</f>
        <v>证券买入</v>
      </c>
      <c r="G357" s="13">
        <v>1</v>
      </c>
      <c r="H357" s="1">
        <v>4000</v>
      </c>
      <c r="I357" s="5">
        <v>-4000.8</v>
      </c>
      <c r="J357" s="5">
        <v>1</v>
      </c>
      <c r="K357" s="1">
        <v>0.8</v>
      </c>
      <c r="L357" s="1" t="str">
        <f>"A280737240"</f>
        <v>A280737240</v>
      </c>
      <c r="M357" s="1" t="str">
        <f>"证券买入"</f>
        <v>证券买入</v>
      </c>
    </row>
    <row r="358" spans="1:13" x14ac:dyDescent="0.2">
      <c r="A358" s="3" t="str">
        <f>"6909"</f>
        <v>6909</v>
      </c>
      <c r="B358" s="4">
        <v>43122</v>
      </c>
      <c r="C358" s="11" t="s">
        <v>34</v>
      </c>
      <c r="D358" s="11">
        <v>940018</v>
      </c>
      <c r="E358" s="11" t="str">
        <f>"卖出"</f>
        <v>卖出</v>
      </c>
      <c r="F358" s="11" t="str">
        <f>"基金资金拨出"</f>
        <v>基金资金拨出</v>
      </c>
      <c r="G358" s="13">
        <v>0</v>
      </c>
      <c r="H358" s="1">
        <v>0</v>
      </c>
      <c r="I358" s="5">
        <v>-1</v>
      </c>
      <c r="J358" s="5">
        <v>0</v>
      </c>
      <c r="K358" s="1">
        <v>0</v>
      </c>
      <c r="L358" s="1" t="str">
        <f t="shared" ref="L358:L360" si="45">" "</f>
        <v xml:space="preserve"> </v>
      </c>
      <c r="M358" s="1" t="str">
        <f>"122扣除金额 基金代码：940018,发生份额：1"</f>
        <v>122扣除金额 基金代码：940018,发生份额：1</v>
      </c>
    </row>
    <row r="359" spans="1:13" x14ac:dyDescent="0.2">
      <c r="A359" s="3" t="str">
        <f>"2447"</f>
        <v>2447</v>
      </c>
      <c r="B359" s="4">
        <v>43130</v>
      </c>
      <c r="C359" s="11" t="s">
        <v>34</v>
      </c>
      <c r="D359" s="11">
        <v>940018</v>
      </c>
      <c r="E359" s="11" t="str">
        <f>"卖出"</f>
        <v>卖出</v>
      </c>
      <c r="F359" s="11" t="str">
        <f>"基金资金拨出"</f>
        <v>基金资金拨出</v>
      </c>
      <c r="G359" s="13">
        <v>0</v>
      </c>
      <c r="H359" s="1">
        <v>0</v>
      </c>
      <c r="I359" s="5">
        <v>-895.88</v>
      </c>
      <c r="J359" s="5">
        <v>-895.88</v>
      </c>
      <c r="K359" s="1">
        <v>0</v>
      </c>
      <c r="L359" s="1" t="str">
        <f t="shared" si="45"/>
        <v xml:space="preserve"> </v>
      </c>
      <c r="M359" s="1" t="str">
        <f>"122扣除金额 基金代码：940018,发生份额：895.88"</f>
        <v>122扣除金额 基金代码：940018,发生份额：895.88</v>
      </c>
    </row>
    <row r="360" spans="1:13" x14ac:dyDescent="0.2">
      <c r="A360" s="3" t="str">
        <f>"2448"</f>
        <v>2448</v>
      </c>
      <c r="B360" s="4">
        <v>43130</v>
      </c>
      <c r="C360" s="11" t="s">
        <v>34</v>
      </c>
      <c r="D360" s="11">
        <v>940018</v>
      </c>
      <c r="E360" s="11" t="str">
        <f>"卖出"</f>
        <v>卖出</v>
      </c>
      <c r="F360" s="11" t="str">
        <f>"基金资金拨入"</f>
        <v>基金资金拨入</v>
      </c>
      <c r="G360" s="13">
        <v>0</v>
      </c>
      <c r="H360" s="1">
        <v>0</v>
      </c>
      <c r="I360" s="5">
        <v>6315.96</v>
      </c>
      <c r="J360" s="5">
        <v>5420.08</v>
      </c>
      <c r="K360" s="1">
        <v>0</v>
      </c>
      <c r="L360" s="1" t="str">
        <f t="shared" si="45"/>
        <v xml:space="preserve"> </v>
      </c>
      <c r="M360" s="1" t="str">
        <f>"124增加金额 基金代码：940018,发生份额：6315.96"</f>
        <v>124增加金额 基金代码：940018,发生份额：6315.96</v>
      </c>
    </row>
    <row r="361" spans="1:13" x14ac:dyDescent="0.2">
      <c r="A361" s="3" t="str">
        <f>"5633"</f>
        <v>5633</v>
      </c>
      <c r="B361" s="4">
        <v>43130</v>
      </c>
      <c r="C361" s="11" t="str">
        <f>"华宝油气"</f>
        <v>华宝油气</v>
      </c>
      <c r="D361" s="11" t="str">
        <f>"162411"</f>
        <v>162411</v>
      </c>
      <c r="E361" s="11" t="str">
        <f>"买入"</f>
        <v>买入</v>
      </c>
      <c r="F361" s="11" t="str">
        <f>"证券买入"</f>
        <v>证券买入</v>
      </c>
      <c r="G361" s="13">
        <v>0.60299999999999998</v>
      </c>
      <c r="H361" s="1">
        <v>4500</v>
      </c>
      <c r="I361" s="5">
        <v>-2714.04</v>
      </c>
      <c r="J361" s="5">
        <v>2706.04</v>
      </c>
      <c r="K361" s="1">
        <v>0.54</v>
      </c>
      <c r="L361" s="1" t="str">
        <f>"0184500716"</f>
        <v>0184500716</v>
      </c>
      <c r="M361" s="1" t="str">
        <f>"证券买入"</f>
        <v>证券买入</v>
      </c>
    </row>
    <row r="362" spans="1:13" x14ac:dyDescent="0.2">
      <c r="A362" s="3" t="str">
        <f>"5635"</f>
        <v>5635</v>
      </c>
      <c r="B362" s="4">
        <v>43130</v>
      </c>
      <c r="C362" s="11" t="str">
        <f>"华宝油气"</f>
        <v>华宝油气</v>
      </c>
      <c r="D362" s="11" t="str">
        <f>"162411"</f>
        <v>162411</v>
      </c>
      <c r="E362" s="11" t="str">
        <f>"买入"</f>
        <v>买入</v>
      </c>
      <c r="F362" s="11" t="str">
        <f>"证券买入"</f>
        <v>证券买入</v>
      </c>
      <c r="G362" s="13">
        <v>0.60099999999999998</v>
      </c>
      <c r="H362" s="1">
        <v>4500</v>
      </c>
      <c r="I362" s="5">
        <v>-2705.04</v>
      </c>
      <c r="J362" s="5">
        <v>1</v>
      </c>
      <c r="K362" s="1">
        <v>0.54</v>
      </c>
      <c r="L362" s="1" t="str">
        <f>"0184500716"</f>
        <v>0184500716</v>
      </c>
      <c r="M362" s="1" t="str">
        <f>"证券买入"</f>
        <v>证券买入</v>
      </c>
    </row>
    <row r="363" spans="1:13" x14ac:dyDescent="0.2">
      <c r="A363" s="3" t="str">
        <f>"991"</f>
        <v>991</v>
      </c>
      <c r="B363" s="4">
        <v>43131</v>
      </c>
      <c r="C363" s="11" t="str">
        <f t="shared" ref="C363:L364" si="46">" "</f>
        <v xml:space="preserve"> </v>
      </c>
      <c r="D363" s="11"/>
      <c r="E363" s="11" t="str">
        <f t="shared" ref="E363:E370" si="47">"卖出"</f>
        <v>卖出</v>
      </c>
      <c r="F363" s="11" t="str">
        <f>"银行转存"</f>
        <v>银行转存</v>
      </c>
      <c r="G363" s="13">
        <v>0</v>
      </c>
      <c r="H363" s="1">
        <v>0</v>
      </c>
      <c r="I363" s="5">
        <v>110000</v>
      </c>
      <c r="J363" s="5">
        <v>110001</v>
      </c>
      <c r="K363" s="1">
        <v>0</v>
      </c>
      <c r="L363" s="1" t="str">
        <f t="shared" si="46"/>
        <v xml:space="preserve"> </v>
      </c>
      <c r="M363" s="1" t="str">
        <f>"银行返回码[ ]返回信息[0000 交易成功]|转账成功correct_balance=0"</f>
        <v>银行返回码[ ]返回信息[0000 交易成功]|转账成功correct_balance=0</v>
      </c>
    </row>
    <row r="364" spans="1:13" x14ac:dyDescent="0.2">
      <c r="A364" s="3" t="str">
        <f>"2011"</f>
        <v>2011</v>
      </c>
      <c r="B364" s="4">
        <v>43131</v>
      </c>
      <c r="C364" s="11" t="s">
        <v>34</v>
      </c>
      <c r="D364" s="11">
        <v>940018</v>
      </c>
      <c r="E364" s="11" t="str">
        <f t="shared" si="47"/>
        <v>卖出</v>
      </c>
      <c r="F364" s="11" t="str">
        <f>"基金资金拨出"</f>
        <v>基金资金拨出</v>
      </c>
      <c r="G364" s="13">
        <v>0</v>
      </c>
      <c r="H364" s="1">
        <v>0</v>
      </c>
      <c r="I364" s="5">
        <v>-110018.49</v>
      </c>
      <c r="J364" s="5">
        <v>-17.489999999999998</v>
      </c>
      <c r="K364" s="1">
        <v>0</v>
      </c>
      <c r="L364" s="1" t="str">
        <f t="shared" si="46"/>
        <v xml:space="preserve"> </v>
      </c>
      <c r="M364" s="1" t="str">
        <f>"122扣除金额 基金代码：940018,发生份额：110018.49"</f>
        <v>122扣除金额 基金代码：940018,发生份额：110018.49</v>
      </c>
    </row>
    <row r="365" spans="1:13" x14ac:dyDescent="0.2">
      <c r="A365" s="3" t="str">
        <f>"4064"</f>
        <v>4064</v>
      </c>
      <c r="B365" s="4">
        <v>43131</v>
      </c>
      <c r="C365" s="11" t="str">
        <f>"银华日利"</f>
        <v>银华日利</v>
      </c>
      <c r="D365" s="11" t="str">
        <f>"511880"</f>
        <v>511880</v>
      </c>
      <c r="E365" s="11" t="str">
        <f t="shared" si="47"/>
        <v>卖出</v>
      </c>
      <c r="F365" s="11" t="str">
        <f>"证券卖出"</f>
        <v>证券卖出</v>
      </c>
      <c r="G365" s="13">
        <v>100.52</v>
      </c>
      <c r="H365" s="1">
        <v>-100</v>
      </c>
      <c r="I365" s="5">
        <v>10052</v>
      </c>
      <c r="J365" s="5">
        <v>10034.51</v>
      </c>
      <c r="K365" s="1">
        <v>0</v>
      </c>
      <c r="L365" s="1" t="str">
        <f>"A280737240"</f>
        <v>A280737240</v>
      </c>
      <c r="M365" s="1" t="str">
        <f>"证券卖出"</f>
        <v>证券卖出</v>
      </c>
    </row>
    <row r="366" spans="1:13" x14ac:dyDescent="0.2">
      <c r="A366" s="3" t="str">
        <f>"4065"</f>
        <v>4065</v>
      </c>
      <c r="B366" s="4">
        <v>43131</v>
      </c>
      <c r="C366" s="11" t="str">
        <f>"银华日利"</f>
        <v>银华日利</v>
      </c>
      <c r="D366" s="11" t="str">
        <f>"511880"</f>
        <v>511880</v>
      </c>
      <c r="E366" s="11" t="str">
        <f t="shared" si="47"/>
        <v>卖出</v>
      </c>
      <c r="F366" s="11" t="str">
        <f>"证券卖出"</f>
        <v>证券卖出</v>
      </c>
      <c r="G366" s="13">
        <v>100.538</v>
      </c>
      <c r="H366" s="1">
        <v>-1800</v>
      </c>
      <c r="I366" s="5">
        <v>180968.4</v>
      </c>
      <c r="J366" s="5">
        <v>191002.91</v>
      </c>
      <c r="K366" s="1">
        <v>0</v>
      </c>
      <c r="L366" s="1" t="str">
        <f>"A280737240"</f>
        <v>A280737240</v>
      </c>
      <c r="M366" s="1" t="str">
        <f>"证券卖出"</f>
        <v>证券卖出</v>
      </c>
    </row>
    <row r="367" spans="1:13" x14ac:dyDescent="0.2">
      <c r="A367" s="3" t="str">
        <f>"6078"</f>
        <v>6078</v>
      </c>
      <c r="B367" s="4">
        <v>43131</v>
      </c>
      <c r="C367" s="11" t="str">
        <f>"Ｒ-001"</f>
        <v>Ｒ-001</v>
      </c>
      <c r="D367" s="11" t="str">
        <f>"131810"</f>
        <v>131810</v>
      </c>
      <c r="E367" s="11" t="str">
        <f t="shared" si="47"/>
        <v>卖出</v>
      </c>
      <c r="F367" s="11" t="str">
        <f>"质押回购拆出"</f>
        <v>质押回购拆出</v>
      </c>
      <c r="G367" s="13">
        <v>3.0009999999999999</v>
      </c>
      <c r="H367" s="1">
        <v>100</v>
      </c>
      <c r="I367" s="5">
        <v>-10000.1</v>
      </c>
      <c r="J367" s="5">
        <v>181002.81</v>
      </c>
      <c r="K367" s="1">
        <v>0.1</v>
      </c>
      <c r="L367" s="1" t="str">
        <f>"0184500716"</f>
        <v>0184500716</v>
      </c>
      <c r="M367" s="1" t="str">
        <f>"融券回购购回日:20180201预计利息:.82参考占款天数：1-131990"</f>
        <v>融券回购购回日:20180201预计利息:.82参考占款天数：1-131990</v>
      </c>
    </row>
    <row r="368" spans="1:13" x14ac:dyDescent="0.2">
      <c r="A368" s="3" t="str">
        <f>"6079"</f>
        <v>6079</v>
      </c>
      <c r="B368" s="4">
        <v>43131</v>
      </c>
      <c r="C368" s="11" t="str">
        <f>"Ｒ-001"</f>
        <v>Ｒ-001</v>
      </c>
      <c r="D368" s="11" t="str">
        <f>"131810"</f>
        <v>131810</v>
      </c>
      <c r="E368" s="11" t="str">
        <f t="shared" si="47"/>
        <v>卖出</v>
      </c>
      <c r="F368" s="11" t="str">
        <f>"质押回购拆出"</f>
        <v>质押回购拆出</v>
      </c>
      <c r="G368" s="13">
        <v>2.83</v>
      </c>
      <c r="H368" s="1">
        <v>1810</v>
      </c>
      <c r="I368" s="5">
        <v>-181001.81</v>
      </c>
      <c r="J368" s="5">
        <v>1</v>
      </c>
      <c r="K368" s="1">
        <v>1.81</v>
      </c>
      <c r="L368" s="1" t="str">
        <f>"0184500716"</f>
        <v>0184500716</v>
      </c>
      <c r="M368" s="1" t="str">
        <f>"融券回购购回日:20180201预计利息:14.03参考占款天数：1-131990"</f>
        <v>融券回购购回日:20180201预计利息:14.03参考占款天数：1-131990</v>
      </c>
    </row>
    <row r="369" spans="1:13" x14ac:dyDescent="0.2">
      <c r="A369" s="3" t="str">
        <f>"2676"</f>
        <v>2676</v>
      </c>
      <c r="B369" s="4">
        <v>43132</v>
      </c>
      <c r="C369" s="11" t="s">
        <v>34</v>
      </c>
      <c r="D369" s="11">
        <v>940018</v>
      </c>
      <c r="E369" s="11" t="str">
        <f t="shared" si="47"/>
        <v>卖出</v>
      </c>
      <c r="F369" s="11" t="str">
        <f>"基金资金拨出"</f>
        <v>基金资金拨出</v>
      </c>
      <c r="G369" s="13">
        <v>0</v>
      </c>
      <c r="H369" s="1">
        <v>0</v>
      </c>
      <c r="I369" s="5">
        <v>-2608.06</v>
      </c>
      <c r="J369" s="5">
        <v>-2607.06</v>
      </c>
      <c r="K369" s="1">
        <v>0</v>
      </c>
      <c r="L369" s="1" t="str">
        <f t="shared" ref="L369:L370" si="48">" "</f>
        <v xml:space="preserve"> </v>
      </c>
      <c r="M369" s="1" t="str">
        <f>"122扣除金额 基金代码：940018,发生份额：2608.06"</f>
        <v>122扣除金额 基金代码：940018,发生份额：2608.06</v>
      </c>
    </row>
    <row r="370" spans="1:13" x14ac:dyDescent="0.2">
      <c r="A370" s="3" t="str">
        <f>"2677"</f>
        <v>2677</v>
      </c>
      <c r="B370" s="4">
        <v>43132</v>
      </c>
      <c r="C370" s="11" t="s">
        <v>34</v>
      </c>
      <c r="D370" s="11">
        <v>940018</v>
      </c>
      <c r="E370" s="11" t="str">
        <f t="shared" si="47"/>
        <v>卖出</v>
      </c>
      <c r="F370" s="11" t="str">
        <f>"基金资金拨入"</f>
        <v>基金资金拨入</v>
      </c>
      <c r="G370" s="13">
        <v>0</v>
      </c>
      <c r="H370" s="1">
        <v>0</v>
      </c>
      <c r="I370" s="5">
        <v>110914.37</v>
      </c>
      <c r="J370" s="5">
        <v>108307.31</v>
      </c>
      <c r="K370" s="1">
        <v>0</v>
      </c>
      <c r="L370" s="1" t="str">
        <f t="shared" si="48"/>
        <v xml:space="preserve"> </v>
      </c>
      <c r="M370" s="1" t="str">
        <f>"124增加金额 基金代码：940018,发生份额：110914.37"</f>
        <v>124增加金额 基金代码：940018,发生份额：110914.37</v>
      </c>
    </row>
    <row r="371" spans="1:13" x14ac:dyDescent="0.2">
      <c r="A371" s="3" t="str">
        <f>"4711"</f>
        <v>4711</v>
      </c>
      <c r="B371" s="4">
        <v>43132</v>
      </c>
      <c r="C371" s="11" t="str">
        <f>"华宝添益"</f>
        <v>华宝添益</v>
      </c>
      <c r="D371" s="11" t="str">
        <f>"511990"</f>
        <v>511990</v>
      </c>
      <c r="E371" s="11" t="str">
        <f>"买入"</f>
        <v>买入</v>
      </c>
      <c r="F371" s="11" t="str">
        <f>"证券买入"</f>
        <v>证券买入</v>
      </c>
      <c r="G371" s="13">
        <v>100.002</v>
      </c>
      <c r="H371" s="1">
        <v>2900</v>
      </c>
      <c r="I371" s="5">
        <v>-290005.8</v>
      </c>
      <c r="J371" s="5">
        <v>-181698.49</v>
      </c>
      <c r="K371" s="1">
        <v>0</v>
      </c>
      <c r="L371" s="1" t="str">
        <f>"A280737240"</f>
        <v>A280737240</v>
      </c>
      <c r="M371" s="1" t="str">
        <f>"证券买入"</f>
        <v>证券买入</v>
      </c>
    </row>
    <row r="372" spans="1:13" x14ac:dyDescent="0.2">
      <c r="A372" s="3" t="str">
        <f>"4712"</f>
        <v>4712</v>
      </c>
      <c r="B372" s="4">
        <v>43132</v>
      </c>
      <c r="C372" s="11" t="str">
        <f>"500ETF"</f>
        <v>500ETF</v>
      </c>
      <c r="D372" s="11" t="str">
        <f>"510500"</f>
        <v>510500</v>
      </c>
      <c r="E372" s="11" t="str">
        <f>"买入"</f>
        <v>买入</v>
      </c>
      <c r="F372" s="11" t="str">
        <f>"证券买入"</f>
        <v>证券买入</v>
      </c>
      <c r="G372" s="13">
        <v>6.45</v>
      </c>
      <c r="H372" s="1">
        <v>600</v>
      </c>
      <c r="I372" s="5">
        <v>-3870.77</v>
      </c>
      <c r="J372" s="5">
        <v>-185569.26</v>
      </c>
      <c r="K372" s="1">
        <v>0.77</v>
      </c>
      <c r="L372" s="1" t="str">
        <f>"A280737240"</f>
        <v>A280737240</v>
      </c>
      <c r="M372" s="1" t="str">
        <f>"证券买入"</f>
        <v>证券买入</v>
      </c>
    </row>
    <row r="373" spans="1:13" x14ac:dyDescent="0.2">
      <c r="A373" s="3" t="str">
        <f>"7925"</f>
        <v>7925</v>
      </c>
      <c r="B373" s="4">
        <v>43132</v>
      </c>
      <c r="C373" s="11" t="str">
        <f>"Ｒ-001"</f>
        <v>Ｒ-001</v>
      </c>
      <c r="D373" s="11" t="str">
        <f>"131810"</f>
        <v>131810</v>
      </c>
      <c r="E373" s="11" t="str">
        <f>"卖出"</f>
        <v>卖出</v>
      </c>
      <c r="F373" s="11" t="str">
        <f>"拆出质押购回"</f>
        <v>拆出质押购回</v>
      </c>
      <c r="G373" s="13">
        <v>3.0009999999999999</v>
      </c>
      <c r="H373" s="1">
        <v>-100</v>
      </c>
      <c r="I373" s="5">
        <v>10000.82</v>
      </c>
      <c r="J373" s="5">
        <v>-175568.44</v>
      </c>
      <c r="K373" s="1">
        <v>0</v>
      </c>
      <c r="L373" s="1" t="str">
        <f>"0184500716"</f>
        <v>0184500716</v>
      </c>
      <c r="M373" s="1" t="str">
        <f>"融券购回:.82实际占款天数：1-131990"</f>
        <v>融券购回:.82实际占款天数：1-131990</v>
      </c>
    </row>
    <row r="374" spans="1:13" x14ac:dyDescent="0.2">
      <c r="A374" s="3" t="str">
        <f>"7926"</f>
        <v>7926</v>
      </c>
      <c r="B374" s="4">
        <v>43132</v>
      </c>
      <c r="C374" s="11" t="str">
        <f>"Ｒ-001"</f>
        <v>Ｒ-001</v>
      </c>
      <c r="D374" s="11" t="str">
        <f>"131810"</f>
        <v>131810</v>
      </c>
      <c r="E374" s="11" t="str">
        <f>"卖出"</f>
        <v>卖出</v>
      </c>
      <c r="F374" s="11" t="str">
        <f>"拆出质押购回"</f>
        <v>拆出质押购回</v>
      </c>
      <c r="G374" s="13">
        <v>2.83</v>
      </c>
      <c r="H374" s="1">
        <v>-1810</v>
      </c>
      <c r="I374" s="5">
        <v>181014.03</v>
      </c>
      <c r="J374" s="5">
        <v>5445.59</v>
      </c>
      <c r="K374" s="1">
        <v>0</v>
      </c>
      <c r="L374" s="1" t="str">
        <f>"0184500716"</f>
        <v>0184500716</v>
      </c>
      <c r="M374" s="1" t="str">
        <f>"融券购回:14.03实际占款天数：1-131990"</f>
        <v>融券购回:14.03实际占款天数：1-131990</v>
      </c>
    </row>
    <row r="375" spans="1:13" x14ac:dyDescent="0.2">
      <c r="A375" s="3" t="str">
        <f>"2482"</f>
        <v>2482</v>
      </c>
      <c r="B375" s="4">
        <v>43133</v>
      </c>
      <c r="C375" s="11" t="s">
        <v>34</v>
      </c>
      <c r="D375" s="11">
        <v>940018</v>
      </c>
      <c r="E375" s="11" t="str">
        <f>"卖出"</f>
        <v>卖出</v>
      </c>
      <c r="F375" s="11" t="str">
        <f>"基金资金拨出"</f>
        <v>基金资金拨出</v>
      </c>
      <c r="G375" s="13">
        <v>0</v>
      </c>
      <c r="H375" s="1">
        <v>0</v>
      </c>
      <c r="I375" s="5">
        <v>-5445.59</v>
      </c>
      <c r="J375" s="5">
        <v>0</v>
      </c>
      <c r="K375" s="1">
        <v>0</v>
      </c>
      <c r="L375" s="1" t="str">
        <f t="shared" ref="L375:L377" si="49">" "</f>
        <v xml:space="preserve"> </v>
      </c>
      <c r="M375" s="1" t="str">
        <f>"122扣除金额 基金代码：940018,发生份额：5445.59"</f>
        <v>122扣除金额 基金代码：940018,发生份额：5445.59</v>
      </c>
    </row>
    <row r="376" spans="1:13" x14ac:dyDescent="0.2">
      <c r="A376" s="3" t="str">
        <f>"2137"</f>
        <v>2137</v>
      </c>
      <c r="B376" s="4">
        <v>43136</v>
      </c>
      <c r="C376" s="11" t="s">
        <v>34</v>
      </c>
      <c r="D376" s="11">
        <v>940018</v>
      </c>
      <c r="E376" s="11" t="str">
        <f>"卖出"</f>
        <v>卖出</v>
      </c>
      <c r="F376" s="11" t="str">
        <f>"基金资金拨出"</f>
        <v>基金资金拨出</v>
      </c>
      <c r="G376" s="13">
        <v>0</v>
      </c>
      <c r="H376" s="1">
        <v>0</v>
      </c>
      <c r="I376" s="5">
        <v>-3038.65</v>
      </c>
      <c r="J376" s="5">
        <v>-3038.65</v>
      </c>
      <c r="K376" s="1">
        <v>0</v>
      </c>
      <c r="L376" s="1" t="str">
        <f t="shared" si="49"/>
        <v xml:space="preserve"> </v>
      </c>
      <c r="M376" s="1" t="str">
        <f>"122扣除金额 基金代码：940018,发生份额：3038.65"</f>
        <v>122扣除金额 基金代码：940018,发生份额：3038.65</v>
      </c>
    </row>
    <row r="377" spans="1:13" x14ac:dyDescent="0.2">
      <c r="A377" s="3" t="str">
        <f>"2138"</f>
        <v>2138</v>
      </c>
      <c r="B377" s="4">
        <v>43136</v>
      </c>
      <c r="C377" s="11" t="s">
        <v>34</v>
      </c>
      <c r="D377" s="11">
        <v>940018</v>
      </c>
      <c r="E377" s="11" t="str">
        <f>"卖出"</f>
        <v>卖出</v>
      </c>
      <c r="F377" s="11" t="str">
        <f>"基金资金拨入"</f>
        <v>基金资金拨入</v>
      </c>
      <c r="G377" s="13">
        <v>0</v>
      </c>
      <c r="H377" s="1">
        <v>0</v>
      </c>
      <c r="I377" s="5">
        <v>8053.65</v>
      </c>
      <c r="J377" s="5">
        <v>5015</v>
      </c>
      <c r="K377" s="1">
        <v>0</v>
      </c>
      <c r="L377" s="1" t="str">
        <f t="shared" si="49"/>
        <v xml:space="preserve"> </v>
      </c>
      <c r="M377" s="1" t="str">
        <f>"124增加金额 基金代码：940018,发生份额：8053.65"</f>
        <v>124增加金额 基金代码：940018,发生份额：8053.65</v>
      </c>
    </row>
    <row r="378" spans="1:13" x14ac:dyDescent="0.2">
      <c r="A378" s="3" t="str">
        <f>"5681"</f>
        <v>5681</v>
      </c>
      <c r="B378" s="4">
        <v>43136</v>
      </c>
      <c r="C378" s="11" t="str">
        <f>"华宝油气"</f>
        <v>华宝油气</v>
      </c>
      <c r="D378" s="11" t="str">
        <f>"162411"</f>
        <v>162411</v>
      </c>
      <c r="E378" s="11" t="str">
        <f>"买入"</f>
        <v>买入</v>
      </c>
      <c r="F378" s="11" t="str">
        <f>"证券买入"</f>
        <v>证券买入</v>
      </c>
      <c r="G378" s="13">
        <v>0.55700000000000005</v>
      </c>
      <c r="H378" s="1">
        <v>9000</v>
      </c>
      <c r="I378" s="5">
        <v>-5014</v>
      </c>
      <c r="J378" s="5">
        <v>1</v>
      </c>
      <c r="K378" s="1">
        <v>1</v>
      </c>
      <c r="L378" s="1" t="str">
        <f>"0184500716"</f>
        <v>0184500716</v>
      </c>
      <c r="M378" s="1" t="str">
        <f>"证券买入"</f>
        <v>证券买入</v>
      </c>
    </row>
    <row r="379" spans="1:13" x14ac:dyDescent="0.2">
      <c r="A379" s="3" t="str">
        <f>"6112"</f>
        <v>6112</v>
      </c>
      <c r="B379" s="4">
        <v>43136</v>
      </c>
      <c r="C379" s="11" t="str">
        <f>"华宝添益"</f>
        <v>华宝添益</v>
      </c>
      <c r="D379" s="11" t="str">
        <f>"511990"</f>
        <v>511990</v>
      </c>
      <c r="E379" s="11" t="str">
        <f>"买入"</f>
        <v>买入</v>
      </c>
      <c r="F379" s="11" t="str">
        <f>"红股入帐"</f>
        <v>红股入帐</v>
      </c>
      <c r="G379" s="13">
        <v>100.023</v>
      </c>
      <c r="H379" s="1">
        <v>1</v>
      </c>
      <c r="I379" s="5">
        <v>0</v>
      </c>
      <c r="J379" s="5">
        <v>1</v>
      </c>
      <c r="K379" s="1">
        <v>0</v>
      </c>
      <c r="L379" s="1" t="str">
        <f>"A280737240"</f>
        <v>A280737240</v>
      </c>
      <c r="M379" s="1" t="str">
        <f>"红股入账"</f>
        <v>红股入账</v>
      </c>
    </row>
    <row r="380" spans="1:13" x14ac:dyDescent="0.2">
      <c r="A380" s="3" t="str">
        <f>"352"</f>
        <v>352</v>
      </c>
      <c r="B380" s="4">
        <v>43137</v>
      </c>
      <c r="C380" s="11" t="str">
        <f t="shared" ref="C380:L382" si="50">" "</f>
        <v xml:space="preserve"> </v>
      </c>
      <c r="D380" s="11"/>
      <c r="E380" s="11" t="str">
        <f>"卖出"</f>
        <v>卖出</v>
      </c>
      <c r="F380" s="11" t="str">
        <f>"银行转存"</f>
        <v>银行转存</v>
      </c>
      <c r="G380" s="13">
        <v>0</v>
      </c>
      <c r="H380" s="1">
        <v>0</v>
      </c>
      <c r="I380" s="5">
        <v>2000</v>
      </c>
      <c r="J380" s="5">
        <v>2001</v>
      </c>
      <c r="K380" s="1">
        <v>0</v>
      </c>
      <c r="L380" s="1" t="str">
        <f t="shared" si="50"/>
        <v xml:space="preserve"> </v>
      </c>
      <c r="M380" s="1" t="str">
        <f>"银行返回码[ ]返回信息[0000 交易成功]|转账成功correct_balance=0"</f>
        <v>银行返回码[ ]返回信息[0000 交易成功]|转账成功correct_balance=0</v>
      </c>
    </row>
    <row r="381" spans="1:13" x14ac:dyDescent="0.2">
      <c r="A381" s="3" t="str">
        <f>"2617"</f>
        <v>2617</v>
      </c>
      <c r="B381" s="4">
        <v>43137</v>
      </c>
      <c r="C381" s="11" t="s">
        <v>34</v>
      </c>
      <c r="D381" s="11">
        <v>940018</v>
      </c>
      <c r="E381" s="11" t="str">
        <f>"卖出"</f>
        <v>卖出</v>
      </c>
      <c r="F381" s="11" t="str">
        <f>"基金资金拨出"</f>
        <v>基金资金拨出</v>
      </c>
      <c r="G381" s="13">
        <v>0</v>
      </c>
      <c r="H381" s="1">
        <v>0</v>
      </c>
      <c r="I381" s="5">
        <v>-2195.08</v>
      </c>
      <c r="J381" s="5">
        <v>-194.08</v>
      </c>
      <c r="K381" s="1">
        <v>0</v>
      </c>
      <c r="L381" s="1" t="str">
        <f t="shared" si="50"/>
        <v xml:space="preserve"> </v>
      </c>
      <c r="M381" s="1" t="str">
        <f>"122扣除金额 基金代码：940018,发生份额：2195.08"</f>
        <v>122扣除金额 基金代码：940018,发生份额：2195.08</v>
      </c>
    </row>
    <row r="382" spans="1:13" x14ac:dyDescent="0.2">
      <c r="A382" s="3" t="str">
        <f>"2618"</f>
        <v>2618</v>
      </c>
      <c r="B382" s="4">
        <v>43137</v>
      </c>
      <c r="C382" s="11" t="s">
        <v>34</v>
      </c>
      <c r="D382" s="11">
        <v>940018</v>
      </c>
      <c r="E382" s="11" t="str">
        <f>"卖出"</f>
        <v>卖出</v>
      </c>
      <c r="F382" s="11" t="str">
        <f>"基金资金拨入"</f>
        <v>基金资金拨入</v>
      </c>
      <c r="G382" s="13">
        <v>0</v>
      </c>
      <c r="H382" s="1">
        <v>0</v>
      </c>
      <c r="I382" s="5">
        <v>3038.65</v>
      </c>
      <c r="J382" s="5">
        <v>2844.57</v>
      </c>
      <c r="K382" s="1">
        <v>0</v>
      </c>
      <c r="L382" s="1" t="str">
        <f t="shared" si="50"/>
        <v xml:space="preserve"> </v>
      </c>
      <c r="M382" s="1" t="str">
        <f>"124增加金额 基金代码：940018,发生份额：3038.65"</f>
        <v>124增加金额 基金代码：940018,发生份额：3038.65</v>
      </c>
    </row>
    <row r="383" spans="1:13" x14ac:dyDescent="0.2">
      <c r="A383" s="3" t="str">
        <f>"4355"</f>
        <v>4355</v>
      </c>
      <c r="B383" s="4">
        <v>43137</v>
      </c>
      <c r="C383" s="11" t="str">
        <f>"华宝添益"</f>
        <v>华宝添益</v>
      </c>
      <c r="D383" s="11" t="str">
        <f>"511990"</f>
        <v>511990</v>
      </c>
      <c r="E383" s="11" t="str">
        <f>"卖出"</f>
        <v>卖出</v>
      </c>
      <c r="F383" s="11" t="str">
        <f>"证券卖出"</f>
        <v>证券卖出</v>
      </c>
      <c r="G383" s="13">
        <v>100.01300000000001</v>
      </c>
      <c r="H383" s="1">
        <v>-100</v>
      </c>
      <c r="I383" s="5">
        <v>10001.299999999999</v>
      </c>
      <c r="J383" s="5">
        <v>12845.87</v>
      </c>
      <c r="K383" s="1">
        <v>0</v>
      </c>
      <c r="L383" s="1" t="str">
        <f>"A280737240"</f>
        <v>A280737240</v>
      </c>
      <c r="M383" s="1" t="str">
        <f>"证券卖出"</f>
        <v>证券卖出</v>
      </c>
    </row>
    <row r="384" spans="1:13" x14ac:dyDescent="0.2">
      <c r="A384" s="3" t="str">
        <f>"4358"</f>
        <v>4358</v>
      </c>
      <c r="B384" s="4">
        <v>43137</v>
      </c>
      <c r="C384" s="11" t="str">
        <f>"500ETF"</f>
        <v>500ETF</v>
      </c>
      <c r="D384" s="11" t="str">
        <f>"510500"</f>
        <v>510500</v>
      </c>
      <c r="E384" s="11" t="str">
        <f>"买入"</f>
        <v>买入</v>
      </c>
      <c r="F384" s="11" t="str">
        <f>"证券买入"</f>
        <v>证券买入</v>
      </c>
      <c r="G384" s="13">
        <v>6.0430000000000001</v>
      </c>
      <c r="H384" s="1">
        <v>1300</v>
      </c>
      <c r="I384" s="5">
        <v>-7857.47</v>
      </c>
      <c r="J384" s="5">
        <v>4988.3999999999996</v>
      </c>
      <c r="K384" s="1">
        <v>1.57</v>
      </c>
      <c r="L384" s="1" t="str">
        <f>"A280737240"</f>
        <v>A280737240</v>
      </c>
      <c r="M384" s="1" t="str">
        <f>"证券买入"</f>
        <v>证券买入</v>
      </c>
    </row>
    <row r="385" spans="1:13" x14ac:dyDescent="0.2">
      <c r="A385" s="3" t="str">
        <f>"6741"</f>
        <v>6741</v>
      </c>
      <c r="B385" s="4">
        <v>43137</v>
      </c>
      <c r="C385" s="11" t="str">
        <f>"华宝油气"</f>
        <v>华宝油气</v>
      </c>
      <c r="D385" s="11" t="str">
        <f>"162411"</f>
        <v>162411</v>
      </c>
      <c r="E385" s="11" t="str">
        <f>"买入"</f>
        <v>买入</v>
      </c>
      <c r="F385" s="11" t="str">
        <f>"证券买入"</f>
        <v>证券买入</v>
      </c>
      <c r="G385" s="13">
        <v>0.54200000000000004</v>
      </c>
      <c r="H385" s="1">
        <v>9200</v>
      </c>
      <c r="I385" s="5">
        <v>-4987.3999999999996</v>
      </c>
      <c r="J385" s="5">
        <v>1</v>
      </c>
      <c r="K385" s="1">
        <v>1</v>
      </c>
      <c r="L385" s="1" t="str">
        <f>"0184500716"</f>
        <v>0184500716</v>
      </c>
      <c r="M385" s="1" t="str">
        <f>"证券买入"</f>
        <v>证券买入</v>
      </c>
    </row>
    <row r="386" spans="1:13" x14ac:dyDescent="0.2">
      <c r="A386" s="3" t="str">
        <f>"2354"</f>
        <v>2354</v>
      </c>
      <c r="B386" s="4">
        <v>43138</v>
      </c>
      <c r="C386" s="11" t="s">
        <v>34</v>
      </c>
      <c r="D386" s="11">
        <v>940018</v>
      </c>
      <c r="E386" s="11" t="str">
        <f>"卖出"</f>
        <v>卖出</v>
      </c>
      <c r="F386" s="11" t="str">
        <f>"基金资金拨出"</f>
        <v>基金资金拨出</v>
      </c>
      <c r="G386" s="13">
        <v>0</v>
      </c>
      <c r="H386" s="1">
        <v>0</v>
      </c>
      <c r="I386" s="5">
        <v>-70.02</v>
      </c>
      <c r="J386" s="5">
        <v>-69.02</v>
      </c>
      <c r="K386" s="1">
        <v>0</v>
      </c>
      <c r="L386" s="1" t="str">
        <f>" "</f>
        <v xml:space="preserve"> </v>
      </c>
      <c r="M386" s="1" t="str">
        <f>"122扣除金额 基金代码：940018,发生份额：70.02"</f>
        <v>122扣除金额 基金代码：940018,发生份额：70.02</v>
      </c>
    </row>
    <row r="387" spans="1:13" x14ac:dyDescent="0.2">
      <c r="A387" s="3" t="str">
        <f>"4377"</f>
        <v>4377</v>
      </c>
      <c r="B387" s="4">
        <v>43138</v>
      </c>
      <c r="C387" s="11" t="str">
        <f>"华宝添益"</f>
        <v>华宝添益</v>
      </c>
      <c r="D387" s="11" t="str">
        <f>"511990"</f>
        <v>511990</v>
      </c>
      <c r="E387" s="11" t="str">
        <f>"卖出"</f>
        <v>卖出</v>
      </c>
      <c r="F387" s="11" t="str">
        <f>"证券卖出"</f>
        <v>证券卖出</v>
      </c>
      <c r="G387" s="13">
        <v>100.009</v>
      </c>
      <c r="H387" s="1">
        <v>-500</v>
      </c>
      <c r="I387" s="5">
        <v>50004.5</v>
      </c>
      <c r="J387" s="5">
        <v>49935.48</v>
      </c>
      <c r="K387" s="1">
        <v>0</v>
      </c>
      <c r="L387" s="1" t="str">
        <f>"A280737240"</f>
        <v>A280737240</v>
      </c>
      <c r="M387" s="1" t="str">
        <f>"证券卖出"</f>
        <v>证券卖出</v>
      </c>
    </row>
    <row r="388" spans="1:13" x14ac:dyDescent="0.2">
      <c r="A388" s="3" t="str">
        <f>"4379"</f>
        <v>4379</v>
      </c>
      <c r="B388" s="4">
        <v>43138</v>
      </c>
      <c r="C388" s="11" t="str">
        <f>"500ETF"</f>
        <v>500ETF</v>
      </c>
      <c r="D388" s="11" t="str">
        <f>"510500"</f>
        <v>510500</v>
      </c>
      <c r="E388" s="11" t="str">
        <f>"买入"</f>
        <v>买入</v>
      </c>
      <c r="F388" s="11" t="str">
        <f>"证券买入"</f>
        <v>证券买入</v>
      </c>
      <c r="G388" s="13">
        <v>6.0149999999999997</v>
      </c>
      <c r="H388" s="1">
        <v>8300</v>
      </c>
      <c r="I388" s="5">
        <v>-49934.48</v>
      </c>
      <c r="J388" s="5">
        <v>1</v>
      </c>
      <c r="K388" s="1">
        <v>9.98</v>
      </c>
      <c r="L388" s="1" t="str">
        <f>"A280737240"</f>
        <v>A280737240</v>
      </c>
      <c r="M388" s="1" t="str">
        <f>"证券买入"</f>
        <v>证券买入</v>
      </c>
    </row>
    <row r="389" spans="1:13" x14ac:dyDescent="0.2">
      <c r="A389" s="3" t="str">
        <f>"5487"</f>
        <v>5487</v>
      </c>
      <c r="B389" s="4">
        <v>43139</v>
      </c>
      <c r="C389" s="11" t="s">
        <v>34</v>
      </c>
      <c r="D389" s="11">
        <v>940018</v>
      </c>
      <c r="E389" s="11" t="str">
        <f>"卖出"</f>
        <v>卖出</v>
      </c>
      <c r="F389" s="11" t="str">
        <f>"基金资金拨出"</f>
        <v>基金资金拨出</v>
      </c>
      <c r="G389" s="13">
        <v>0</v>
      </c>
      <c r="H389" s="1">
        <v>0</v>
      </c>
      <c r="I389" s="5">
        <v>-1</v>
      </c>
      <c r="J389" s="5">
        <v>0</v>
      </c>
      <c r="K389" s="1">
        <v>0</v>
      </c>
      <c r="L389" s="1" t="str">
        <f>" "</f>
        <v xml:space="preserve"> </v>
      </c>
      <c r="M389" s="1" t="str">
        <f>"122扣除金额 基金代码：940018,发生份额：1"</f>
        <v>122扣除金额 基金代码：940018,发生份额：1</v>
      </c>
    </row>
    <row r="390" spans="1:13" x14ac:dyDescent="0.2">
      <c r="A390" s="3" t="str">
        <f>"5967"</f>
        <v>5967</v>
      </c>
      <c r="B390" s="4">
        <v>43139</v>
      </c>
      <c r="C390" s="11" t="str">
        <f>"华宝添益"</f>
        <v>华宝添益</v>
      </c>
      <c r="D390" s="11" t="str">
        <f>"511990"</f>
        <v>511990</v>
      </c>
      <c r="E390" s="11" t="str">
        <f>"买入"</f>
        <v>买入</v>
      </c>
      <c r="F390" s="11" t="str">
        <f>"红股入帐"</f>
        <v>红股入帐</v>
      </c>
      <c r="G390" s="13">
        <v>100.01</v>
      </c>
      <c r="H390" s="1">
        <v>1</v>
      </c>
      <c r="I390" s="5">
        <v>0</v>
      </c>
      <c r="J390" s="5">
        <v>0</v>
      </c>
      <c r="K390" s="1">
        <v>0</v>
      </c>
      <c r="L390" s="1" t="str">
        <f>"A280737240"</f>
        <v>A280737240</v>
      </c>
      <c r="M390" s="1" t="str">
        <f>"红股入账"</f>
        <v>红股入账</v>
      </c>
    </row>
    <row r="391" spans="1:13" x14ac:dyDescent="0.2">
      <c r="A391" s="3" t="str">
        <f>"305"</f>
        <v>305</v>
      </c>
      <c r="B391" s="4">
        <v>43140</v>
      </c>
      <c r="C391" s="11" t="str">
        <f t="shared" ref="C391:L393" si="51">" "</f>
        <v xml:space="preserve"> </v>
      </c>
      <c r="D391" s="11"/>
      <c r="E391" s="11" t="str">
        <f>"卖出"</f>
        <v>卖出</v>
      </c>
      <c r="F391" s="11" t="str">
        <f>"银行转存"</f>
        <v>银行转存</v>
      </c>
      <c r="G391" s="13">
        <v>0</v>
      </c>
      <c r="H391" s="1">
        <v>0</v>
      </c>
      <c r="I391" s="5">
        <v>8000</v>
      </c>
      <c r="J391" s="5">
        <v>8000</v>
      </c>
      <c r="K391" s="1">
        <v>0</v>
      </c>
      <c r="L391" s="1" t="str">
        <f t="shared" si="51"/>
        <v xml:space="preserve"> </v>
      </c>
      <c r="M391" s="1" t="str">
        <f>"银行返回码[ ]返回信息[0000 交易成功]|转账成功correct_balance=0"</f>
        <v>银行返回码[ ]返回信息[0000 交易成功]|转账成功correct_balance=0</v>
      </c>
    </row>
    <row r="392" spans="1:13" x14ac:dyDescent="0.2">
      <c r="A392" s="3" t="str">
        <f>"2769"</f>
        <v>2769</v>
      </c>
      <c r="B392" s="4">
        <v>43140</v>
      </c>
      <c r="C392" s="11" t="s">
        <v>34</v>
      </c>
      <c r="D392" s="11">
        <v>940018</v>
      </c>
      <c r="E392" s="11" t="str">
        <f>"卖出"</f>
        <v>卖出</v>
      </c>
      <c r="F392" s="11" t="str">
        <f>"基金资金拨出"</f>
        <v>基金资金拨出</v>
      </c>
      <c r="G392" s="13">
        <v>0</v>
      </c>
      <c r="H392" s="1">
        <v>0</v>
      </c>
      <c r="I392" s="5">
        <v>-2256.5</v>
      </c>
      <c r="J392" s="5">
        <v>5743.5</v>
      </c>
      <c r="K392" s="1">
        <v>0</v>
      </c>
      <c r="L392" s="1" t="str">
        <f t="shared" si="51"/>
        <v xml:space="preserve"> </v>
      </c>
      <c r="M392" s="1" t="str">
        <f>"122扣除金额 基金代码：940018,发生份额：2256.5"</f>
        <v>122扣除金额 基金代码：940018,发生份额：2256.5</v>
      </c>
    </row>
    <row r="393" spans="1:13" x14ac:dyDescent="0.2">
      <c r="A393" s="3" t="str">
        <f>"2770"</f>
        <v>2770</v>
      </c>
      <c r="B393" s="4">
        <v>43140</v>
      </c>
      <c r="C393" s="11" t="s">
        <v>34</v>
      </c>
      <c r="D393" s="11">
        <v>940018</v>
      </c>
      <c r="E393" s="11" t="str">
        <f>"卖出"</f>
        <v>卖出</v>
      </c>
      <c r="F393" s="11" t="str">
        <f>"基金资金拨入"</f>
        <v>基金资金拨入</v>
      </c>
      <c r="G393" s="13">
        <v>0</v>
      </c>
      <c r="H393" s="1">
        <v>0</v>
      </c>
      <c r="I393" s="5">
        <v>2266.1</v>
      </c>
      <c r="J393" s="5">
        <v>8009.6</v>
      </c>
      <c r="K393" s="1">
        <v>0</v>
      </c>
      <c r="L393" s="1" t="str">
        <f t="shared" si="51"/>
        <v xml:space="preserve"> </v>
      </c>
      <c r="M393" s="1" t="str">
        <f>"124增加金额 基金代码：940018,发生份额：2266.1"</f>
        <v>124增加金额 基金代码：940018,发生份额：2266.1</v>
      </c>
    </row>
    <row r="394" spans="1:13" x14ac:dyDescent="0.2">
      <c r="A394" s="3" t="str">
        <f>"6783"</f>
        <v>6783</v>
      </c>
      <c r="B394" s="4">
        <v>43140</v>
      </c>
      <c r="C394" s="11" t="str">
        <f>"华宝油气"</f>
        <v>华宝油气</v>
      </c>
      <c r="D394" s="11" t="str">
        <f>"162411"</f>
        <v>162411</v>
      </c>
      <c r="E394" s="11" t="str">
        <f>"买入"</f>
        <v>买入</v>
      </c>
      <c r="F394" s="11" t="str">
        <f>"证券买入"</f>
        <v>证券买入</v>
      </c>
      <c r="G394" s="13">
        <v>0.51</v>
      </c>
      <c r="H394" s="1">
        <v>15700</v>
      </c>
      <c r="I394" s="5">
        <v>-8008.6</v>
      </c>
      <c r="J394" s="5">
        <v>1</v>
      </c>
      <c r="K394" s="1">
        <v>1.6</v>
      </c>
      <c r="L394" s="1" t="str">
        <f>"0184500716"</f>
        <v>0184500716</v>
      </c>
      <c r="M394" s="1" t="str">
        <f>"证券买入"</f>
        <v>证券买入</v>
      </c>
    </row>
    <row r="395" spans="1:13" x14ac:dyDescent="0.2">
      <c r="A395" s="3" t="str">
        <f>"2657"</f>
        <v>2657</v>
      </c>
      <c r="B395" s="4">
        <v>43143</v>
      </c>
      <c r="C395" s="11" t="s">
        <v>34</v>
      </c>
      <c r="D395" s="11">
        <v>940018</v>
      </c>
      <c r="E395" s="11" t="str">
        <f>"卖出"</f>
        <v>卖出</v>
      </c>
      <c r="F395" s="11" t="str">
        <f>"基金资金拨出"</f>
        <v>基金资金拨出</v>
      </c>
      <c r="G395" s="13">
        <v>0</v>
      </c>
      <c r="H395" s="1">
        <v>0</v>
      </c>
      <c r="I395" s="5">
        <v>-256.48</v>
      </c>
      <c r="J395" s="5">
        <v>-255.48</v>
      </c>
      <c r="K395" s="1">
        <v>0</v>
      </c>
      <c r="L395" s="1" t="str">
        <f t="shared" ref="L395:L396" si="52">" "</f>
        <v xml:space="preserve"> </v>
      </c>
      <c r="M395" s="1" t="str">
        <f>"122扣除金额 基金代码：940018,发生份额：256.48"</f>
        <v>122扣除金额 基金代码：940018,发生份额：256.48</v>
      </c>
    </row>
    <row r="396" spans="1:13" x14ac:dyDescent="0.2">
      <c r="A396" s="3" t="str">
        <f>"2659"</f>
        <v>2659</v>
      </c>
      <c r="B396" s="4">
        <v>43143</v>
      </c>
      <c r="C396" s="11" t="s">
        <v>34</v>
      </c>
      <c r="D396" s="11">
        <v>940018</v>
      </c>
      <c r="E396" s="11" t="str">
        <f>"卖出"</f>
        <v>卖出</v>
      </c>
      <c r="F396" s="11" t="str">
        <f>"基金资金拨入"</f>
        <v>基金资金拨入</v>
      </c>
      <c r="G396" s="13">
        <v>0</v>
      </c>
      <c r="H396" s="1">
        <v>0</v>
      </c>
      <c r="I396" s="5">
        <v>2256.5</v>
      </c>
      <c r="J396" s="5">
        <v>2001.02</v>
      </c>
      <c r="K396" s="1">
        <v>0</v>
      </c>
      <c r="L396" s="1" t="str">
        <f t="shared" si="52"/>
        <v xml:space="preserve"> </v>
      </c>
      <c r="M396" s="1" t="str">
        <f>"124增加金额 基金代码：940018,发生份额：2256.5"</f>
        <v>124增加金额 基金代码：940018,发生份额：2256.5</v>
      </c>
    </row>
    <row r="397" spans="1:13" x14ac:dyDescent="0.2">
      <c r="A397" s="3" t="str">
        <f>"5471"</f>
        <v>5471</v>
      </c>
      <c r="B397" s="4">
        <v>43143</v>
      </c>
      <c r="C397" s="11" t="str">
        <f>"Ｒ-001"</f>
        <v>Ｒ-001</v>
      </c>
      <c r="D397" s="11" t="str">
        <f>"131810"</f>
        <v>131810</v>
      </c>
      <c r="E397" s="11" t="str">
        <f>"卖出"</f>
        <v>卖出</v>
      </c>
      <c r="F397" s="11" t="str">
        <f>"质押回购拆出"</f>
        <v>质押回购拆出</v>
      </c>
      <c r="G397" s="13">
        <v>4.2770000000000001</v>
      </c>
      <c r="H397" s="1">
        <v>20</v>
      </c>
      <c r="I397" s="5">
        <v>-2000.02</v>
      </c>
      <c r="J397" s="5">
        <v>1</v>
      </c>
      <c r="K397" s="1">
        <v>0.02</v>
      </c>
      <c r="L397" s="1" t="str">
        <f>"0184500716"</f>
        <v>0184500716</v>
      </c>
      <c r="M397" s="1" t="str">
        <f>"融券回购购回日:20180213预计利息:.23参考占款天数：1-131990"</f>
        <v>融券回购购回日:20180213预计利息:.23参考占款天数：1-131990</v>
      </c>
    </row>
    <row r="398" spans="1:13" x14ac:dyDescent="0.2">
      <c r="A398" s="3" t="str">
        <f>"5916"</f>
        <v>5916</v>
      </c>
      <c r="B398" s="4">
        <v>43143</v>
      </c>
      <c r="C398" s="11" t="str">
        <f>"华宝添益"</f>
        <v>华宝添益</v>
      </c>
      <c r="D398" s="11" t="str">
        <f>"511990"</f>
        <v>511990</v>
      </c>
      <c r="E398" s="11" t="str">
        <f>"买入"</f>
        <v>买入</v>
      </c>
      <c r="F398" s="11" t="str">
        <f>"红股入帐"</f>
        <v>红股入帐</v>
      </c>
      <c r="G398" s="13">
        <v>100.023</v>
      </c>
      <c r="H398" s="1">
        <v>1</v>
      </c>
      <c r="I398" s="5">
        <v>0</v>
      </c>
      <c r="J398" s="5">
        <v>1</v>
      </c>
      <c r="K398" s="1">
        <v>0</v>
      </c>
      <c r="L398" s="1" t="str">
        <f>"A280737240"</f>
        <v>A280737240</v>
      </c>
      <c r="M398" s="1" t="str">
        <f>"红股入账"</f>
        <v>红股入账</v>
      </c>
    </row>
    <row r="399" spans="1:13" x14ac:dyDescent="0.2">
      <c r="A399" s="3" t="str">
        <f>"1951"</f>
        <v>1951</v>
      </c>
      <c r="B399" s="4">
        <v>43144</v>
      </c>
      <c r="C399" s="11" t="s">
        <v>34</v>
      </c>
      <c r="D399" s="11">
        <v>940018</v>
      </c>
      <c r="E399" s="11" t="str">
        <f t="shared" ref="E399:E410" si="53">"卖出"</f>
        <v>卖出</v>
      </c>
      <c r="F399" s="11" t="str">
        <f>"基金资金拨出"</f>
        <v>基金资金拨出</v>
      </c>
      <c r="G399" s="13">
        <v>0</v>
      </c>
      <c r="H399" s="1">
        <v>0</v>
      </c>
      <c r="I399" s="5">
        <v>-2001.23</v>
      </c>
      <c r="J399" s="5">
        <v>-2000.23</v>
      </c>
      <c r="K399" s="1">
        <v>0</v>
      </c>
      <c r="L399" s="1" t="str">
        <f>" "</f>
        <v xml:space="preserve"> </v>
      </c>
      <c r="M399" s="1" t="str">
        <f>"122扣除金额 基金代码：940018,发生份额：2001.23"</f>
        <v>122扣除金额 基金代码：940018,发生份额：2001.23</v>
      </c>
    </row>
    <row r="400" spans="1:13" x14ac:dyDescent="0.2">
      <c r="A400" s="3" t="str">
        <f>"5626"</f>
        <v>5626</v>
      </c>
      <c r="B400" s="4">
        <v>43144</v>
      </c>
      <c r="C400" s="11" t="str">
        <f>"Ｒ-001"</f>
        <v>Ｒ-001</v>
      </c>
      <c r="D400" s="11" t="str">
        <f>"131810"</f>
        <v>131810</v>
      </c>
      <c r="E400" s="11" t="str">
        <f t="shared" si="53"/>
        <v>卖出</v>
      </c>
      <c r="F400" s="11" t="str">
        <f>"拆出质押购回"</f>
        <v>拆出质押购回</v>
      </c>
      <c r="G400" s="13">
        <v>4.2770000000000001</v>
      </c>
      <c r="H400" s="1">
        <v>-20</v>
      </c>
      <c r="I400" s="5">
        <v>2000.23</v>
      </c>
      <c r="J400" s="5">
        <v>0</v>
      </c>
      <c r="K400" s="1">
        <v>0</v>
      </c>
      <c r="L400" s="1" t="str">
        <f>"0184500716"</f>
        <v>0184500716</v>
      </c>
      <c r="M400" s="1" t="str">
        <f>"融券购回:.23实际占款天数：1-131990"</f>
        <v>融券购回:.23实际占款天数：1-131990</v>
      </c>
    </row>
    <row r="401" spans="1:13" x14ac:dyDescent="0.2">
      <c r="A401" s="3" t="str">
        <f>"2280"</f>
        <v>2280</v>
      </c>
      <c r="B401" s="4">
        <v>43145</v>
      </c>
      <c r="C401" s="11" t="s">
        <v>34</v>
      </c>
      <c r="D401" s="11">
        <v>940018</v>
      </c>
      <c r="E401" s="11" t="str">
        <f t="shared" si="53"/>
        <v>卖出</v>
      </c>
      <c r="F401" s="11" t="str">
        <f>"基金资金拨出"</f>
        <v>基金资金拨出</v>
      </c>
      <c r="G401" s="13">
        <v>0</v>
      </c>
      <c r="H401" s="1">
        <v>0</v>
      </c>
      <c r="I401" s="5">
        <v>-798.5</v>
      </c>
      <c r="J401" s="5">
        <v>-798.5</v>
      </c>
      <c r="K401" s="1">
        <v>0</v>
      </c>
      <c r="L401" s="1" t="str">
        <f t="shared" ref="L401:L402" si="54">" "</f>
        <v xml:space="preserve"> </v>
      </c>
      <c r="M401" s="1" t="str">
        <f>"122扣除金额 基金代码：940018,发生份额：798.5"</f>
        <v>122扣除金额 基金代码：940018,发生份额：798.5</v>
      </c>
    </row>
    <row r="402" spans="1:13" x14ac:dyDescent="0.2">
      <c r="A402" s="3" t="str">
        <f>"2281"</f>
        <v>2281</v>
      </c>
      <c r="B402" s="4">
        <v>43145</v>
      </c>
      <c r="C402" s="11" t="s">
        <v>34</v>
      </c>
      <c r="D402" s="11">
        <v>940018</v>
      </c>
      <c r="E402" s="11" t="str">
        <f t="shared" si="53"/>
        <v>卖出</v>
      </c>
      <c r="F402" s="11" t="str">
        <f>"基金资金拨入"</f>
        <v>基金资金拨入</v>
      </c>
      <c r="G402" s="13">
        <v>0</v>
      </c>
      <c r="H402" s="1">
        <v>0</v>
      </c>
      <c r="I402" s="5">
        <v>2257.71</v>
      </c>
      <c r="J402" s="5">
        <v>1459.21</v>
      </c>
      <c r="K402" s="1">
        <v>0</v>
      </c>
      <c r="L402" s="1" t="str">
        <f t="shared" si="54"/>
        <v xml:space="preserve"> </v>
      </c>
      <c r="M402" s="1" t="str">
        <f>"124增加金额 基金代码：940018,发生份额：2257.71"</f>
        <v>124增加金额 基金代码：940018,发生份额：2257.71</v>
      </c>
    </row>
    <row r="403" spans="1:13" x14ac:dyDescent="0.2">
      <c r="A403" s="3" t="str">
        <f>"3449"</f>
        <v>3449</v>
      </c>
      <c r="B403" s="4">
        <v>43145</v>
      </c>
      <c r="C403" s="11" t="str">
        <f>"华宝添益"</f>
        <v>华宝添益</v>
      </c>
      <c r="D403" s="11" t="str">
        <f>"511990"</f>
        <v>511990</v>
      </c>
      <c r="E403" s="11" t="str">
        <f t="shared" si="53"/>
        <v>卖出</v>
      </c>
      <c r="F403" s="11" t="str">
        <f>"证券卖出"</f>
        <v>证券卖出</v>
      </c>
      <c r="G403" s="13">
        <v>100.10599999999999</v>
      </c>
      <c r="H403" s="1">
        <v>-2303</v>
      </c>
      <c r="I403" s="5">
        <v>230544.11</v>
      </c>
      <c r="J403" s="5">
        <v>232003.32</v>
      </c>
      <c r="K403" s="1">
        <v>0</v>
      </c>
      <c r="L403" s="1" t="str">
        <f>"A280737240"</f>
        <v>A280737240</v>
      </c>
      <c r="M403" s="1" t="str">
        <f>"证券卖出"</f>
        <v>证券卖出</v>
      </c>
    </row>
    <row r="404" spans="1:13" x14ac:dyDescent="0.2">
      <c r="A404" s="3" t="str">
        <f>"4560"</f>
        <v>4560</v>
      </c>
      <c r="B404" s="4">
        <v>43145</v>
      </c>
      <c r="C404" s="11" t="str">
        <f>"Ｒ-001"</f>
        <v>Ｒ-001</v>
      </c>
      <c r="D404" s="11" t="str">
        <f>"131810"</f>
        <v>131810</v>
      </c>
      <c r="E404" s="11" t="str">
        <f t="shared" si="53"/>
        <v>卖出</v>
      </c>
      <c r="F404" s="11" t="str">
        <f>"质押回购拆出"</f>
        <v>质押回购拆出</v>
      </c>
      <c r="G404" s="13">
        <v>2.5</v>
      </c>
      <c r="H404" s="1">
        <v>2320</v>
      </c>
      <c r="I404" s="5">
        <v>-232002.32</v>
      </c>
      <c r="J404" s="5">
        <v>1</v>
      </c>
      <c r="K404" s="1">
        <v>2.3199999999999998</v>
      </c>
      <c r="L404" s="1" t="str">
        <f>"0184500716"</f>
        <v>0184500716</v>
      </c>
      <c r="M404" s="1" t="str">
        <f>"融券回购购回日:20180215预计利息:15.89参考占款天数：1-131990"</f>
        <v>融券回购购回日:20180215预计利息:15.89参考占款天数：1-131990</v>
      </c>
    </row>
    <row r="405" spans="1:13" x14ac:dyDescent="0.2">
      <c r="A405" s="3" t="str">
        <f>"1963"</f>
        <v>1963</v>
      </c>
      <c r="B405" s="4">
        <v>43153</v>
      </c>
      <c r="C405" s="11" t="str">
        <f>"GC001"</f>
        <v>GC001</v>
      </c>
      <c r="D405" s="11" t="str">
        <f>"204001"</f>
        <v>204001</v>
      </c>
      <c r="E405" s="11" t="str">
        <f t="shared" si="53"/>
        <v>卖出</v>
      </c>
      <c r="F405" s="11" t="str">
        <f>"质押回购拆出"</f>
        <v>质押回购拆出</v>
      </c>
      <c r="G405" s="13">
        <v>3.75</v>
      </c>
      <c r="H405" s="1">
        <v>200</v>
      </c>
      <c r="I405" s="5">
        <v>-200002</v>
      </c>
      <c r="J405" s="5">
        <v>-200001</v>
      </c>
      <c r="K405" s="1">
        <v>2</v>
      </c>
      <c r="L405" s="1" t="str">
        <f>"A280737240"</f>
        <v>A280737240</v>
      </c>
      <c r="M405" s="1" t="str">
        <f>"融券回购购回日:20180223预计利息:61.64参考占款天数：3-888880"</f>
        <v>融券回购购回日:20180223预计利息:61.64参考占款天数：3-888880</v>
      </c>
    </row>
    <row r="406" spans="1:13" x14ac:dyDescent="0.2">
      <c r="A406" s="3" t="str">
        <f>"3620"</f>
        <v>3620</v>
      </c>
      <c r="B406" s="4">
        <v>43153</v>
      </c>
      <c r="C406" s="11" t="str">
        <f>"华宝添益"</f>
        <v>华宝添益</v>
      </c>
      <c r="D406" s="11" t="str">
        <f>"511990"</f>
        <v>511990</v>
      </c>
      <c r="E406" s="11" t="str">
        <f t="shared" si="53"/>
        <v>卖出</v>
      </c>
      <c r="F406" s="11" t="str">
        <f>"ETF现金替代退款"</f>
        <v>ETF现金替代退款</v>
      </c>
      <c r="G406" s="13">
        <v>100.024</v>
      </c>
      <c r="H406" s="1">
        <v>0</v>
      </c>
      <c r="I406" s="5">
        <v>79.47</v>
      </c>
      <c r="J406" s="5">
        <v>-199921.53</v>
      </c>
      <c r="K406" s="1">
        <v>0</v>
      </c>
      <c r="L406" s="1" t="str">
        <f>"A280737240"</f>
        <v>A280737240</v>
      </c>
      <c r="M406" s="1" t="str">
        <f>"ETF现金替代退款,证券代码:511990,委托时间:20180214,成交编号:33"</f>
        <v>ETF现金替代退款,证券代码:511990,委托时间:20180214,成交编号:33</v>
      </c>
    </row>
    <row r="407" spans="1:13" x14ac:dyDescent="0.2">
      <c r="A407" s="3" t="str">
        <f>"4399"</f>
        <v>4399</v>
      </c>
      <c r="B407" s="4">
        <v>43153</v>
      </c>
      <c r="C407" s="11" t="s">
        <v>34</v>
      </c>
      <c r="D407" s="11">
        <v>940018</v>
      </c>
      <c r="E407" s="11" t="str">
        <f t="shared" si="53"/>
        <v>卖出</v>
      </c>
      <c r="F407" s="11" t="str">
        <f>"基金资金拨出"</f>
        <v>基金资金拨出</v>
      </c>
      <c r="G407" s="13">
        <v>0</v>
      </c>
      <c r="H407" s="1">
        <v>0</v>
      </c>
      <c r="I407" s="5">
        <v>-32013.89</v>
      </c>
      <c r="J407" s="5">
        <v>-231935.42</v>
      </c>
      <c r="K407" s="1">
        <v>0</v>
      </c>
      <c r="L407" s="1" t="str">
        <f>" "</f>
        <v xml:space="preserve"> </v>
      </c>
      <c r="M407" s="1" t="str">
        <f>"122扣除金额 基金代码：940018,发生份额：32013.89"</f>
        <v>122扣除金额 基金代码：940018,发生份额：32013.89</v>
      </c>
    </row>
    <row r="408" spans="1:13" x14ac:dyDescent="0.2">
      <c r="A408" s="3" t="str">
        <f>"5221"</f>
        <v>5221</v>
      </c>
      <c r="B408" s="4">
        <v>43153</v>
      </c>
      <c r="C408" s="11" t="str">
        <f>"Ｒ-001"</f>
        <v>Ｒ-001</v>
      </c>
      <c r="D408" s="11" t="str">
        <f>"131810"</f>
        <v>131810</v>
      </c>
      <c r="E408" s="11" t="str">
        <f t="shared" si="53"/>
        <v>卖出</v>
      </c>
      <c r="F408" s="11" t="str">
        <f>"拆出质押购回"</f>
        <v>拆出质押购回</v>
      </c>
      <c r="G408" s="13">
        <v>2.5</v>
      </c>
      <c r="H408" s="1">
        <v>-2320</v>
      </c>
      <c r="I408" s="5">
        <v>232015.89</v>
      </c>
      <c r="J408" s="5">
        <v>80.47</v>
      </c>
      <c r="K408" s="1">
        <v>0</v>
      </c>
      <c r="L408" s="1" t="str">
        <f>"0184500716"</f>
        <v>0184500716</v>
      </c>
      <c r="M408" s="1" t="str">
        <f>"融券购回:15.89实际占款天数：1-131990"</f>
        <v>融券购回:15.89实际占款天数：1-131990</v>
      </c>
    </row>
    <row r="409" spans="1:13" x14ac:dyDescent="0.2">
      <c r="A409" s="3" t="str">
        <f>"1868"</f>
        <v>1868</v>
      </c>
      <c r="B409" s="4">
        <v>43154</v>
      </c>
      <c r="C409" s="11" t="s">
        <v>34</v>
      </c>
      <c r="D409" s="11">
        <v>940018</v>
      </c>
      <c r="E409" s="11" t="str">
        <f t="shared" si="53"/>
        <v>卖出</v>
      </c>
      <c r="F409" s="11" t="str">
        <f>"基金资金拨出"</f>
        <v>基金资金拨出</v>
      </c>
      <c r="G409" s="13">
        <v>0</v>
      </c>
      <c r="H409" s="1">
        <v>0</v>
      </c>
      <c r="I409" s="5">
        <v>-1157.2</v>
      </c>
      <c r="J409" s="5">
        <v>-1076.73</v>
      </c>
      <c r="K409" s="1">
        <v>0</v>
      </c>
      <c r="L409" s="1" t="str">
        <f t="shared" ref="L409:L410" si="55">" "</f>
        <v xml:space="preserve"> </v>
      </c>
      <c r="M409" s="1" t="str">
        <f>"122扣除金额 基金代码：940018,发生份额：1157.2"</f>
        <v>122扣除金额 基金代码：940018,发生份额：1157.2</v>
      </c>
    </row>
    <row r="410" spans="1:13" x14ac:dyDescent="0.2">
      <c r="A410" s="3" t="str">
        <f>"1869"</f>
        <v>1869</v>
      </c>
      <c r="B410" s="4">
        <v>43154</v>
      </c>
      <c r="C410" s="11" t="s">
        <v>34</v>
      </c>
      <c r="D410" s="11">
        <v>940018</v>
      </c>
      <c r="E410" s="11" t="str">
        <f t="shared" si="53"/>
        <v>卖出</v>
      </c>
      <c r="F410" s="11" t="str">
        <f>"基金资金拨入"</f>
        <v>基金资金拨入</v>
      </c>
      <c r="G410" s="13">
        <v>0</v>
      </c>
      <c r="H410" s="1">
        <v>0</v>
      </c>
      <c r="I410" s="5">
        <v>32812.39</v>
      </c>
      <c r="J410" s="5">
        <v>31735.66</v>
      </c>
      <c r="K410" s="1">
        <v>0</v>
      </c>
      <c r="L410" s="1" t="str">
        <f t="shared" si="55"/>
        <v xml:space="preserve"> </v>
      </c>
      <c r="M410" s="1" t="str">
        <f>"124增加金额 基金代码：940018,发生份额：32812.39"</f>
        <v>124增加金额 基金代码：940018,发生份额：32812.39</v>
      </c>
    </row>
    <row r="411" spans="1:13" x14ac:dyDescent="0.2">
      <c r="A411" s="3" t="str">
        <f>"3501"</f>
        <v>3501</v>
      </c>
      <c r="B411" s="4">
        <v>43154</v>
      </c>
      <c r="C411" s="11" t="str">
        <f>"银华日利"</f>
        <v>银华日利</v>
      </c>
      <c r="D411" s="11" t="str">
        <f>"511880"</f>
        <v>511880</v>
      </c>
      <c r="E411" s="11" t="str">
        <f>"买入"</f>
        <v>买入</v>
      </c>
      <c r="F411" s="11" t="str">
        <f>"证券买入"</f>
        <v>证券买入</v>
      </c>
      <c r="G411" s="13">
        <v>100.78100000000001</v>
      </c>
      <c r="H411" s="1">
        <v>2300</v>
      </c>
      <c r="I411" s="5">
        <v>-231796.3</v>
      </c>
      <c r="J411" s="5">
        <v>-200060.64</v>
      </c>
      <c r="K411" s="1">
        <v>0</v>
      </c>
      <c r="L411" s="1" t="str">
        <f>"A280737240"</f>
        <v>A280737240</v>
      </c>
      <c r="M411" s="1" t="str">
        <f>"证券买入"</f>
        <v>证券买入</v>
      </c>
    </row>
    <row r="412" spans="1:13" x14ac:dyDescent="0.2">
      <c r="A412" s="3" t="str">
        <f>"5293"</f>
        <v>5293</v>
      </c>
      <c r="B412" s="4">
        <v>43154</v>
      </c>
      <c r="C412" s="11" t="str">
        <f>"GC001"</f>
        <v>GC001</v>
      </c>
      <c r="D412" s="11" t="str">
        <f>"204001"</f>
        <v>204001</v>
      </c>
      <c r="E412" s="11" t="str">
        <f t="shared" ref="E412:E419" si="56">"卖出"</f>
        <v>卖出</v>
      </c>
      <c r="F412" s="11" t="str">
        <f>"拆出质押购回"</f>
        <v>拆出质押购回</v>
      </c>
      <c r="G412" s="13">
        <v>3.75</v>
      </c>
      <c r="H412" s="1">
        <v>-200</v>
      </c>
      <c r="I412" s="5">
        <v>200061.64</v>
      </c>
      <c r="J412" s="5">
        <v>1</v>
      </c>
      <c r="K412" s="1">
        <v>0</v>
      </c>
      <c r="L412" s="1" t="str">
        <f>"A280737240"</f>
        <v>A280737240</v>
      </c>
      <c r="M412" s="1" t="str">
        <f>"融券购回:61.64实际占款天数：3-888880"</f>
        <v>融券购回:61.64实际占款天数：3-888880</v>
      </c>
    </row>
    <row r="413" spans="1:13" x14ac:dyDescent="0.2">
      <c r="A413" s="3" t="str">
        <f>"6177"</f>
        <v>6177</v>
      </c>
      <c r="B413" s="4">
        <v>43157</v>
      </c>
      <c r="C413" s="11" t="s">
        <v>34</v>
      </c>
      <c r="D413" s="11">
        <v>940018</v>
      </c>
      <c r="E413" s="11" t="str">
        <f t="shared" si="56"/>
        <v>卖出</v>
      </c>
      <c r="F413" s="11" t="str">
        <f>"基金资金拨出"</f>
        <v>基金资金拨出</v>
      </c>
      <c r="G413" s="13">
        <v>0</v>
      </c>
      <c r="H413" s="1">
        <v>0</v>
      </c>
      <c r="I413" s="5">
        <v>-1</v>
      </c>
      <c r="J413" s="5">
        <v>0</v>
      </c>
      <c r="K413" s="1">
        <v>0</v>
      </c>
      <c r="L413" s="1" t="str">
        <f t="shared" ref="C413:L418" si="57">" "</f>
        <v xml:space="preserve"> </v>
      </c>
      <c r="M413" s="1" t="str">
        <f>"122扣除金额 基金代码：940018,发生份额：1"</f>
        <v>122扣除金额 基金代码：940018,发生份额：1</v>
      </c>
    </row>
    <row r="414" spans="1:13" x14ac:dyDescent="0.2">
      <c r="A414" s="3" t="str">
        <f>"5946"</f>
        <v>5946</v>
      </c>
      <c r="B414" s="4">
        <v>43180</v>
      </c>
      <c r="C414" s="11" t="str">
        <f t="shared" si="57"/>
        <v xml:space="preserve"> </v>
      </c>
      <c r="D414" s="11"/>
      <c r="E414" s="11" t="str">
        <f t="shared" si="56"/>
        <v>卖出</v>
      </c>
      <c r="F414" s="11" t="str">
        <f>"利息归本"</f>
        <v>利息归本</v>
      </c>
      <c r="G414" s="13">
        <v>0</v>
      </c>
      <c r="H414" s="1">
        <v>0</v>
      </c>
      <c r="I414" s="5">
        <v>0.17</v>
      </c>
      <c r="J414" s="5">
        <v>0.17</v>
      </c>
      <c r="K414" s="1">
        <v>0</v>
      </c>
      <c r="L414" s="1" t="str">
        <f t="shared" si="57"/>
        <v xml:space="preserve"> </v>
      </c>
      <c r="M414" s="1" t="str">
        <f>" 利息归本: 归本利息为 0.17correct_balance=0"</f>
        <v xml:space="preserve"> 利息归本: 归本利息为 0.17correct_balance=0</v>
      </c>
    </row>
    <row r="415" spans="1:13" x14ac:dyDescent="0.2">
      <c r="A415" s="3" t="str">
        <f>"7144"</f>
        <v>7144</v>
      </c>
      <c r="B415" s="4">
        <v>43181</v>
      </c>
      <c r="C415" s="11" t="s">
        <v>34</v>
      </c>
      <c r="D415" s="11">
        <v>940018</v>
      </c>
      <c r="E415" s="11" t="str">
        <f t="shared" si="56"/>
        <v>卖出</v>
      </c>
      <c r="F415" s="11" t="str">
        <f>"基金资金拨出"</f>
        <v>基金资金拨出</v>
      </c>
      <c r="G415" s="13">
        <v>0</v>
      </c>
      <c r="H415" s="1">
        <v>0</v>
      </c>
      <c r="I415" s="5">
        <v>-0.17</v>
      </c>
      <c r="J415" s="5">
        <v>0</v>
      </c>
      <c r="K415" s="1">
        <v>0</v>
      </c>
      <c r="L415" s="1" t="str">
        <f t="shared" si="57"/>
        <v xml:space="preserve"> </v>
      </c>
      <c r="M415" s="1" t="str">
        <f>"122扣除金额 基金代码：940018,发生份额：.17"</f>
        <v>122扣除金额 基金代码：940018,发生份额：.17</v>
      </c>
    </row>
    <row r="416" spans="1:13" x14ac:dyDescent="0.2">
      <c r="A416" s="3" t="str">
        <f>"646"</f>
        <v>646</v>
      </c>
      <c r="B416" s="4">
        <v>43209</v>
      </c>
      <c r="C416" s="11" t="s">
        <v>34</v>
      </c>
      <c r="D416" s="11">
        <v>940018</v>
      </c>
      <c r="E416" s="11" t="str">
        <f t="shared" si="56"/>
        <v>卖出</v>
      </c>
      <c r="F416" s="11" t="str">
        <f>"资管转让资金上账"</f>
        <v>资管转让资金上账</v>
      </c>
      <c r="G416" s="13">
        <v>0</v>
      </c>
      <c r="H416" s="1">
        <v>0</v>
      </c>
      <c r="I416" s="5">
        <v>1177</v>
      </c>
      <c r="J416" s="5">
        <v>1177</v>
      </c>
      <c r="K416" s="1">
        <v>0</v>
      </c>
      <c r="L416" s="1" t="str">
        <f t="shared" si="57"/>
        <v xml:space="preserve"> </v>
      </c>
      <c r="M416" s="1" t="str">
        <f>"快速取现退出资金拨入,产品代码940018,对方资产账户40000545correct_balance=0"</f>
        <v>快速取现退出资金拨入,产品代码940018,对方资产账户40000545correct_balance=0</v>
      </c>
    </row>
    <row r="417" spans="1:13" x14ac:dyDescent="0.2">
      <c r="A417" s="3" t="str">
        <f>"649"</f>
        <v>649</v>
      </c>
      <c r="B417" s="4">
        <v>43209</v>
      </c>
      <c r="C417" s="11" t="str">
        <f t="shared" si="57"/>
        <v xml:space="preserve"> </v>
      </c>
      <c r="D417" s="11"/>
      <c r="E417" s="11" t="str">
        <f t="shared" si="56"/>
        <v>卖出</v>
      </c>
      <c r="F417" s="11" t="str">
        <f>"银行转取"</f>
        <v>银行转取</v>
      </c>
      <c r="G417" s="13">
        <v>0</v>
      </c>
      <c r="H417" s="1">
        <v>0</v>
      </c>
      <c r="I417" s="5">
        <v>-1177</v>
      </c>
      <c r="J417" s="5">
        <v>0</v>
      </c>
      <c r="K417" s="1">
        <v>0</v>
      </c>
      <c r="L417" s="1" t="str">
        <f t="shared" si="57"/>
        <v xml:space="preserve"> </v>
      </c>
      <c r="M417" s="1" t="str">
        <f>"银行返回码[ ]返回信息[0000 交易成功]|转账成功correct_balance=1177"</f>
        <v>银行返回码[ ]返回信息[0000 交易成功]|转账成功correct_balance=1177</v>
      </c>
    </row>
    <row r="418" spans="1:13" x14ac:dyDescent="0.2">
      <c r="A418" s="3" t="str">
        <f>"2294"</f>
        <v>2294</v>
      </c>
      <c r="B418" s="4">
        <v>43210</v>
      </c>
      <c r="C418" s="11" t="s">
        <v>34</v>
      </c>
      <c r="D418" s="11">
        <v>940018</v>
      </c>
      <c r="E418" s="11" t="str">
        <f t="shared" si="56"/>
        <v>卖出</v>
      </c>
      <c r="F418" s="11" t="str">
        <f>"基金资金拨出"</f>
        <v>基金资金拨出</v>
      </c>
      <c r="G418" s="13">
        <v>0</v>
      </c>
      <c r="H418" s="1">
        <v>0</v>
      </c>
      <c r="I418" s="5">
        <v>-243</v>
      </c>
      <c r="J418" s="5">
        <v>-243</v>
      </c>
      <c r="K418" s="1">
        <v>0</v>
      </c>
      <c r="L418" s="1" t="str">
        <f t="shared" si="57"/>
        <v xml:space="preserve"> </v>
      </c>
      <c r="M418" s="1" t="str">
        <f>"122扣除金额 基金代码：940018,发生份额：243"</f>
        <v>122扣除金额 基金代码：940018,发生份额：243</v>
      </c>
    </row>
    <row r="419" spans="1:13" x14ac:dyDescent="0.2">
      <c r="A419" s="3" t="str">
        <f>"4236"</f>
        <v>4236</v>
      </c>
      <c r="B419" s="4">
        <v>43210</v>
      </c>
      <c r="C419" s="11" t="str">
        <f>"银华日利"</f>
        <v>银华日利</v>
      </c>
      <c r="D419" s="11" t="str">
        <f>"511880"</f>
        <v>511880</v>
      </c>
      <c r="E419" s="11" t="str">
        <f t="shared" si="56"/>
        <v>卖出</v>
      </c>
      <c r="F419" s="11" t="str">
        <f>"证券卖出"</f>
        <v>证券卖出</v>
      </c>
      <c r="G419" s="13">
        <v>101.34399999999999</v>
      </c>
      <c r="H419" s="1">
        <v>-200</v>
      </c>
      <c r="I419" s="5">
        <v>20268.8</v>
      </c>
      <c r="J419" s="5">
        <v>20025.8</v>
      </c>
      <c r="K419" s="1">
        <v>0</v>
      </c>
      <c r="L419" s="1" t="str">
        <f>"A280737240"</f>
        <v>A280737240</v>
      </c>
      <c r="M419" s="1" t="str">
        <f>"证券卖出"</f>
        <v>证券卖出</v>
      </c>
    </row>
    <row r="420" spans="1:13" x14ac:dyDescent="0.2">
      <c r="A420" s="3" t="str">
        <f>"4237"</f>
        <v>4237</v>
      </c>
      <c r="B420" s="4">
        <v>43210</v>
      </c>
      <c r="C420" s="11" t="str">
        <f>"1000ETF"</f>
        <v>1000ETF</v>
      </c>
      <c r="D420" s="11" t="str">
        <f>"512100"</f>
        <v>512100</v>
      </c>
      <c r="E420" s="11" t="str">
        <f>"买入"</f>
        <v>买入</v>
      </c>
      <c r="F420" s="11" t="str">
        <f>"证券买入"</f>
        <v>证券买入</v>
      </c>
      <c r="G420" s="13">
        <v>0.77600000000000002</v>
      </c>
      <c r="H420" s="1">
        <v>25800</v>
      </c>
      <c r="I420" s="5">
        <v>-20024.8</v>
      </c>
      <c r="J420" s="5">
        <v>1</v>
      </c>
      <c r="K420" s="1">
        <v>4</v>
      </c>
      <c r="L420" s="1" t="str">
        <f>"A280737240"</f>
        <v>A280737240</v>
      </c>
      <c r="M420" s="1" t="str">
        <f>"证券买入"</f>
        <v>证券买入</v>
      </c>
    </row>
    <row r="421" spans="1:13" x14ac:dyDescent="0.2">
      <c r="A421" s="3" t="str">
        <f>"2025"</f>
        <v>2025</v>
      </c>
      <c r="B421" s="4">
        <v>43213</v>
      </c>
      <c r="C421" s="11" t="s">
        <v>34</v>
      </c>
      <c r="D421" s="11">
        <v>940018</v>
      </c>
      <c r="E421" s="11" t="str">
        <f>"卖出"</f>
        <v>卖出</v>
      </c>
      <c r="F421" s="11" t="str">
        <f>"基金资金拨出"</f>
        <v>基金资金拨出</v>
      </c>
      <c r="G421" s="13">
        <v>0</v>
      </c>
      <c r="H421" s="1">
        <v>0</v>
      </c>
      <c r="I421" s="5">
        <v>-100.59</v>
      </c>
      <c r="J421" s="5">
        <v>-99.59</v>
      </c>
      <c r="K421" s="1">
        <v>0</v>
      </c>
      <c r="L421" s="1" t="str">
        <f>" "</f>
        <v xml:space="preserve"> </v>
      </c>
      <c r="M421" s="1" t="str">
        <f>"122扣除金额 基金代码：940018,发生份额：100.59"</f>
        <v>122扣除金额 基金代码：940018,发生份额：100.59</v>
      </c>
    </row>
    <row r="422" spans="1:13" x14ac:dyDescent="0.2">
      <c r="A422" s="3" t="str">
        <f>"3925"</f>
        <v>3925</v>
      </c>
      <c r="B422" s="4">
        <v>43213</v>
      </c>
      <c r="C422" s="11" t="str">
        <f>"银华日利"</f>
        <v>银华日利</v>
      </c>
      <c r="D422" s="11" t="str">
        <f>"511880"</f>
        <v>511880</v>
      </c>
      <c r="E422" s="11" t="str">
        <f>"卖出"</f>
        <v>卖出</v>
      </c>
      <c r="F422" s="11" t="str">
        <f>"证券卖出"</f>
        <v>证券卖出</v>
      </c>
      <c r="G422" s="13">
        <v>101.346</v>
      </c>
      <c r="H422" s="1">
        <v>-100</v>
      </c>
      <c r="I422" s="5">
        <v>10134.6</v>
      </c>
      <c r="J422" s="5">
        <v>10035.01</v>
      </c>
      <c r="K422" s="1">
        <v>0</v>
      </c>
      <c r="L422" s="1" t="str">
        <f>"A280737240"</f>
        <v>A280737240</v>
      </c>
      <c r="M422" s="1" t="str">
        <f>"证券卖出"</f>
        <v>证券卖出</v>
      </c>
    </row>
    <row r="423" spans="1:13" x14ac:dyDescent="0.2">
      <c r="A423" s="3" t="str">
        <f>"3926"</f>
        <v>3926</v>
      </c>
      <c r="B423" s="4">
        <v>43213</v>
      </c>
      <c r="C423" s="11" t="str">
        <f>"1000ETF"</f>
        <v>1000ETF</v>
      </c>
      <c r="D423" s="11" t="str">
        <f>"512100"</f>
        <v>512100</v>
      </c>
      <c r="E423" s="11" t="str">
        <f>"买入"</f>
        <v>买入</v>
      </c>
      <c r="F423" s="11" t="str">
        <f>"证券买入"</f>
        <v>证券买入</v>
      </c>
      <c r="G423" s="13">
        <v>0.76</v>
      </c>
      <c r="H423" s="1">
        <v>13200</v>
      </c>
      <c r="I423" s="5">
        <v>-10034.01</v>
      </c>
      <c r="J423" s="5">
        <v>1</v>
      </c>
      <c r="K423" s="1">
        <v>2.0099999999999998</v>
      </c>
      <c r="L423" s="1" t="str">
        <f>"A280737240"</f>
        <v>A280737240</v>
      </c>
      <c r="M423" s="1" t="str">
        <f>"证券买入"</f>
        <v>证券买入</v>
      </c>
    </row>
    <row r="424" spans="1:13" x14ac:dyDescent="0.2">
      <c r="A424" s="3" t="str">
        <f>"2007"</f>
        <v>2007</v>
      </c>
      <c r="B424" s="4">
        <v>43214</v>
      </c>
      <c r="C424" s="11" t="s">
        <v>34</v>
      </c>
      <c r="D424" s="11">
        <v>940018</v>
      </c>
      <c r="E424" s="11" t="str">
        <f t="shared" ref="E424:E437" si="58">"卖出"</f>
        <v>卖出</v>
      </c>
      <c r="F424" s="11" t="str">
        <f>"基金资金拨出"</f>
        <v>基金资金拨出</v>
      </c>
      <c r="G424" s="13">
        <v>0</v>
      </c>
      <c r="H424" s="1">
        <v>0</v>
      </c>
      <c r="I424" s="5">
        <v>-471.11</v>
      </c>
      <c r="J424" s="5">
        <v>-470.11</v>
      </c>
      <c r="K424" s="1">
        <v>0</v>
      </c>
      <c r="L424" s="1" t="str">
        <f>" "</f>
        <v xml:space="preserve"> </v>
      </c>
      <c r="M424" s="1" t="str">
        <f>"122扣除金额 基金代码：940018,发生份额：471.11"</f>
        <v>122扣除金额 基金代码：940018,发生份额：471.11</v>
      </c>
    </row>
    <row r="425" spans="1:13" x14ac:dyDescent="0.2">
      <c r="A425" s="3" t="str">
        <f>"4495"</f>
        <v>4495</v>
      </c>
      <c r="B425" s="4">
        <v>43214</v>
      </c>
      <c r="C425" s="11" t="str">
        <f>"GC001"</f>
        <v>GC001</v>
      </c>
      <c r="D425" s="11" t="str">
        <f>"204001"</f>
        <v>204001</v>
      </c>
      <c r="E425" s="11" t="str">
        <f t="shared" si="58"/>
        <v>卖出</v>
      </c>
      <c r="F425" s="11" t="str">
        <f>"质押回购拆出"</f>
        <v>质押回购拆出</v>
      </c>
      <c r="G425" s="13">
        <v>9.83</v>
      </c>
      <c r="H425" s="1">
        <v>100</v>
      </c>
      <c r="I425" s="5">
        <v>-100001</v>
      </c>
      <c r="J425" s="5">
        <v>-100471.11</v>
      </c>
      <c r="K425" s="1">
        <v>1</v>
      </c>
      <c r="L425" s="1" t="str">
        <f>"A280737240"</f>
        <v>A280737240</v>
      </c>
      <c r="M425" s="1" t="str">
        <f>"融券回购购回日:20180425预计利息:26.93参考占款天数：1-888880"</f>
        <v>融券回购购回日:20180425预计利息:26.93参考占款天数：1-888880</v>
      </c>
    </row>
    <row r="426" spans="1:13" x14ac:dyDescent="0.2">
      <c r="A426" s="3" t="str">
        <f>"6181"</f>
        <v>6181</v>
      </c>
      <c r="B426" s="4">
        <v>43214</v>
      </c>
      <c r="C426" s="11" t="str">
        <f>"华宝油气"</f>
        <v>华宝油气</v>
      </c>
      <c r="D426" s="11" t="str">
        <f>"162411"</f>
        <v>162411</v>
      </c>
      <c r="E426" s="11" t="str">
        <f t="shared" si="58"/>
        <v>卖出</v>
      </c>
      <c r="F426" s="11" t="str">
        <f>"证券卖出"</f>
        <v>证券卖出</v>
      </c>
      <c r="G426" s="13">
        <v>0.60399999999999998</v>
      </c>
      <c r="H426" s="1">
        <v>-297200</v>
      </c>
      <c r="I426" s="5">
        <v>179472.9</v>
      </c>
      <c r="J426" s="5">
        <v>79001.789999999994</v>
      </c>
      <c r="K426" s="1">
        <v>35.9</v>
      </c>
      <c r="L426" s="1" t="str">
        <f>"0184500716"</f>
        <v>0184500716</v>
      </c>
      <c r="M426" s="1" t="str">
        <f>"证券卖出"</f>
        <v>证券卖出</v>
      </c>
    </row>
    <row r="427" spans="1:13" x14ac:dyDescent="0.2">
      <c r="A427" s="3" t="str">
        <f>"6183"</f>
        <v>6183</v>
      </c>
      <c r="B427" s="4">
        <v>43214</v>
      </c>
      <c r="C427" s="11" t="str">
        <f>"Ｒ-001"</f>
        <v>Ｒ-001</v>
      </c>
      <c r="D427" s="11" t="str">
        <f>"131810"</f>
        <v>131810</v>
      </c>
      <c r="E427" s="11" t="str">
        <f t="shared" si="58"/>
        <v>卖出</v>
      </c>
      <c r="F427" s="11" t="str">
        <f>"质押回购拆出"</f>
        <v>质押回购拆出</v>
      </c>
      <c r="G427" s="13">
        <v>9.1999999999999993</v>
      </c>
      <c r="H427" s="1">
        <v>790</v>
      </c>
      <c r="I427" s="5">
        <v>-79000.789999999994</v>
      </c>
      <c r="J427" s="5">
        <v>1</v>
      </c>
      <c r="K427" s="1">
        <v>0.79</v>
      </c>
      <c r="L427" s="1" t="str">
        <f>"0184500716"</f>
        <v>0184500716</v>
      </c>
      <c r="M427" s="1" t="str">
        <f>"融券回购购回日:20180425预计利息:19.91参考占款天数：1-131990"</f>
        <v>融券回购购回日:20180425预计利息:19.91参考占款天数：1-131990</v>
      </c>
    </row>
    <row r="428" spans="1:13" x14ac:dyDescent="0.2">
      <c r="A428" s="3" t="str">
        <f>"668"</f>
        <v>668</v>
      </c>
      <c r="B428" s="4">
        <v>43215</v>
      </c>
      <c r="C428" s="11" t="str">
        <f t="shared" ref="C428:L430" si="59">" "</f>
        <v xml:space="preserve"> </v>
      </c>
      <c r="D428" s="11"/>
      <c r="E428" s="11" t="str">
        <f t="shared" si="58"/>
        <v>卖出</v>
      </c>
      <c r="F428" s="11" t="str">
        <f>"银行转存"</f>
        <v>银行转存</v>
      </c>
      <c r="G428" s="13">
        <v>0</v>
      </c>
      <c r="H428" s="1">
        <v>0</v>
      </c>
      <c r="I428" s="5">
        <v>150</v>
      </c>
      <c r="J428" s="5">
        <v>151</v>
      </c>
      <c r="K428" s="1">
        <v>0</v>
      </c>
      <c r="L428" s="1" t="str">
        <f t="shared" si="59"/>
        <v xml:space="preserve"> </v>
      </c>
      <c r="M428" s="1" t="str">
        <f>"银行返回码[ ]返回信息[0000 交易成功]|转账成功correct_balance=0"</f>
        <v>银行返回码[ ]返回信息[0000 交易成功]|转账成功correct_balance=0</v>
      </c>
    </row>
    <row r="429" spans="1:13" x14ac:dyDescent="0.2">
      <c r="A429" s="3" t="str">
        <f>"2028"</f>
        <v>2028</v>
      </c>
      <c r="B429" s="4">
        <v>43215</v>
      </c>
      <c r="C429" s="11" t="s">
        <v>34</v>
      </c>
      <c r="D429" s="11">
        <v>940018</v>
      </c>
      <c r="E429" s="11" t="str">
        <f t="shared" si="58"/>
        <v>卖出</v>
      </c>
      <c r="F429" s="11" t="str">
        <f>"基金资金拨出"</f>
        <v>基金资金拨出</v>
      </c>
      <c r="G429" s="13">
        <v>0</v>
      </c>
      <c r="H429" s="1">
        <v>0</v>
      </c>
      <c r="I429" s="5">
        <v>-10.64</v>
      </c>
      <c r="J429" s="5">
        <v>140.36000000000001</v>
      </c>
      <c r="K429" s="1">
        <v>0</v>
      </c>
      <c r="L429" s="1" t="str">
        <f t="shared" si="59"/>
        <v xml:space="preserve"> </v>
      </c>
      <c r="M429" s="1" t="str">
        <f>"122扣除金额 基金代码：940018,发生份额：10.64"</f>
        <v>122扣除金额 基金代码：940018,发生份额：10.64</v>
      </c>
    </row>
    <row r="430" spans="1:13" x14ac:dyDescent="0.2">
      <c r="A430" s="3" t="str">
        <f>"2029"</f>
        <v>2029</v>
      </c>
      <c r="B430" s="4">
        <v>43215</v>
      </c>
      <c r="C430" s="11" t="s">
        <v>34</v>
      </c>
      <c r="D430" s="11">
        <v>940018</v>
      </c>
      <c r="E430" s="11" t="str">
        <f t="shared" si="58"/>
        <v>卖出</v>
      </c>
      <c r="F430" s="11" t="str">
        <f>"基金资金拨入"</f>
        <v>基金资金拨入</v>
      </c>
      <c r="G430" s="13">
        <v>0</v>
      </c>
      <c r="H430" s="1">
        <v>0</v>
      </c>
      <c r="I430" s="5">
        <v>815.6</v>
      </c>
      <c r="J430" s="5">
        <v>955.96</v>
      </c>
      <c r="K430" s="1">
        <v>0</v>
      </c>
      <c r="L430" s="1" t="str">
        <f t="shared" si="59"/>
        <v xml:space="preserve"> </v>
      </c>
      <c r="M430" s="1" t="str">
        <f>"124增加金额 基金代码：940018,发生份额：815.6"</f>
        <v>124增加金额 基金代码：940018,发生份额：815.6</v>
      </c>
    </row>
    <row r="431" spans="1:13" x14ac:dyDescent="0.2">
      <c r="A431" s="3" t="str">
        <f>"4235"</f>
        <v>4235</v>
      </c>
      <c r="B431" s="4">
        <v>43215</v>
      </c>
      <c r="C431" s="11" t="str">
        <f>"GC001"</f>
        <v>GC001</v>
      </c>
      <c r="D431" s="11" t="str">
        <f>"204001"</f>
        <v>204001</v>
      </c>
      <c r="E431" s="11" t="str">
        <f t="shared" si="58"/>
        <v>卖出</v>
      </c>
      <c r="F431" s="11" t="str">
        <f>"质押回购拆出"</f>
        <v>质押回购拆出</v>
      </c>
      <c r="G431" s="13">
        <v>6.6</v>
      </c>
      <c r="H431" s="1">
        <v>100</v>
      </c>
      <c r="I431" s="5">
        <v>-100001</v>
      </c>
      <c r="J431" s="5">
        <v>-99045.04</v>
      </c>
      <c r="K431" s="1">
        <v>1</v>
      </c>
      <c r="L431" s="1" t="str">
        <f>"A280737240"</f>
        <v>A280737240</v>
      </c>
      <c r="M431" s="1" t="str">
        <f>"融券回购购回日:20180426预计利息:18.08参考占款天数：1-888880"</f>
        <v>融券回购购回日:20180426预计利息:18.08参考占款天数：1-888880</v>
      </c>
    </row>
    <row r="432" spans="1:13" x14ac:dyDescent="0.2">
      <c r="A432" s="3" t="str">
        <f>"6301"</f>
        <v>6301</v>
      </c>
      <c r="B432" s="4">
        <v>43215</v>
      </c>
      <c r="C432" s="11" t="str">
        <f>"Ｒ-001"</f>
        <v>Ｒ-001</v>
      </c>
      <c r="D432" s="11" t="str">
        <f>"131810"</f>
        <v>131810</v>
      </c>
      <c r="E432" s="11" t="str">
        <f t="shared" si="58"/>
        <v>卖出</v>
      </c>
      <c r="F432" s="11" t="str">
        <f>"质押回购拆出"</f>
        <v>质押回购拆出</v>
      </c>
      <c r="G432" s="13">
        <v>6.52</v>
      </c>
      <c r="H432" s="1">
        <v>800</v>
      </c>
      <c r="I432" s="5">
        <v>-80000.800000000003</v>
      </c>
      <c r="J432" s="5">
        <v>-179045.84</v>
      </c>
      <c r="K432" s="1">
        <v>0.8</v>
      </c>
      <c r="L432" s="1" t="str">
        <f>"0184500716"</f>
        <v>0184500716</v>
      </c>
      <c r="M432" s="1" t="str">
        <f>"融券回购购回日:20180426预计利息:14.29参考占款天数：1-131990"</f>
        <v>融券回购购回日:20180426预计利息:14.29参考占款天数：1-131990</v>
      </c>
    </row>
    <row r="433" spans="1:13" x14ac:dyDescent="0.2">
      <c r="A433" s="3" t="str">
        <f>"6841"</f>
        <v>6841</v>
      </c>
      <c r="B433" s="4">
        <v>43215</v>
      </c>
      <c r="C433" s="11" t="str">
        <f>"GC001"</f>
        <v>GC001</v>
      </c>
      <c r="D433" s="11" t="str">
        <f>"204001"</f>
        <v>204001</v>
      </c>
      <c r="E433" s="11" t="str">
        <f t="shared" si="58"/>
        <v>卖出</v>
      </c>
      <c r="F433" s="11" t="str">
        <f>"拆出质押购回"</f>
        <v>拆出质押购回</v>
      </c>
      <c r="G433" s="13">
        <v>9.83</v>
      </c>
      <c r="H433" s="1">
        <v>-100</v>
      </c>
      <c r="I433" s="5">
        <v>100026.93</v>
      </c>
      <c r="J433" s="5">
        <v>-79018.91</v>
      </c>
      <c r="K433" s="1">
        <v>0</v>
      </c>
      <c r="L433" s="1" t="str">
        <f>"A280737240"</f>
        <v>A280737240</v>
      </c>
      <c r="M433" s="1" t="str">
        <f>"融券购回:26.93实际占款天数：1-888880"</f>
        <v>融券购回:26.93实际占款天数：1-888880</v>
      </c>
    </row>
    <row r="434" spans="1:13" x14ac:dyDescent="0.2">
      <c r="A434" s="3" t="str">
        <f>"7160"</f>
        <v>7160</v>
      </c>
      <c r="B434" s="4">
        <v>43215</v>
      </c>
      <c r="C434" s="11" t="str">
        <f>"Ｒ-001"</f>
        <v>Ｒ-001</v>
      </c>
      <c r="D434" s="11" t="str">
        <f>"131810"</f>
        <v>131810</v>
      </c>
      <c r="E434" s="11" t="str">
        <f t="shared" si="58"/>
        <v>卖出</v>
      </c>
      <c r="F434" s="11" t="str">
        <f>"拆出质押购回"</f>
        <v>拆出质押购回</v>
      </c>
      <c r="G434" s="13">
        <v>9.1999999999999993</v>
      </c>
      <c r="H434" s="1">
        <v>-790</v>
      </c>
      <c r="I434" s="5">
        <v>79019.91</v>
      </c>
      <c r="J434" s="5">
        <v>1</v>
      </c>
      <c r="K434" s="1">
        <v>0</v>
      </c>
      <c r="L434" s="1" t="str">
        <f>"0184500716"</f>
        <v>0184500716</v>
      </c>
      <c r="M434" s="1" t="str">
        <f>"融券购回:19.91实际占款天数：1-131990"</f>
        <v>融券购回:19.91实际占款天数：1-131990</v>
      </c>
    </row>
    <row r="435" spans="1:13" x14ac:dyDescent="0.2">
      <c r="A435" s="3" t="str">
        <f>"2362"</f>
        <v>2362</v>
      </c>
      <c r="B435" s="4">
        <v>43216</v>
      </c>
      <c r="C435" s="11" t="s">
        <v>34</v>
      </c>
      <c r="D435" s="11">
        <v>940018</v>
      </c>
      <c r="E435" s="11" t="str">
        <f t="shared" si="58"/>
        <v>卖出</v>
      </c>
      <c r="F435" s="11" t="str">
        <f>"基金资金拨出"</f>
        <v>基金资金拨出</v>
      </c>
      <c r="G435" s="13">
        <v>0</v>
      </c>
      <c r="H435" s="1">
        <v>0</v>
      </c>
      <c r="I435" s="5">
        <v>-10124.6</v>
      </c>
      <c r="J435" s="5">
        <v>-10123.6</v>
      </c>
      <c r="K435" s="1">
        <v>0</v>
      </c>
      <c r="L435" s="1" t="str">
        <f>" "</f>
        <v xml:space="preserve"> </v>
      </c>
      <c r="M435" s="1" t="str">
        <f>"122扣除金额 基金代码：940018,发生份额：10124.6"</f>
        <v>122扣除金额 基金代码：940018,发生份额：10124.6</v>
      </c>
    </row>
    <row r="436" spans="1:13" x14ac:dyDescent="0.2">
      <c r="A436" s="3" t="str">
        <f>"3876"</f>
        <v>3876</v>
      </c>
      <c r="B436" s="4">
        <v>43216</v>
      </c>
      <c r="C436" s="11" t="str">
        <f>"GC001"</f>
        <v>GC001</v>
      </c>
      <c r="D436" s="11" t="str">
        <f>"204001"</f>
        <v>204001</v>
      </c>
      <c r="E436" s="11" t="str">
        <f t="shared" si="58"/>
        <v>卖出</v>
      </c>
      <c r="F436" s="11" t="str">
        <f>"质押回购拆出"</f>
        <v>质押回购拆出</v>
      </c>
      <c r="G436" s="13">
        <v>8.4550000000000001</v>
      </c>
      <c r="H436" s="1">
        <v>100</v>
      </c>
      <c r="I436" s="5">
        <v>-100001</v>
      </c>
      <c r="J436" s="5">
        <v>-110124.6</v>
      </c>
      <c r="K436" s="1">
        <v>1</v>
      </c>
      <c r="L436" s="1" t="str">
        <f>"A280737240"</f>
        <v>A280737240</v>
      </c>
      <c r="M436" s="1" t="str">
        <f>"融券回购购回日:20180427预计利息:115.82参考占款天数：5-888880"</f>
        <v>融券回购购回日:20180427预计利息:115.82参考占款天数：5-888880</v>
      </c>
    </row>
    <row r="437" spans="1:13" x14ac:dyDescent="0.2">
      <c r="A437" s="3" t="str">
        <f>"3877"</f>
        <v>3877</v>
      </c>
      <c r="B437" s="4">
        <v>43216</v>
      </c>
      <c r="C437" s="11" t="str">
        <f>"银华日利"</f>
        <v>银华日利</v>
      </c>
      <c r="D437" s="11" t="str">
        <f>"511880"</f>
        <v>511880</v>
      </c>
      <c r="E437" s="11" t="str">
        <f t="shared" si="58"/>
        <v>卖出</v>
      </c>
      <c r="F437" s="11" t="str">
        <f>"证券卖出"</f>
        <v>证券卖出</v>
      </c>
      <c r="G437" s="13">
        <v>101.40300000000001</v>
      </c>
      <c r="H437" s="1">
        <v>-100</v>
      </c>
      <c r="I437" s="5">
        <v>10140.299999999999</v>
      </c>
      <c r="J437" s="5">
        <v>-99984.3</v>
      </c>
      <c r="K437" s="1">
        <v>0</v>
      </c>
      <c r="L437" s="1" t="str">
        <f>"A280737240"</f>
        <v>A280737240</v>
      </c>
      <c r="M437" s="1" t="str">
        <f>"证券卖出"</f>
        <v>证券卖出</v>
      </c>
    </row>
    <row r="438" spans="1:13" x14ac:dyDescent="0.2">
      <c r="A438" s="3" t="str">
        <f>"3878"</f>
        <v>3878</v>
      </c>
      <c r="B438" s="4">
        <v>43216</v>
      </c>
      <c r="C438" s="11" t="str">
        <f>"环保ETF"</f>
        <v>环保ETF</v>
      </c>
      <c r="D438" s="11" t="str">
        <f>"512580"</f>
        <v>512580</v>
      </c>
      <c r="E438" s="11" t="str">
        <f>"买入"</f>
        <v>买入</v>
      </c>
      <c r="F438" s="11" t="str">
        <f>"证券买入"</f>
        <v>证券买入</v>
      </c>
      <c r="G438" s="13">
        <v>0.89900000000000002</v>
      </c>
      <c r="H438" s="1">
        <v>4500</v>
      </c>
      <c r="I438" s="5">
        <v>-4046.31</v>
      </c>
      <c r="J438" s="5">
        <v>-104030.61</v>
      </c>
      <c r="K438" s="1">
        <v>0.81</v>
      </c>
      <c r="L438" s="1" t="str">
        <f>"A280737240"</f>
        <v>A280737240</v>
      </c>
      <c r="M438" s="1" t="str">
        <f>"证券买入"</f>
        <v>证券买入</v>
      </c>
    </row>
    <row r="439" spans="1:13" x14ac:dyDescent="0.2">
      <c r="A439" s="3" t="str">
        <f>"6719"</f>
        <v>6719</v>
      </c>
      <c r="B439" s="4">
        <v>43216</v>
      </c>
      <c r="C439" s="11" t="str">
        <f>"Ｒ-001"</f>
        <v>Ｒ-001</v>
      </c>
      <c r="D439" s="11" t="str">
        <f>"131810"</f>
        <v>131810</v>
      </c>
      <c r="E439" s="11" t="str">
        <f t="shared" ref="E439:E444" si="60">"卖出"</f>
        <v>卖出</v>
      </c>
      <c r="F439" s="11" t="str">
        <f>"质押回购拆出"</f>
        <v>质押回购拆出</v>
      </c>
      <c r="G439" s="13">
        <v>8.06</v>
      </c>
      <c r="H439" s="1">
        <v>760</v>
      </c>
      <c r="I439" s="5">
        <v>-76000.759999999995</v>
      </c>
      <c r="J439" s="5">
        <v>-180031.37</v>
      </c>
      <c r="K439" s="1">
        <v>0.76</v>
      </c>
      <c r="L439" s="1" t="str">
        <f>"0184500716"</f>
        <v>0184500716</v>
      </c>
      <c r="M439" s="1" t="str">
        <f>"融券回购购回日:20180427预计利息:83.91参考占款天数：5-131990"</f>
        <v>融券回购购回日:20180427预计利息:83.91参考占款天数：5-131990</v>
      </c>
    </row>
    <row r="440" spans="1:13" x14ac:dyDescent="0.2">
      <c r="A440" s="3" t="str">
        <f>"7047"</f>
        <v>7047</v>
      </c>
      <c r="B440" s="4">
        <v>43216</v>
      </c>
      <c r="C440" s="11" t="str">
        <f>"GC001"</f>
        <v>GC001</v>
      </c>
      <c r="D440" s="11" t="str">
        <f>"204001"</f>
        <v>204001</v>
      </c>
      <c r="E440" s="11" t="str">
        <f t="shared" si="60"/>
        <v>卖出</v>
      </c>
      <c r="F440" s="11" t="str">
        <f>"拆出质押购回"</f>
        <v>拆出质押购回</v>
      </c>
      <c r="G440" s="13">
        <v>6.6</v>
      </c>
      <c r="H440" s="1">
        <v>-100</v>
      </c>
      <c r="I440" s="5">
        <v>100018.08</v>
      </c>
      <c r="J440" s="5">
        <v>-80013.289999999994</v>
      </c>
      <c r="K440" s="1">
        <v>0</v>
      </c>
      <c r="L440" s="1" t="str">
        <f>"A280737240"</f>
        <v>A280737240</v>
      </c>
      <c r="M440" s="1" t="str">
        <f>"融券购回:18.08实际占款天数：1-888880"</f>
        <v>融券购回:18.08实际占款天数：1-888880</v>
      </c>
    </row>
    <row r="441" spans="1:13" x14ac:dyDescent="0.2">
      <c r="A441" s="3" t="str">
        <f>"7235"</f>
        <v>7235</v>
      </c>
      <c r="B441" s="4">
        <v>43216</v>
      </c>
      <c r="C441" s="11" t="str">
        <f>"Ｒ-001"</f>
        <v>Ｒ-001</v>
      </c>
      <c r="D441" s="11" t="str">
        <f>"131810"</f>
        <v>131810</v>
      </c>
      <c r="E441" s="11" t="str">
        <f t="shared" si="60"/>
        <v>卖出</v>
      </c>
      <c r="F441" s="11" t="str">
        <f>"拆出质押购回"</f>
        <v>拆出质押购回</v>
      </c>
      <c r="G441" s="13">
        <v>6.52</v>
      </c>
      <c r="H441" s="1">
        <v>-800</v>
      </c>
      <c r="I441" s="5">
        <v>80014.289999999994</v>
      </c>
      <c r="J441" s="5">
        <v>1</v>
      </c>
      <c r="K441" s="1">
        <v>0</v>
      </c>
      <c r="L441" s="1" t="str">
        <f>"0184500716"</f>
        <v>0184500716</v>
      </c>
      <c r="M441" s="1" t="str">
        <f>"融券购回:14.29实际占款天数：1-131990"</f>
        <v>融券购回:14.29实际占款天数：1-131990</v>
      </c>
    </row>
    <row r="442" spans="1:13" x14ac:dyDescent="0.2">
      <c r="A442" s="3" t="str">
        <f>"596"</f>
        <v>596</v>
      </c>
      <c r="B442" s="4">
        <v>43217</v>
      </c>
      <c r="C442" s="11" t="s">
        <v>34</v>
      </c>
      <c r="D442" s="11">
        <v>940018</v>
      </c>
      <c r="E442" s="11" t="str">
        <f t="shared" si="60"/>
        <v>卖出</v>
      </c>
      <c r="F442" s="11" t="str">
        <f>"资管转让资金上账"</f>
        <v>资管转让资金上账</v>
      </c>
      <c r="G442" s="13">
        <v>0</v>
      </c>
      <c r="H442" s="1">
        <v>0</v>
      </c>
      <c r="I442" s="5">
        <v>3690</v>
      </c>
      <c r="J442" s="5">
        <v>3691</v>
      </c>
      <c r="K442" s="1">
        <v>0</v>
      </c>
      <c r="L442" s="1" t="str">
        <f t="shared" ref="C442:L444" si="61">" "</f>
        <v xml:space="preserve"> </v>
      </c>
      <c r="M442" s="1" t="str">
        <f>"快速取现退出资金拨入,产品代码940018,对方资产账户40000545correct_balance=0"</f>
        <v>快速取现退出资金拨入,产品代码940018,对方资产账户40000545correct_balance=0</v>
      </c>
    </row>
    <row r="443" spans="1:13" x14ac:dyDescent="0.2">
      <c r="A443" s="3" t="str">
        <f>"1048"</f>
        <v>1048</v>
      </c>
      <c r="B443" s="4">
        <v>43217</v>
      </c>
      <c r="C443" s="11" t="str">
        <f t="shared" si="61"/>
        <v xml:space="preserve"> </v>
      </c>
      <c r="D443" s="12"/>
      <c r="E443" s="11" t="str">
        <f t="shared" si="60"/>
        <v>卖出</v>
      </c>
      <c r="F443" s="11" t="str">
        <f>"银行转取"</f>
        <v>银行转取</v>
      </c>
      <c r="G443" s="13">
        <v>0</v>
      </c>
      <c r="H443" s="1">
        <v>0</v>
      </c>
      <c r="I443" s="5">
        <v>-3690</v>
      </c>
      <c r="J443" s="5">
        <v>1</v>
      </c>
      <c r="K443" s="1">
        <v>0</v>
      </c>
      <c r="L443" s="1" t="str">
        <f t="shared" si="61"/>
        <v xml:space="preserve"> </v>
      </c>
      <c r="M443" s="1" t="str">
        <f>"银行返回码[ ]返回信息[0000 交易成功]|转账成功correct_balance=3690"</f>
        <v>银行返回码[ ]返回信息[0000 交易成功]|转账成功correct_balance=3690</v>
      </c>
    </row>
    <row r="444" spans="1:13" x14ac:dyDescent="0.2">
      <c r="A444" s="3" t="str">
        <f>"2800"</f>
        <v>2800</v>
      </c>
      <c r="B444" s="4">
        <v>43217</v>
      </c>
      <c r="C444" s="11" t="s">
        <v>34</v>
      </c>
      <c r="D444" s="11">
        <v>940018</v>
      </c>
      <c r="E444" s="11" t="str">
        <f t="shared" si="60"/>
        <v>卖出</v>
      </c>
      <c r="F444" s="11" t="str">
        <f>"基金资金拨出"</f>
        <v>基金资金拨出</v>
      </c>
      <c r="G444" s="13">
        <v>0</v>
      </c>
      <c r="H444" s="1">
        <v>0</v>
      </c>
      <c r="I444" s="5">
        <v>-186399.93</v>
      </c>
      <c r="J444" s="5">
        <v>-186398.93</v>
      </c>
      <c r="K444" s="1">
        <v>0</v>
      </c>
      <c r="L444" s="1" t="str">
        <f t="shared" si="61"/>
        <v xml:space="preserve"> </v>
      </c>
      <c r="M444" s="1" t="str">
        <f>"122扣除金额 基金代码：940018,发生份额：186399.93"</f>
        <v>122扣除金额 基金代码：940018,发生份额：186399.93</v>
      </c>
    </row>
    <row r="445" spans="1:13" x14ac:dyDescent="0.2">
      <c r="A445" s="3" t="str">
        <f>"4571"</f>
        <v>4571</v>
      </c>
      <c r="B445" s="4">
        <v>43217</v>
      </c>
      <c r="C445" s="11" t="str">
        <f>"银华日利"</f>
        <v>银华日利</v>
      </c>
      <c r="D445" s="11" t="str">
        <f>"511880"</f>
        <v>511880</v>
      </c>
      <c r="E445" s="11" t="str">
        <f>"买入"</f>
        <v>买入</v>
      </c>
      <c r="F445" s="11" t="str">
        <f>"证券买入"</f>
        <v>证券买入</v>
      </c>
      <c r="G445" s="13">
        <v>101.47</v>
      </c>
      <c r="H445" s="1">
        <v>1800</v>
      </c>
      <c r="I445" s="5">
        <v>-182646</v>
      </c>
      <c r="J445" s="5">
        <v>-369044.93</v>
      </c>
      <c r="K445" s="1">
        <v>0</v>
      </c>
      <c r="L445" s="1" t="str">
        <f>"A280737240"</f>
        <v>A280737240</v>
      </c>
      <c r="M445" s="1" t="str">
        <f>"证券买入"</f>
        <v>证券买入</v>
      </c>
    </row>
    <row r="446" spans="1:13" x14ac:dyDescent="0.2">
      <c r="A446" s="3" t="str">
        <f>"4572"</f>
        <v>4572</v>
      </c>
      <c r="B446" s="4">
        <v>43217</v>
      </c>
      <c r="C446" s="11" t="str">
        <f>"银华日利"</f>
        <v>银华日利</v>
      </c>
      <c r="D446" s="11" t="str">
        <f>"511880"</f>
        <v>511880</v>
      </c>
      <c r="E446" s="11" t="str">
        <f>"卖出"</f>
        <v>卖出</v>
      </c>
      <c r="F446" s="11" t="str">
        <f>"证券卖出"</f>
        <v>证券卖出</v>
      </c>
      <c r="G446" s="13">
        <v>101.498</v>
      </c>
      <c r="H446" s="1">
        <v>-1900</v>
      </c>
      <c r="I446" s="5">
        <v>192846.2</v>
      </c>
      <c r="J446" s="5">
        <v>-176198.73</v>
      </c>
      <c r="K446" s="1">
        <v>0</v>
      </c>
      <c r="L446" s="1" t="str">
        <f>"A280737240"</f>
        <v>A280737240</v>
      </c>
      <c r="M446" s="1" t="str">
        <f>"证券卖出"</f>
        <v>证券卖出</v>
      </c>
    </row>
    <row r="447" spans="1:13" x14ac:dyDescent="0.2">
      <c r="A447" s="3" t="str">
        <f>"7620"</f>
        <v>7620</v>
      </c>
      <c r="B447" s="4">
        <v>43217</v>
      </c>
      <c r="C447" s="11" t="str">
        <f>"GC001"</f>
        <v>GC001</v>
      </c>
      <c r="D447" s="11" t="str">
        <f>"204001"</f>
        <v>204001</v>
      </c>
      <c r="E447" s="11" t="str">
        <f>"卖出"</f>
        <v>卖出</v>
      </c>
      <c r="F447" s="11" t="str">
        <f>"拆出质押购回"</f>
        <v>拆出质押购回</v>
      </c>
      <c r="G447" s="13">
        <v>8.4550000000000001</v>
      </c>
      <c r="H447" s="1">
        <v>-100</v>
      </c>
      <c r="I447" s="5">
        <v>100115.82</v>
      </c>
      <c r="J447" s="5">
        <v>-76082.91</v>
      </c>
      <c r="K447" s="1">
        <v>0</v>
      </c>
      <c r="L447" s="1" t="str">
        <f>"A280737240"</f>
        <v>A280737240</v>
      </c>
      <c r="M447" s="1" t="str">
        <f>"融券购回:115.82实际占款天数：5-888880"</f>
        <v>融券购回:115.82实际占款天数：5-888880</v>
      </c>
    </row>
    <row r="448" spans="1:13" x14ac:dyDescent="0.2">
      <c r="A448" s="3" t="str">
        <f>"7811"</f>
        <v>7811</v>
      </c>
      <c r="B448" s="4">
        <v>43217</v>
      </c>
      <c r="C448" s="11" t="str">
        <f>"Ｒ-001"</f>
        <v>Ｒ-001</v>
      </c>
      <c r="D448" s="11" t="str">
        <f>"131810"</f>
        <v>131810</v>
      </c>
      <c r="E448" s="11" t="str">
        <f>"卖出"</f>
        <v>卖出</v>
      </c>
      <c r="F448" s="11" t="str">
        <f>"拆出质押购回"</f>
        <v>拆出质押购回</v>
      </c>
      <c r="G448" s="13">
        <v>8.06</v>
      </c>
      <c r="H448" s="1">
        <v>-760</v>
      </c>
      <c r="I448" s="5">
        <v>76083.91</v>
      </c>
      <c r="J448" s="5">
        <v>1</v>
      </c>
      <c r="K448" s="1">
        <v>0</v>
      </c>
      <c r="L448" s="1" t="str">
        <f>"0184500716"</f>
        <v>0184500716</v>
      </c>
      <c r="M448" s="1" t="str">
        <f>"融券购回:83.91实际占款天数：5-131990"</f>
        <v>融券购回:83.91实际占款天数：5-131990</v>
      </c>
    </row>
    <row r="449" spans="1:13" x14ac:dyDescent="0.2">
      <c r="A449" s="3" t="str">
        <f>"2427"</f>
        <v>2427</v>
      </c>
      <c r="B449" s="4">
        <v>43222</v>
      </c>
      <c r="C449" s="11" t="s">
        <v>34</v>
      </c>
      <c r="D449" s="11">
        <v>940018</v>
      </c>
      <c r="E449" s="11" t="str">
        <f>"卖出"</f>
        <v>卖出</v>
      </c>
      <c r="F449" s="11" t="str">
        <f>"基金资金拨出"</f>
        <v>基金资金拨出</v>
      </c>
      <c r="G449" s="13">
        <v>0</v>
      </c>
      <c r="H449" s="1">
        <v>0</v>
      </c>
      <c r="I449" s="5">
        <v>-2831.72</v>
      </c>
      <c r="J449" s="5">
        <v>-2830.72</v>
      </c>
      <c r="K449" s="1">
        <v>0</v>
      </c>
      <c r="L449" s="1" t="str">
        <f t="shared" ref="L449:L450" si="62">" "</f>
        <v xml:space="preserve"> </v>
      </c>
      <c r="M449" s="1" t="str">
        <f>"122扣除金额 基金代码：940018,发生份额：2831.72"</f>
        <v>122扣除金额 基金代码：940018,发生份额：2831.72</v>
      </c>
    </row>
    <row r="450" spans="1:13" x14ac:dyDescent="0.2">
      <c r="A450" s="3" t="str">
        <f>"2430"</f>
        <v>2430</v>
      </c>
      <c r="B450" s="4">
        <v>43222</v>
      </c>
      <c r="C450" s="11" t="s">
        <v>34</v>
      </c>
      <c r="D450" s="11">
        <v>940018</v>
      </c>
      <c r="E450" s="11" t="str">
        <f>"卖出"</f>
        <v>卖出</v>
      </c>
      <c r="F450" s="11" t="str">
        <f>"基金资金拨入"</f>
        <v>基金资金拨入</v>
      </c>
      <c r="G450" s="13">
        <v>0</v>
      </c>
      <c r="H450" s="1">
        <v>0</v>
      </c>
      <c r="I450" s="5">
        <v>192846.92</v>
      </c>
      <c r="J450" s="5">
        <v>190016.2</v>
      </c>
      <c r="K450" s="1">
        <v>0</v>
      </c>
      <c r="L450" s="1" t="str">
        <f t="shared" si="62"/>
        <v xml:space="preserve"> </v>
      </c>
      <c r="M450" s="1" t="str">
        <f>"124增加金额 基金代码：940018,发生份额：192846.92"</f>
        <v>124增加金额 基金代码：940018,发生份额：192846.92</v>
      </c>
    </row>
    <row r="451" spans="1:13" x14ac:dyDescent="0.2">
      <c r="A451" s="3" t="str">
        <f>"4548"</f>
        <v>4548</v>
      </c>
      <c r="B451" s="4">
        <v>43222</v>
      </c>
      <c r="C451" s="11" t="str">
        <f>"华宝添益"</f>
        <v>华宝添益</v>
      </c>
      <c r="D451" s="11" t="str">
        <f>"511990"</f>
        <v>511990</v>
      </c>
      <c r="E451" s="11" t="str">
        <f>"买入"</f>
        <v>买入</v>
      </c>
      <c r="F451" s="11" t="str">
        <f>"证券买入"</f>
        <v>证券买入</v>
      </c>
      <c r="G451" s="13">
        <v>100.008</v>
      </c>
      <c r="H451" s="1">
        <v>1900</v>
      </c>
      <c r="I451" s="5">
        <v>-190015.2</v>
      </c>
      <c r="J451" s="5">
        <v>1</v>
      </c>
      <c r="K451" s="1">
        <v>0</v>
      </c>
      <c r="L451" s="1" t="str">
        <f>"A280737240"</f>
        <v>A280737240</v>
      </c>
      <c r="M451" s="1" t="str">
        <f>"证券买入"</f>
        <v>证券买入</v>
      </c>
    </row>
    <row r="452" spans="1:13" x14ac:dyDescent="0.2">
      <c r="A452" s="3" t="str">
        <f>"1956"</f>
        <v>1956</v>
      </c>
      <c r="B452" s="4">
        <v>43223</v>
      </c>
      <c r="C452" s="11" t="s">
        <v>34</v>
      </c>
      <c r="D452" s="11">
        <v>940018</v>
      </c>
      <c r="E452" s="11" t="str">
        <f>"卖出"</f>
        <v>卖出</v>
      </c>
      <c r="F452" s="11" t="str">
        <f>"基金资金拨出"</f>
        <v>基金资金拨出</v>
      </c>
      <c r="G452" s="13">
        <v>0</v>
      </c>
      <c r="H452" s="1">
        <v>0</v>
      </c>
      <c r="I452" s="5">
        <v>-1</v>
      </c>
      <c r="J452" s="5">
        <v>0</v>
      </c>
      <c r="K452" s="1">
        <v>0</v>
      </c>
      <c r="L452" s="1" t="str">
        <f>" "</f>
        <v xml:space="preserve"> </v>
      </c>
      <c r="M452" s="1" t="str">
        <f>"122扣除金额 基金代码：940018,发生份额：1"</f>
        <v>122扣除金额 基金代码：940018,发生份额：1</v>
      </c>
    </row>
    <row r="453" spans="1:13" x14ac:dyDescent="0.2">
      <c r="A453" s="3" t="str">
        <f>"2202"</f>
        <v>2202</v>
      </c>
      <c r="B453" s="4">
        <v>43227</v>
      </c>
      <c r="C453" s="11" t="str">
        <f>"华宝添益"</f>
        <v>华宝添益</v>
      </c>
      <c r="D453" s="11" t="str">
        <f>"511990"</f>
        <v>511990</v>
      </c>
      <c r="E453" s="11" t="str">
        <f>"买入"</f>
        <v>买入</v>
      </c>
      <c r="F453" s="11" t="str">
        <f>"证券买入"</f>
        <v>证券买入</v>
      </c>
      <c r="G453" s="13">
        <v>100.01300000000001</v>
      </c>
      <c r="H453" s="1">
        <v>900</v>
      </c>
      <c r="I453" s="5">
        <v>-90011.7</v>
      </c>
      <c r="J453" s="5">
        <v>-90011.7</v>
      </c>
      <c r="K453" s="1">
        <v>0</v>
      </c>
      <c r="L453" s="1" t="str">
        <f>"A280737240"</f>
        <v>A280737240</v>
      </c>
      <c r="M453" s="1" t="str">
        <f>"证券买入"</f>
        <v>证券买入</v>
      </c>
    </row>
    <row r="454" spans="1:13" x14ac:dyDescent="0.2">
      <c r="A454" s="3" t="str">
        <f>"4189"</f>
        <v>4189</v>
      </c>
      <c r="B454" s="4">
        <v>43227</v>
      </c>
      <c r="C454" s="11" t="str">
        <f>"华宝油气"</f>
        <v>华宝油气</v>
      </c>
      <c r="D454" s="11" t="str">
        <f>"162411"</f>
        <v>162411</v>
      </c>
      <c r="E454" s="11" t="str">
        <f>"卖出"</f>
        <v>卖出</v>
      </c>
      <c r="F454" s="11" t="str">
        <f>"证券卖出"</f>
        <v>证券卖出</v>
      </c>
      <c r="G454" s="13">
        <v>0.62</v>
      </c>
      <c r="H454" s="1">
        <v>-148600</v>
      </c>
      <c r="I454" s="5">
        <v>92113.57</v>
      </c>
      <c r="J454" s="5">
        <v>2101.87</v>
      </c>
      <c r="K454" s="1">
        <v>18.43</v>
      </c>
      <c r="L454" s="1" t="str">
        <f>"0184500716"</f>
        <v>0184500716</v>
      </c>
      <c r="M454" s="1" t="str">
        <f>"证券卖出"</f>
        <v>证券卖出</v>
      </c>
    </row>
    <row r="455" spans="1:13" x14ac:dyDescent="0.2">
      <c r="A455" s="3" t="str">
        <f>"6578"</f>
        <v>6578</v>
      </c>
      <c r="B455" s="4">
        <v>43227</v>
      </c>
      <c r="C455" s="11" t="s">
        <v>34</v>
      </c>
      <c r="D455" s="11">
        <v>940018</v>
      </c>
      <c r="E455" s="11" t="str">
        <f>"卖出"</f>
        <v>卖出</v>
      </c>
      <c r="F455" s="11" t="str">
        <f>"基金资金拨出"</f>
        <v>基金资金拨出</v>
      </c>
      <c r="G455" s="13">
        <v>0</v>
      </c>
      <c r="H455" s="1">
        <v>0</v>
      </c>
      <c r="I455" s="5">
        <v>-2100.87</v>
      </c>
      <c r="J455" s="5">
        <v>1</v>
      </c>
      <c r="K455" s="1">
        <v>0</v>
      </c>
      <c r="L455" s="1" t="str">
        <f t="shared" ref="L455:L456" si="63">" "</f>
        <v xml:space="preserve"> </v>
      </c>
      <c r="M455" s="1" t="str">
        <f>"122扣除金额 基金代码：940018,发生份额：2100.87"</f>
        <v>122扣除金额 基金代码：940018,发生份额：2100.87</v>
      </c>
    </row>
    <row r="456" spans="1:13" x14ac:dyDescent="0.2">
      <c r="A456" s="3" t="str">
        <f>"2091"</f>
        <v>2091</v>
      </c>
      <c r="B456" s="4">
        <v>43228</v>
      </c>
      <c r="C456" s="11" t="s">
        <v>34</v>
      </c>
      <c r="D456" s="11">
        <v>940018</v>
      </c>
      <c r="E456" s="11" t="str">
        <f>"卖出"</f>
        <v>卖出</v>
      </c>
      <c r="F456" s="11" t="str">
        <f>"基金资金拨出"</f>
        <v>基金资金拨出</v>
      </c>
      <c r="G456" s="13">
        <v>0</v>
      </c>
      <c r="H456" s="1">
        <v>0</v>
      </c>
      <c r="I456" s="5">
        <v>-1</v>
      </c>
      <c r="J456" s="5">
        <v>0</v>
      </c>
      <c r="K456" s="1">
        <v>0</v>
      </c>
      <c r="L456" s="1" t="str">
        <f t="shared" si="63"/>
        <v xml:space="preserve"> </v>
      </c>
      <c r="M456" s="1" t="str">
        <f>"122扣除金额 基金代码：940018,发生份额：1"</f>
        <v>122扣除金额 基金代码：940018,发生份额：1</v>
      </c>
    </row>
    <row r="457" spans="1:13" x14ac:dyDescent="0.2">
      <c r="A457" s="3" t="str">
        <f>"6345"</f>
        <v>6345</v>
      </c>
      <c r="B457" s="4">
        <v>43228</v>
      </c>
      <c r="C457" s="11" t="str">
        <f>"华宝添益"</f>
        <v>华宝添益</v>
      </c>
      <c r="D457" s="11" t="str">
        <f>"511990"</f>
        <v>511990</v>
      </c>
      <c r="E457" s="11" t="str">
        <f>"买入"</f>
        <v>买入</v>
      </c>
      <c r="F457" s="11" t="str">
        <f>"红股入帐"</f>
        <v>红股入帐</v>
      </c>
      <c r="G457" s="13">
        <v>100.011</v>
      </c>
      <c r="H457" s="1">
        <v>1</v>
      </c>
      <c r="I457" s="5">
        <v>0</v>
      </c>
      <c r="J457" s="5">
        <v>0</v>
      </c>
      <c r="K457" s="1">
        <v>0</v>
      </c>
      <c r="L457" s="1" t="str">
        <f>"A280737240"</f>
        <v>A280737240</v>
      </c>
      <c r="M457" s="1" t="str">
        <f>"红股入账"</f>
        <v>红股入账</v>
      </c>
    </row>
    <row r="458" spans="1:13" x14ac:dyDescent="0.2">
      <c r="A458" s="3" t="str">
        <f>"574"</f>
        <v>574</v>
      </c>
      <c r="B458" s="4">
        <v>43229</v>
      </c>
      <c r="C458" s="11" t="str">
        <f>" "</f>
        <v xml:space="preserve"> </v>
      </c>
      <c r="D458" s="11"/>
      <c r="E458" s="11" t="str">
        <f>"卖出"</f>
        <v>卖出</v>
      </c>
      <c r="F458" s="11" t="str">
        <f>"银行转存"</f>
        <v>银行转存</v>
      </c>
      <c r="G458" s="13">
        <v>0</v>
      </c>
      <c r="H458" s="1">
        <v>0</v>
      </c>
      <c r="I458" s="5">
        <v>3000</v>
      </c>
      <c r="J458" s="5">
        <v>3000</v>
      </c>
      <c r="K458" s="1">
        <v>0</v>
      </c>
      <c r="L458" s="1" t="str">
        <f>" "</f>
        <v xml:space="preserve"> </v>
      </c>
      <c r="M458" s="1" t="str">
        <f>"银行返回码[ ]返回信息[0000 交易成功]|转账成功correct_balance=0"</f>
        <v>银行返回码[ ]返回信息[0000 交易成功]|转账成功correct_balance=0</v>
      </c>
    </row>
    <row r="459" spans="1:13" x14ac:dyDescent="0.2">
      <c r="A459" s="3" t="str">
        <f>"1780"</f>
        <v>1780</v>
      </c>
      <c r="B459" s="4">
        <v>43229</v>
      </c>
      <c r="C459" s="11" t="str">
        <f>"银华日利"</f>
        <v>银华日利</v>
      </c>
      <c r="D459" s="11" t="str">
        <f>"511880"</f>
        <v>511880</v>
      </c>
      <c r="E459" s="11" t="str">
        <f>"买入"</f>
        <v>买入</v>
      </c>
      <c r="F459" s="11" t="str">
        <f>"证券买入"</f>
        <v>证券买入</v>
      </c>
      <c r="G459" s="13">
        <v>101.56</v>
      </c>
      <c r="H459" s="1">
        <v>900</v>
      </c>
      <c r="I459" s="5">
        <v>-91404</v>
      </c>
      <c r="J459" s="5">
        <v>-88404</v>
      </c>
      <c r="K459" s="1">
        <v>0</v>
      </c>
      <c r="L459" s="1" t="str">
        <f>"A280737240"</f>
        <v>A280737240</v>
      </c>
      <c r="M459" s="1" t="str">
        <f>"证券买入"</f>
        <v>证券买入</v>
      </c>
    </row>
    <row r="460" spans="1:13" x14ac:dyDescent="0.2">
      <c r="A460" s="3" t="str">
        <f>"1781"</f>
        <v>1781</v>
      </c>
      <c r="B460" s="4">
        <v>43229</v>
      </c>
      <c r="C460" s="11" t="str">
        <f>"华宝添益"</f>
        <v>华宝添益</v>
      </c>
      <c r="D460" s="11" t="str">
        <f>"511990"</f>
        <v>511990</v>
      </c>
      <c r="E460" s="11" t="str">
        <f>"买入"</f>
        <v>买入</v>
      </c>
      <c r="F460" s="11" t="str">
        <f>"证券买入"</f>
        <v>证券买入</v>
      </c>
      <c r="G460" s="13">
        <v>100.008</v>
      </c>
      <c r="H460" s="1">
        <v>100</v>
      </c>
      <c r="I460" s="5">
        <v>-10000.799999999999</v>
      </c>
      <c r="J460" s="5">
        <v>-98404.800000000003</v>
      </c>
      <c r="K460" s="1">
        <v>0</v>
      </c>
      <c r="L460" s="1" t="str">
        <f>"A280737240"</f>
        <v>A280737240</v>
      </c>
      <c r="M460" s="1" t="str">
        <f>"证券买入"</f>
        <v>证券买入</v>
      </c>
    </row>
    <row r="461" spans="1:13" x14ac:dyDescent="0.2">
      <c r="A461" s="3" t="str">
        <f>"4182"</f>
        <v>4182</v>
      </c>
      <c r="B461" s="4">
        <v>43229</v>
      </c>
      <c r="C461" s="11" t="str">
        <f>"华宝油气"</f>
        <v>华宝油气</v>
      </c>
      <c r="D461" s="11" t="str">
        <f>"162411"</f>
        <v>162411</v>
      </c>
      <c r="E461" s="11" t="str">
        <f>"卖出"</f>
        <v>卖出</v>
      </c>
      <c r="F461" s="11" t="str">
        <f>"证券卖出"</f>
        <v>证券卖出</v>
      </c>
      <c r="G461" s="13">
        <v>0.63500000000000001</v>
      </c>
      <c r="H461" s="1">
        <v>-148600</v>
      </c>
      <c r="I461" s="5">
        <v>94342.13</v>
      </c>
      <c r="J461" s="5">
        <v>-4062.67</v>
      </c>
      <c r="K461" s="1">
        <v>18.87</v>
      </c>
      <c r="L461" s="1" t="str">
        <f>"0184500716"</f>
        <v>0184500716</v>
      </c>
      <c r="M461" s="1" t="str">
        <f>"证券卖出"</f>
        <v>证券卖出</v>
      </c>
    </row>
    <row r="462" spans="1:13" x14ac:dyDescent="0.2">
      <c r="A462" s="3" t="str">
        <f>"5880"</f>
        <v>5880</v>
      </c>
      <c r="B462" s="4">
        <v>43229</v>
      </c>
      <c r="C462" s="11" t="s">
        <v>34</v>
      </c>
      <c r="D462" s="11">
        <v>940018</v>
      </c>
      <c r="E462" s="11" t="str">
        <f>"卖出"</f>
        <v>卖出</v>
      </c>
      <c r="F462" s="11" t="str">
        <f>"基金资金拨出"</f>
        <v>基金资金拨出</v>
      </c>
      <c r="G462" s="13">
        <v>0</v>
      </c>
      <c r="H462" s="1">
        <v>0</v>
      </c>
      <c r="I462" s="5">
        <v>-870.92</v>
      </c>
      <c r="J462" s="5">
        <v>-4933.59</v>
      </c>
      <c r="K462" s="1">
        <v>0</v>
      </c>
      <c r="L462" s="1" t="str">
        <f t="shared" ref="L462:L464" si="64">" "</f>
        <v xml:space="preserve"> </v>
      </c>
      <c r="M462" s="1" t="str">
        <f>"122扣除金额 基金代码：940018,发生份额：870.92"</f>
        <v>122扣除金额 基金代码：940018,发生份额：870.92</v>
      </c>
    </row>
    <row r="463" spans="1:13" x14ac:dyDescent="0.2">
      <c r="A463" s="3" t="str">
        <f>"5881"</f>
        <v>5881</v>
      </c>
      <c r="B463" s="4">
        <v>43229</v>
      </c>
      <c r="C463" s="11" t="s">
        <v>34</v>
      </c>
      <c r="D463" s="11">
        <v>940018</v>
      </c>
      <c r="E463" s="11" t="str">
        <f>"卖出"</f>
        <v>卖出</v>
      </c>
      <c r="F463" s="11" t="str">
        <f>"基金资金拨入"</f>
        <v>基金资金拨入</v>
      </c>
      <c r="G463" s="13">
        <v>0</v>
      </c>
      <c r="H463" s="1">
        <v>0</v>
      </c>
      <c r="I463" s="5">
        <v>4934.59</v>
      </c>
      <c r="J463" s="5">
        <v>1</v>
      </c>
      <c r="K463" s="1">
        <v>0</v>
      </c>
      <c r="L463" s="1" t="str">
        <f t="shared" si="64"/>
        <v xml:space="preserve"> </v>
      </c>
      <c r="M463" s="1" t="str">
        <f>"124增加金额 基金代码：940018,发生份额：4934.59"</f>
        <v>124增加金额 基金代码：940018,发生份额：4934.59</v>
      </c>
    </row>
    <row r="464" spans="1:13" x14ac:dyDescent="0.2">
      <c r="A464" s="3" t="str">
        <f>"1854"</f>
        <v>1854</v>
      </c>
      <c r="B464" s="4">
        <v>43230</v>
      </c>
      <c r="C464" s="11" t="s">
        <v>34</v>
      </c>
      <c r="D464" s="11">
        <v>940018</v>
      </c>
      <c r="E464" s="11" t="str">
        <f>"卖出"</f>
        <v>卖出</v>
      </c>
      <c r="F464" s="11" t="str">
        <f>"基金资金拨出"</f>
        <v>基金资金拨出</v>
      </c>
      <c r="G464" s="13">
        <v>0</v>
      </c>
      <c r="H464" s="1">
        <v>0</v>
      </c>
      <c r="I464" s="5">
        <v>-1</v>
      </c>
      <c r="J464" s="5">
        <v>0</v>
      </c>
      <c r="K464" s="1">
        <v>0</v>
      </c>
      <c r="L464" s="1" t="str">
        <f t="shared" si="64"/>
        <v xml:space="preserve"> </v>
      </c>
      <c r="M464" s="1" t="str">
        <f>"122扣除金额 基金代码：940018,发生份额：1"</f>
        <v>122扣除金额 基金代码：940018,发生份额：1</v>
      </c>
    </row>
    <row r="465" spans="1:13" x14ac:dyDescent="0.2">
      <c r="A465" s="3" t="str">
        <f>"6792"</f>
        <v>6792</v>
      </c>
      <c r="B465" s="4">
        <v>43231</v>
      </c>
      <c r="C465" s="11" t="str">
        <f>"华宝添益"</f>
        <v>华宝添益</v>
      </c>
      <c r="D465" s="11" t="str">
        <f>"511990"</f>
        <v>511990</v>
      </c>
      <c r="E465" s="11" t="str">
        <f>"买入"</f>
        <v>买入</v>
      </c>
      <c r="F465" s="11" t="str">
        <f>"红股入帐"</f>
        <v>红股入帐</v>
      </c>
      <c r="G465" s="13">
        <v>100.02500000000001</v>
      </c>
      <c r="H465" s="1">
        <v>1</v>
      </c>
      <c r="I465" s="5">
        <v>0</v>
      </c>
      <c r="J465" s="5">
        <v>0</v>
      </c>
      <c r="K465" s="1">
        <v>0</v>
      </c>
      <c r="L465" s="1" t="str">
        <f>"A280737240"</f>
        <v>A280737240</v>
      </c>
      <c r="M465" s="1" t="str">
        <f>"红股入账"</f>
        <v>红股入账</v>
      </c>
    </row>
    <row r="466" spans="1:13" x14ac:dyDescent="0.2">
      <c r="A466" s="3" t="str">
        <f>"2942"</f>
        <v>2942</v>
      </c>
      <c r="B466" s="4">
        <v>43234</v>
      </c>
      <c r="C466" s="11" t="s">
        <v>34</v>
      </c>
      <c r="D466" s="11">
        <v>940018</v>
      </c>
      <c r="E466" s="11" t="str">
        <f t="shared" ref="E466:E471" si="65">"卖出"</f>
        <v>卖出</v>
      </c>
      <c r="F466" s="11" t="str">
        <f>"基金资金拨出"</f>
        <v>基金资金拨出</v>
      </c>
      <c r="G466" s="13">
        <v>0</v>
      </c>
      <c r="H466" s="1">
        <v>0</v>
      </c>
      <c r="I466" s="5">
        <v>-29999.599999999999</v>
      </c>
      <c r="J466" s="5">
        <v>-29999.599999999999</v>
      </c>
      <c r="K466" s="1">
        <v>0</v>
      </c>
      <c r="L466" s="1" t="str">
        <f>" "</f>
        <v xml:space="preserve"> </v>
      </c>
      <c r="M466" s="1" t="str">
        <f>"122扣除金额 基金代码：940018,发生份额：29999.6"</f>
        <v>122扣除金额 基金代码：940018,发生份额：29999.6</v>
      </c>
    </row>
    <row r="467" spans="1:13" x14ac:dyDescent="0.2">
      <c r="A467" s="3" t="str">
        <f>"3476"</f>
        <v>3476</v>
      </c>
      <c r="B467" s="4">
        <v>43234</v>
      </c>
      <c r="C467" s="11" t="str">
        <f>"华宝添益"</f>
        <v>华宝添益</v>
      </c>
      <c r="D467" s="11" t="str">
        <f>"511990"</f>
        <v>511990</v>
      </c>
      <c r="E467" s="11" t="str">
        <f t="shared" si="65"/>
        <v>卖出</v>
      </c>
      <c r="F467" s="11" t="str">
        <f>"证券卖出"</f>
        <v>证券卖出</v>
      </c>
      <c r="G467" s="13">
        <v>100.002</v>
      </c>
      <c r="H467" s="1">
        <v>-300</v>
      </c>
      <c r="I467" s="5">
        <v>30000.6</v>
      </c>
      <c r="J467" s="5">
        <v>1</v>
      </c>
      <c r="K467" s="1">
        <v>0</v>
      </c>
      <c r="L467" s="1" t="str">
        <f>"A280737240"</f>
        <v>A280737240</v>
      </c>
      <c r="M467" s="1" t="str">
        <f>"证券卖出"</f>
        <v>证券卖出</v>
      </c>
    </row>
    <row r="468" spans="1:13" x14ac:dyDescent="0.2">
      <c r="A468" s="3" t="str">
        <f>"287"</f>
        <v>287</v>
      </c>
      <c r="B468" s="4">
        <v>43235</v>
      </c>
      <c r="C468" s="11" t="s">
        <v>34</v>
      </c>
      <c r="D468" s="11">
        <v>940018</v>
      </c>
      <c r="E468" s="11" t="str">
        <f t="shared" si="65"/>
        <v>卖出</v>
      </c>
      <c r="F468" s="11" t="str">
        <f>"资管转让资金上账"</f>
        <v>资管转让资金上账</v>
      </c>
      <c r="G468" s="13">
        <v>0</v>
      </c>
      <c r="H468" s="1">
        <v>0</v>
      </c>
      <c r="I468" s="5">
        <v>30871</v>
      </c>
      <c r="J468" s="5">
        <v>30872</v>
      </c>
      <c r="K468" s="1">
        <v>0</v>
      </c>
      <c r="L468" s="1" t="str">
        <f t="shared" ref="C468:L470" si="66">" "</f>
        <v xml:space="preserve"> </v>
      </c>
      <c r="M468" s="1" t="str">
        <f>"快速取现退出资金拨入,产品代码940018,对方资产账户40000545correct_balance=0"</f>
        <v>快速取现退出资金拨入,产品代码940018,对方资产账户40000545correct_balance=0</v>
      </c>
    </row>
    <row r="469" spans="1:13" x14ac:dyDescent="0.2">
      <c r="A469" s="3" t="str">
        <f>"452"</f>
        <v>452</v>
      </c>
      <c r="B469" s="4">
        <v>43235</v>
      </c>
      <c r="C469" s="11" t="str">
        <f t="shared" si="66"/>
        <v xml:space="preserve"> </v>
      </c>
      <c r="D469" s="11"/>
      <c r="E469" s="11" t="str">
        <f t="shared" si="65"/>
        <v>卖出</v>
      </c>
      <c r="F469" s="11" t="str">
        <f>"银行转取"</f>
        <v>银行转取</v>
      </c>
      <c r="G469" s="13">
        <v>0</v>
      </c>
      <c r="H469" s="1">
        <v>0</v>
      </c>
      <c r="I469" s="5">
        <v>-30872</v>
      </c>
      <c r="J469" s="5">
        <v>0</v>
      </c>
      <c r="K469" s="1">
        <v>0</v>
      </c>
      <c r="L469" s="1" t="str">
        <f t="shared" si="66"/>
        <v xml:space="preserve"> </v>
      </c>
      <c r="M469" s="1" t="str">
        <f>"银行返回码[ ]返回信息[0000 交易成功]|转账成功correct_balance=30872"</f>
        <v>银行返回码[ ]返回信息[0000 交易成功]|转账成功correct_balance=30872</v>
      </c>
    </row>
    <row r="470" spans="1:13" x14ac:dyDescent="0.2">
      <c r="A470" s="3" t="str">
        <f>"2047"</f>
        <v>2047</v>
      </c>
      <c r="B470" s="4">
        <v>43235</v>
      </c>
      <c r="C470" s="11" t="s">
        <v>34</v>
      </c>
      <c r="D470" s="11">
        <v>940018</v>
      </c>
      <c r="E470" s="11" t="str">
        <f t="shared" si="65"/>
        <v>卖出</v>
      </c>
      <c r="F470" s="11" t="str">
        <f>"基金资金拨出"</f>
        <v>基金资金拨出</v>
      </c>
      <c r="G470" s="13">
        <v>0</v>
      </c>
      <c r="H470" s="1">
        <v>0</v>
      </c>
      <c r="I470" s="5">
        <v>-25125.02</v>
      </c>
      <c r="J470" s="5">
        <v>-25125.02</v>
      </c>
      <c r="K470" s="1">
        <v>0</v>
      </c>
      <c r="L470" s="1" t="str">
        <f t="shared" si="66"/>
        <v xml:space="preserve"> </v>
      </c>
      <c r="M470" s="1" t="str">
        <f>"122扣除金额 基金代码：940018,发生份额：25125.02"</f>
        <v>122扣除金额 基金代码：940018,发生份额：25125.02</v>
      </c>
    </row>
    <row r="471" spans="1:13" x14ac:dyDescent="0.2">
      <c r="A471" s="3" t="str">
        <f>"3085"</f>
        <v>3085</v>
      </c>
      <c r="B471" s="4">
        <v>43235</v>
      </c>
      <c r="C471" s="11" t="str">
        <f>"华宝添益"</f>
        <v>华宝添益</v>
      </c>
      <c r="D471" s="11" t="str">
        <f>"511990"</f>
        <v>511990</v>
      </c>
      <c r="E471" s="11" t="str">
        <f t="shared" si="65"/>
        <v>卖出</v>
      </c>
      <c r="F471" s="11" t="str">
        <f>"证券卖出"</f>
        <v>证券卖出</v>
      </c>
      <c r="G471" s="13">
        <v>99.995999999999995</v>
      </c>
      <c r="H471" s="1">
        <v>-500</v>
      </c>
      <c r="I471" s="5">
        <v>49998</v>
      </c>
      <c r="J471" s="5">
        <v>24872.98</v>
      </c>
      <c r="K471" s="1">
        <v>0</v>
      </c>
      <c r="L471" s="1" t="str">
        <f t="shared" ref="L471:L477" si="67">"A280737240"</f>
        <v>A280737240</v>
      </c>
      <c r="M471" s="1" t="str">
        <f>"证券卖出"</f>
        <v>证券卖出</v>
      </c>
    </row>
    <row r="472" spans="1:13" x14ac:dyDescent="0.2">
      <c r="A472" s="3" t="str">
        <f>"3086"</f>
        <v>3086</v>
      </c>
      <c r="B472" s="4">
        <v>43235</v>
      </c>
      <c r="C472" s="11" t="str">
        <f>"黄金ETF"</f>
        <v>黄金ETF</v>
      </c>
      <c r="D472" s="11" t="str">
        <f>"518880"</f>
        <v>518880</v>
      </c>
      <c r="E472" s="11" t="str">
        <f>"买入"</f>
        <v>买入</v>
      </c>
      <c r="F472" s="11" t="str">
        <f>"证券买入"</f>
        <v>证券买入</v>
      </c>
      <c r="G472" s="13">
        <v>2.6840000000000002</v>
      </c>
      <c r="H472" s="1">
        <v>2400</v>
      </c>
      <c r="I472" s="5">
        <v>-6442.89</v>
      </c>
      <c r="J472" s="5">
        <v>18430.09</v>
      </c>
      <c r="K472" s="1">
        <v>1.29</v>
      </c>
      <c r="L472" s="1" t="str">
        <f t="shared" si="67"/>
        <v>A280737240</v>
      </c>
      <c r="M472" s="1" t="str">
        <f>"证券买入"</f>
        <v>证券买入</v>
      </c>
    </row>
    <row r="473" spans="1:13" x14ac:dyDescent="0.2">
      <c r="A473" s="3" t="str">
        <f>"3087"</f>
        <v>3087</v>
      </c>
      <c r="B473" s="4">
        <v>43235</v>
      </c>
      <c r="C473" s="11" t="str">
        <f>"环保ETF"</f>
        <v>环保ETF</v>
      </c>
      <c r="D473" s="11" t="str">
        <f>"512580"</f>
        <v>512580</v>
      </c>
      <c r="E473" s="11" t="str">
        <f>"买入"</f>
        <v>买入</v>
      </c>
      <c r="F473" s="11" t="str">
        <f>"证券买入"</f>
        <v>证券买入</v>
      </c>
      <c r="G473" s="13">
        <v>0.91800000000000004</v>
      </c>
      <c r="H473" s="1">
        <v>20900</v>
      </c>
      <c r="I473" s="5">
        <v>-19190.04</v>
      </c>
      <c r="J473" s="5">
        <v>-759.95</v>
      </c>
      <c r="K473" s="1">
        <v>3.84</v>
      </c>
      <c r="L473" s="1" t="str">
        <f t="shared" si="67"/>
        <v>A280737240</v>
      </c>
      <c r="M473" s="1" t="str">
        <f>"证券买入"</f>
        <v>证券买入</v>
      </c>
    </row>
    <row r="474" spans="1:13" x14ac:dyDescent="0.2">
      <c r="A474" s="3" t="str">
        <f>"3088"</f>
        <v>3088</v>
      </c>
      <c r="B474" s="4">
        <v>43235</v>
      </c>
      <c r="C474" s="11" t="str">
        <f>"华宝添益"</f>
        <v>华宝添益</v>
      </c>
      <c r="D474" s="11" t="str">
        <f>"511990"</f>
        <v>511990</v>
      </c>
      <c r="E474" s="11" t="str">
        <f>"卖出"</f>
        <v>卖出</v>
      </c>
      <c r="F474" s="11" t="str">
        <f>"证券卖出"</f>
        <v>证券卖出</v>
      </c>
      <c r="G474" s="13">
        <v>99.995999999999995</v>
      </c>
      <c r="H474" s="1">
        <v>-200</v>
      </c>
      <c r="I474" s="5">
        <v>19999.2</v>
      </c>
      <c r="J474" s="5">
        <v>19239.25</v>
      </c>
      <c r="K474" s="1">
        <v>0</v>
      </c>
      <c r="L474" s="1" t="str">
        <f t="shared" si="67"/>
        <v>A280737240</v>
      </c>
      <c r="M474" s="1" t="str">
        <f>"证券卖出"</f>
        <v>证券卖出</v>
      </c>
    </row>
    <row r="475" spans="1:13" x14ac:dyDescent="0.2">
      <c r="A475" s="3" t="str">
        <f>"3089"</f>
        <v>3089</v>
      </c>
      <c r="B475" s="4">
        <v>43235</v>
      </c>
      <c r="C475" s="11" t="str">
        <f>"证券ETF"</f>
        <v>证券ETF</v>
      </c>
      <c r="D475" s="11" t="str">
        <f>"512880"</f>
        <v>512880</v>
      </c>
      <c r="E475" s="11" t="str">
        <f>"买入"</f>
        <v>买入</v>
      </c>
      <c r="F475" s="11" t="str">
        <f>"证券买入"</f>
        <v>证券买入</v>
      </c>
      <c r="G475" s="13">
        <v>0.88900000000000001</v>
      </c>
      <c r="H475" s="1">
        <v>14400</v>
      </c>
      <c r="I475" s="5">
        <v>-12804.16</v>
      </c>
      <c r="J475" s="5">
        <v>6435.09</v>
      </c>
      <c r="K475" s="1">
        <v>2.56</v>
      </c>
      <c r="L475" s="1" t="str">
        <f t="shared" si="67"/>
        <v>A280737240</v>
      </c>
      <c r="M475" s="1" t="str">
        <f>"证券买入"</f>
        <v>证券买入</v>
      </c>
    </row>
    <row r="476" spans="1:13" x14ac:dyDescent="0.2">
      <c r="A476" s="3" t="str">
        <f>"3090"</f>
        <v>3090</v>
      </c>
      <c r="B476" s="4">
        <v>43235</v>
      </c>
      <c r="C476" s="11" t="str">
        <f>"传媒ETF"</f>
        <v>传媒ETF</v>
      </c>
      <c r="D476" s="11" t="str">
        <f>"512980"</f>
        <v>512980</v>
      </c>
      <c r="E476" s="11" t="str">
        <f>"买入"</f>
        <v>买入</v>
      </c>
      <c r="F476" s="11" t="str">
        <f>"证券买入"</f>
        <v>证券买入</v>
      </c>
      <c r="G476" s="13">
        <v>0.94599999999999995</v>
      </c>
      <c r="H476" s="1">
        <v>6800</v>
      </c>
      <c r="I476" s="5">
        <v>-6434.09</v>
      </c>
      <c r="J476" s="5">
        <v>1</v>
      </c>
      <c r="K476" s="1">
        <v>1.29</v>
      </c>
      <c r="L476" s="1" t="str">
        <f t="shared" si="67"/>
        <v>A280737240</v>
      </c>
      <c r="M476" s="1" t="str">
        <f>"证券买入"</f>
        <v>证券买入</v>
      </c>
    </row>
    <row r="477" spans="1:13" x14ac:dyDescent="0.2">
      <c r="A477" s="3" t="str">
        <f>"6152"</f>
        <v>6152</v>
      </c>
      <c r="B477" s="4">
        <v>43235</v>
      </c>
      <c r="C477" s="11" t="str">
        <f>"华宝添益"</f>
        <v>华宝添益</v>
      </c>
      <c r="D477" s="11" t="str">
        <f>"511990"</f>
        <v>511990</v>
      </c>
      <c r="E477" s="11" t="str">
        <f>"买入"</f>
        <v>买入</v>
      </c>
      <c r="F477" s="11" t="str">
        <f>"红股入帐"</f>
        <v>红股入帐</v>
      </c>
      <c r="G477" s="13">
        <v>100</v>
      </c>
      <c r="H477" s="1">
        <v>1</v>
      </c>
      <c r="I477" s="5">
        <v>0</v>
      </c>
      <c r="J477" s="5">
        <v>1</v>
      </c>
      <c r="K477" s="1">
        <v>0</v>
      </c>
      <c r="L477" s="1" t="str">
        <f t="shared" si="67"/>
        <v>A280737240</v>
      </c>
      <c r="M477" s="1" t="str">
        <f>"红股入账"</f>
        <v>红股入账</v>
      </c>
    </row>
    <row r="478" spans="1:13" x14ac:dyDescent="0.2">
      <c r="A478" s="3" t="str">
        <f>"1852"</f>
        <v>1852</v>
      </c>
      <c r="B478" s="4">
        <v>43236</v>
      </c>
      <c r="C478" s="11" t="s">
        <v>34</v>
      </c>
      <c r="D478" s="11">
        <v>940018</v>
      </c>
      <c r="E478" s="11" t="str">
        <f>"卖出"</f>
        <v>卖出</v>
      </c>
      <c r="F478" s="11" t="str">
        <f>"基金资金拨出"</f>
        <v>基金资金拨出</v>
      </c>
      <c r="G478" s="13">
        <v>0</v>
      </c>
      <c r="H478" s="1">
        <v>0</v>
      </c>
      <c r="I478" s="5">
        <v>-1</v>
      </c>
      <c r="J478" s="5">
        <v>0</v>
      </c>
      <c r="K478" s="1">
        <v>0</v>
      </c>
      <c r="L478" s="1" t="str">
        <f t="shared" ref="L478:L480" si="68">" "</f>
        <v xml:space="preserve"> </v>
      </c>
      <c r="M478" s="1" t="str">
        <f>"122扣除金额 基金代码：940018,发生份额：1"</f>
        <v>122扣除金额 基金代码：940018,发生份额：1</v>
      </c>
    </row>
    <row r="479" spans="1:13" x14ac:dyDescent="0.2">
      <c r="A479" s="3" t="str">
        <f>"1944"</f>
        <v>1944</v>
      </c>
      <c r="B479" s="4">
        <v>43237</v>
      </c>
      <c r="C479" s="11" t="s">
        <v>34</v>
      </c>
      <c r="D479" s="11">
        <v>940018</v>
      </c>
      <c r="E479" s="11" t="str">
        <f>"卖出"</f>
        <v>卖出</v>
      </c>
      <c r="F479" s="11" t="str">
        <f>"基金资金拨出"</f>
        <v>基金资金拨出</v>
      </c>
      <c r="G479" s="13">
        <v>0</v>
      </c>
      <c r="H479" s="1">
        <v>0</v>
      </c>
      <c r="I479" s="5">
        <v>-24125.54</v>
      </c>
      <c r="J479" s="5">
        <v>-24125.54</v>
      </c>
      <c r="K479" s="1">
        <v>0</v>
      </c>
      <c r="L479" s="1" t="str">
        <f t="shared" si="68"/>
        <v xml:space="preserve"> </v>
      </c>
      <c r="M479" s="1" t="str">
        <f>"122扣除金额 基金代码：940018,发生份额：24125.54"</f>
        <v>122扣除金额 基金代码：940018,发生份额：24125.54</v>
      </c>
    </row>
    <row r="480" spans="1:13" x14ac:dyDescent="0.2">
      <c r="A480" s="3" t="str">
        <f>"1945"</f>
        <v>1945</v>
      </c>
      <c r="B480" s="4">
        <v>43237</v>
      </c>
      <c r="C480" s="11" t="s">
        <v>34</v>
      </c>
      <c r="D480" s="11">
        <v>940018</v>
      </c>
      <c r="E480" s="11" t="str">
        <f>"卖出"</f>
        <v>卖出</v>
      </c>
      <c r="F480" s="11" t="str">
        <f>"基金资金拨入"</f>
        <v>基金资金拨入</v>
      </c>
      <c r="G480" s="13">
        <v>0</v>
      </c>
      <c r="H480" s="1">
        <v>0</v>
      </c>
      <c r="I480" s="5">
        <v>25126.54</v>
      </c>
      <c r="J480" s="5">
        <v>1001</v>
      </c>
      <c r="K480" s="1">
        <v>0</v>
      </c>
      <c r="L480" s="1" t="str">
        <f t="shared" si="68"/>
        <v xml:space="preserve"> </v>
      </c>
      <c r="M480" s="1" t="str">
        <f>"124增加金额 基金代码：940018,发生份额：25126.54"</f>
        <v>124增加金额 基金代码：940018,发生份额：25126.54</v>
      </c>
    </row>
    <row r="481" spans="1:13" x14ac:dyDescent="0.2">
      <c r="A481" s="3" t="str">
        <f>"6144"</f>
        <v>6144</v>
      </c>
      <c r="B481" s="4">
        <v>43237</v>
      </c>
      <c r="C481" s="11" t="str">
        <f>"添富快线"</f>
        <v>添富快线</v>
      </c>
      <c r="D481" s="11" t="str">
        <f>"519888"</f>
        <v>519888</v>
      </c>
      <c r="E481" s="11" t="str">
        <f>"买入"</f>
        <v>买入</v>
      </c>
      <c r="F481" s="11" t="str">
        <f>"货币基金申购"</f>
        <v>货币基金申购</v>
      </c>
      <c r="G481" s="13">
        <v>0.01</v>
      </c>
      <c r="H481" s="1">
        <v>100000</v>
      </c>
      <c r="I481" s="5">
        <v>-1000</v>
      </c>
      <c r="J481" s="5">
        <v>1</v>
      </c>
      <c r="K481" s="1">
        <v>0</v>
      </c>
      <c r="L481" s="1" t="str">
        <f>"A280737240"</f>
        <v>A280737240</v>
      </c>
      <c r="M481" s="1" t="str">
        <f>"货币基金申购"</f>
        <v>货币基金申购</v>
      </c>
    </row>
    <row r="482" spans="1:13" x14ac:dyDescent="0.2">
      <c r="A482" s="3" t="str">
        <f>"2038"</f>
        <v>2038</v>
      </c>
      <c r="B482" s="4">
        <v>43238</v>
      </c>
      <c r="C482" s="11" t="s">
        <v>34</v>
      </c>
      <c r="D482" s="11">
        <v>940018</v>
      </c>
      <c r="E482" s="11" t="str">
        <f>"卖出"</f>
        <v>卖出</v>
      </c>
      <c r="F482" s="11" t="str">
        <f>"基金资金拨出"</f>
        <v>基金资金拨出</v>
      </c>
      <c r="G482" s="13">
        <v>0</v>
      </c>
      <c r="H482" s="1">
        <v>0</v>
      </c>
      <c r="I482" s="5">
        <v>-1000</v>
      </c>
      <c r="J482" s="5">
        <v>-999</v>
      </c>
      <c r="K482" s="1">
        <v>0</v>
      </c>
      <c r="L482" s="1" t="str">
        <f>" "</f>
        <v xml:space="preserve"> </v>
      </c>
      <c r="M482" s="1" t="str">
        <f>"122扣除金额 基金代码：940018,发生份额：1000"</f>
        <v>122扣除金额 基金代码：940018,发生份额：1000</v>
      </c>
    </row>
    <row r="483" spans="1:13" x14ac:dyDescent="0.2">
      <c r="A483" s="3" t="str">
        <f>"6157"</f>
        <v>6157</v>
      </c>
      <c r="B483" s="4">
        <v>43238</v>
      </c>
      <c r="C483" s="11" t="str">
        <f>"添富快线"</f>
        <v>添富快线</v>
      </c>
      <c r="D483" s="11" t="str">
        <f>"519888"</f>
        <v>519888</v>
      </c>
      <c r="E483" s="11" t="str">
        <f>"卖出"</f>
        <v>卖出</v>
      </c>
      <c r="F483" s="11" t="str">
        <f>"货币基金赎回"</f>
        <v>货币基金赎回</v>
      </c>
      <c r="G483" s="13">
        <v>0.01</v>
      </c>
      <c r="H483" s="1">
        <v>-100000</v>
      </c>
      <c r="I483" s="5">
        <v>1000</v>
      </c>
      <c r="J483" s="5">
        <v>1</v>
      </c>
      <c r="K483" s="1">
        <v>0</v>
      </c>
      <c r="L483" s="1" t="str">
        <f>"A280737240"</f>
        <v>A280737240</v>
      </c>
      <c r="M483" s="1" t="str">
        <f>"货币基金赎回"</f>
        <v>货币基金赎回</v>
      </c>
    </row>
    <row r="484" spans="1:13" x14ac:dyDescent="0.2">
      <c r="A484" s="3" t="str">
        <f>"6159"</f>
        <v>6159</v>
      </c>
      <c r="B484" s="4">
        <v>43238</v>
      </c>
      <c r="C484" s="11" t="str">
        <f>"添富快线"</f>
        <v>添富快线</v>
      </c>
      <c r="D484" s="11" t="str">
        <f>"519888"</f>
        <v>519888</v>
      </c>
      <c r="E484" s="11" t="str">
        <f>"买入"</f>
        <v>买入</v>
      </c>
      <c r="F484" s="11" t="str">
        <f>"红股入帐"</f>
        <v>红股入帐</v>
      </c>
      <c r="G484" s="13">
        <v>0.01</v>
      </c>
      <c r="H484" s="1">
        <v>9</v>
      </c>
      <c r="I484" s="5">
        <v>0</v>
      </c>
      <c r="J484" s="5">
        <v>1</v>
      </c>
      <c r="K484" s="1">
        <v>0</v>
      </c>
      <c r="L484" s="1" t="str">
        <f>"A280737240"</f>
        <v>A280737240</v>
      </c>
      <c r="M484" s="1" t="str">
        <f>"红股入账"</f>
        <v>红股入账</v>
      </c>
    </row>
    <row r="485" spans="1:13" x14ac:dyDescent="0.2">
      <c r="A485" s="3" t="str">
        <f>"4813"</f>
        <v>4813</v>
      </c>
      <c r="B485" s="4">
        <v>43241</v>
      </c>
      <c r="C485" s="11" t="str">
        <f>"华宝添益"</f>
        <v>华宝添益</v>
      </c>
      <c r="D485" s="11" t="str">
        <f>"511990"</f>
        <v>511990</v>
      </c>
      <c r="E485" s="11" t="str">
        <f>"买入"</f>
        <v>买入</v>
      </c>
      <c r="F485" s="11" t="str">
        <f>"红股入帐"</f>
        <v>红股入帐</v>
      </c>
      <c r="G485" s="13">
        <v>100</v>
      </c>
      <c r="H485" s="1">
        <v>1</v>
      </c>
      <c r="I485" s="5">
        <v>0</v>
      </c>
      <c r="J485" s="5">
        <v>1</v>
      </c>
      <c r="K485" s="1">
        <v>0</v>
      </c>
      <c r="L485" s="1" t="str">
        <f>"A280737240"</f>
        <v>A280737240</v>
      </c>
      <c r="M485" s="1" t="str">
        <f>"红股入账"</f>
        <v>红股入账</v>
      </c>
    </row>
    <row r="486" spans="1:13" x14ac:dyDescent="0.2">
      <c r="A486" s="3" t="str">
        <f>"4846"</f>
        <v>4846</v>
      </c>
      <c r="B486" s="4">
        <v>43241</v>
      </c>
      <c r="C486" s="11" t="str">
        <f>"华宝油气"</f>
        <v>华宝油气</v>
      </c>
      <c r="D486" s="11" t="str">
        <f>"162411"</f>
        <v>162411</v>
      </c>
      <c r="E486" s="11" t="str">
        <f t="shared" ref="E486:E493" si="69">"卖出"</f>
        <v>卖出</v>
      </c>
      <c r="F486" s="11" t="str">
        <f>"开放基金赎回"</f>
        <v>开放基金赎回</v>
      </c>
      <c r="G486" s="13">
        <v>0.68200000000000005</v>
      </c>
      <c r="H486" s="1">
        <v>-100</v>
      </c>
      <c r="I486" s="5">
        <v>0</v>
      </c>
      <c r="J486" s="5">
        <v>1</v>
      </c>
      <c r="K486" s="1">
        <v>0</v>
      </c>
      <c r="L486" s="1" t="str">
        <f>"0184500716"</f>
        <v>0184500716</v>
      </c>
      <c r="M486" s="1" t="str">
        <f>"20180525|124|赎回份额交收|.34|"</f>
        <v>20180525|124|赎回份额交收|.34|</v>
      </c>
    </row>
    <row r="487" spans="1:13" x14ac:dyDescent="0.2">
      <c r="A487" s="3" t="str">
        <f>"6762"</f>
        <v>6762</v>
      </c>
      <c r="B487" s="4">
        <v>43241</v>
      </c>
      <c r="C487" s="11" t="s">
        <v>34</v>
      </c>
      <c r="D487" s="11">
        <v>940018</v>
      </c>
      <c r="E487" s="11" t="str">
        <f t="shared" si="69"/>
        <v>卖出</v>
      </c>
      <c r="F487" s="11" t="str">
        <f>"基金资金拨出"</f>
        <v>基金资金拨出</v>
      </c>
      <c r="G487" s="13">
        <v>0</v>
      </c>
      <c r="H487" s="1">
        <v>0</v>
      </c>
      <c r="I487" s="5">
        <v>-1</v>
      </c>
      <c r="J487" s="5">
        <v>0</v>
      </c>
      <c r="K487" s="1">
        <v>0</v>
      </c>
      <c r="L487" s="1" t="str">
        <f>" "</f>
        <v xml:space="preserve"> </v>
      </c>
      <c r="M487" s="1" t="str">
        <f>"122扣除金额 基金代码：940018,发生份额：1"</f>
        <v>122扣除金额 基金代码：940018,发生份额：1</v>
      </c>
    </row>
    <row r="488" spans="1:13" x14ac:dyDescent="0.2">
      <c r="A488" s="3" t="str">
        <f>"4914"</f>
        <v>4914</v>
      </c>
      <c r="B488" s="4">
        <v>43243</v>
      </c>
      <c r="C488" s="11" t="str">
        <f>"添富快线"</f>
        <v>添富快线</v>
      </c>
      <c r="D488" s="11" t="str">
        <f>"519888"</f>
        <v>519888</v>
      </c>
      <c r="E488" s="11" t="str">
        <f t="shared" si="69"/>
        <v>卖出</v>
      </c>
      <c r="F488" s="11" t="str">
        <f>"货币基金赎回"</f>
        <v>货币基金赎回</v>
      </c>
      <c r="G488" s="13">
        <v>0.01</v>
      </c>
      <c r="H488" s="1">
        <v>-9</v>
      </c>
      <c r="I488" s="5">
        <v>0.09</v>
      </c>
      <c r="J488" s="5">
        <v>0.09</v>
      </c>
      <c r="K488" s="1">
        <v>0</v>
      </c>
      <c r="L488" s="1" t="str">
        <f>"A280737240"</f>
        <v>A280737240</v>
      </c>
      <c r="M488" s="1" t="str">
        <f>"货币基金赎回"</f>
        <v>货币基金赎回</v>
      </c>
    </row>
    <row r="489" spans="1:13" x14ac:dyDescent="0.2">
      <c r="A489" s="3" t="str">
        <f>"7047"</f>
        <v>7047</v>
      </c>
      <c r="B489" s="4">
        <v>43243</v>
      </c>
      <c r="C489" s="11" t="s">
        <v>34</v>
      </c>
      <c r="D489" s="11">
        <v>940018</v>
      </c>
      <c r="E489" s="11" t="str">
        <f t="shared" si="69"/>
        <v>卖出</v>
      </c>
      <c r="F489" s="11" t="str">
        <f>"基金资金拨出"</f>
        <v>基金资金拨出</v>
      </c>
      <c r="G489" s="13">
        <v>0</v>
      </c>
      <c r="H489" s="1">
        <v>0</v>
      </c>
      <c r="I489" s="5">
        <v>-18691.54</v>
      </c>
      <c r="J489" s="5">
        <v>-18691.45</v>
      </c>
      <c r="K489" s="1">
        <v>0</v>
      </c>
      <c r="L489" s="1" t="str">
        <f t="shared" ref="L489:L493" si="70">" "</f>
        <v xml:space="preserve"> </v>
      </c>
      <c r="M489" s="1" t="str">
        <f>"122扣除金额 基金代码：940018,发生份额：18691.54"</f>
        <v>122扣除金额 基金代码：940018,发生份额：18691.54</v>
      </c>
    </row>
    <row r="490" spans="1:13" x14ac:dyDescent="0.2">
      <c r="A490" s="3" t="str">
        <f>"7048"</f>
        <v>7048</v>
      </c>
      <c r="B490" s="4">
        <v>43243</v>
      </c>
      <c r="C490" s="11" t="s">
        <v>34</v>
      </c>
      <c r="D490" s="11">
        <v>940018</v>
      </c>
      <c r="E490" s="11" t="str">
        <f t="shared" si="69"/>
        <v>卖出</v>
      </c>
      <c r="F490" s="11" t="str">
        <f>"基金资金拨入"</f>
        <v>基金资金拨入</v>
      </c>
      <c r="G490" s="13">
        <v>0</v>
      </c>
      <c r="H490" s="1">
        <v>0</v>
      </c>
      <c r="I490" s="5">
        <v>25126.54</v>
      </c>
      <c r="J490" s="5">
        <v>6435.09</v>
      </c>
      <c r="K490" s="1">
        <v>0</v>
      </c>
      <c r="L490" s="1" t="str">
        <f t="shared" si="70"/>
        <v xml:space="preserve"> </v>
      </c>
      <c r="M490" s="1" t="str">
        <f>"124增加金额 基金代码：940018,发生份额：25126.54"</f>
        <v>124增加金额 基金代码：940018,发生份额：25126.54</v>
      </c>
    </row>
    <row r="491" spans="1:13" x14ac:dyDescent="0.2">
      <c r="A491" s="3" t="str">
        <f>"2285"</f>
        <v>2285</v>
      </c>
      <c r="B491" s="4">
        <v>43244</v>
      </c>
      <c r="C491" s="11" t="s">
        <v>34</v>
      </c>
      <c r="D491" s="11">
        <v>940018</v>
      </c>
      <c r="E491" s="11" t="str">
        <f t="shared" si="69"/>
        <v>卖出</v>
      </c>
      <c r="F491" s="11" t="str">
        <f>"基金资金拨出"</f>
        <v>基金资金拨出</v>
      </c>
      <c r="G491" s="13">
        <v>0</v>
      </c>
      <c r="H491" s="1">
        <v>0</v>
      </c>
      <c r="I491" s="5">
        <v>-6435.09</v>
      </c>
      <c r="J491" s="5">
        <v>0</v>
      </c>
      <c r="K491" s="1">
        <v>0</v>
      </c>
      <c r="L491" s="1" t="str">
        <f t="shared" si="70"/>
        <v xml:space="preserve"> </v>
      </c>
      <c r="M491" s="1" t="str">
        <f>"122扣除金额 基金代码：940018,发生份额：6435.09"</f>
        <v>122扣除金额 基金代码：940018,发生份额：6435.09</v>
      </c>
    </row>
    <row r="492" spans="1:13" x14ac:dyDescent="0.2">
      <c r="A492" s="3" t="str">
        <f>"2224"</f>
        <v>2224</v>
      </c>
      <c r="B492" s="4">
        <v>43245</v>
      </c>
      <c r="C492" s="11" t="s">
        <v>34</v>
      </c>
      <c r="D492" s="11">
        <v>940018</v>
      </c>
      <c r="E492" s="11" t="str">
        <f t="shared" si="69"/>
        <v>卖出</v>
      </c>
      <c r="F492" s="11" t="str">
        <f>"基金资金拨出"</f>
        <v>基金资金拨出</v>
      </c>
      <c r="G492" s="13">
        <v>0</v>
      </c>
      <c r="H492" s="1">
        <v>0</v>
      </c>
      <c r="I492" s="5">
        <v>-18759.400000000001</v>
      </c>
      <c r="J492" s="5">
        <v>-18759.400000000001</v>
      </c>
      <c r="K492" s="1">
        <v>0</v>
      </c>
      <c r="L492" s="1" t="str">
        <f t="shared" si="70"/>
        <v xml:space="preserve"> </v>
      </c>
      <c r="M492" s="1" t="str">
        <f>"122扣除金额 基金代码：940018,发生份额：18759.4"</f>
        <v>122扣除金额 基金代码：940018,发生份额：18759.4</v>
      </c>
    </row>
    <row r="493" spans="1:13" x14ac:dyDescent="0.2">
      <c r="A493" s="3" t="str">
        <f>"2225"</f>
        <v>2225</v>
      </c>
      <c r="B493" s="4">
        <v>43245</v>
      </c>
      <c r="C493" s="11" t="s">
        <v>34</v>
      </c>
      <c r="D493" s="11">
        <v>940018</v>
      </c>
      <c r="E493" s="11" t="str">
        <f t="shared" si="69"/>
        <v>卖出</v>
      </c>
      <c r="F493" s="11" t="str">
        <f>"基金资金拨入"</f>
        <v>基金资金拨入</v>
      </c>
      <c r="G493" s="13">
        <v>0</v>
      </c>
      <c r="H493" s="1">
        <v>0</v>
      </c>
      <c r="I493" s="5">
        <v>25126.63</v>
      </c>
      <c r="J493" s="5">
        <v>6367.23</v>
      </c>
      <c r="K493" s="1">
        <v>0</v>
      </c>
      <c r="L493" s="1" t="str">
        <f t="shared" si="70"/>
        <v xml:space="preserve"> </v>
      </c>
      <c r="M493" s="1" t="str">
        <f>"124增加金额 基金代码：940018,发生份额：25126.63"</f>
        <v>124增加金额 基金代码：940018,发生份额：25126.63</v>
      </c>
    </row>
    <row r="494" spans="1:13" x14ac:dyDescent="0.2">
      <c r="A494" s="3" t="str">
        <f>"4580"</f>
        <v>4580</v>
      </c>
      <c r="B494" s="4">
        <v>43245</v>
      </c>
      <c r="C494" s="11" t="str">
        <f>"传媒ETF"</f>
        <v>传媒ETF</v>
      </c>
      <c r="D494" s="11" t="str">
        <f>"512980"</f>
        <v>512980</v>
      </c>
      <c r="E494" s="11" t="str">
        <f>"买入"</f>
        <v>买入</v>
      </c>
      <c r="F494" s="11" t="str">
        <f>"证券买入"</f>
        <v>证券买入</v>
      </c>
      <c r="G494" s="13">
        <v>0.94599999999999995</v>
      </c>
      <c r="H494" s="1">
        <v>6800</v>
      </c>
      <c r="I494" s="5">
        <v>-6434.09</v>
      </c>
      <c r="J494" s="5">
        <v>-66.86</v>
      </c>
      <c r="K494" s="1">
        <v>1.29</v>
      </c>
      <c r="L494" s="1" t="str">
        <f>"A280737240"</f>
        <v>A280737240</v>
      </c>
      <c r="M494" s="1" t="str">
        <f>"证券买入"</f>
        <v>证券买入</v>
      </c>
    </row>
    <row r="495" spans="1:13" x14ac:dyDescent="0.2">
      <c r="A495" s="3" t="str">
        <f>"7044"</f>
        <v>7044</v>
      </c>
      <c r="B495" s="4">
        <v>43245</v>
      </c>
      <c r="C495" s="11" t="str">
        <f>"华宝添益"</f>
        <v>华宝添益</v>
      </c>
      <c r="D495" s="11" t="str">
        <f>"511990"</f>
        <v>511990</v>
      </c>
      <c r="E495" s="11" t="str">
        <f>"买入"</f>
        <v>买入</v>
      </c>
      <c r="F495" s="11" t="str">
        <f>"红股入帐"</f>
        <v>红股入帐</v>
      </c>
      <c r="G495" s="13">
        <v>100.01900000000001</v>
      </c>
      <c r="H495" s="1">
        <v>1</v>
      </c>
      <c r="I495" s="5">
        <v>0</v>
      </c>
      <c r="J495" s="5">
        <v>-66.86</v>
      </c>
      <c r="K495" s="1">
        <v>0</v>
      </c>
      <c r="L495" s="1" t="str">
        <f>"A280737240"</f>
        <v>A280737240</v>
      </c>
      <c r="M495" s="1" t="str">
        <f>"红股入账"</f>
        <v>红股入账</v>
      </c>
    </row>
    <row r="496" spans="1:13" x14ac:dyDescent="0.2">
      <c r="A496" s="3" t="str">
        <f>"7306"</f>
        <v>7306</v>
      </c>
      <c r="B496" s="4">
        <v>43245</v>
      </c>
      <c r="C496" s="11" t="str">
        <f>"华宝油气"</f>
        <v>华宝油气</v>
      </c>
      <c r="D496" s="11" t="str">
        <f>"162411"</f>
        <v>162411</v>
      </c>
      <c r="E496" s="11" t="str">
        <f>"卖出"</f>
        <v>卖出</v>
      </c>
      <c r="F496" s="11" t="str">
        <f>"开放基金赎回返款"</f>
        <v>开放基金赎回返款</v>
      </c>
      <c r="G496" s="13">
        <v>0.68200000000000005</v>
      </c>
      <c r="H496" s="1">
        <v>0</v>
      </c>
      <c r="I496" s="5">
        <v>67.86</v>
      </c>
      <c r="J496" s="5">
        <v>1</v>
      </c>
      <c r="K496" s="1">
        <v>0.34</v>
      </c>
      <c r="L496" s="1" t="str">
        <f>"0184500716"</f>
        <v>0184500716</v>
      </c>
      <c r="M496" s="1" t="str">
        <f>"20180525|124|赎回资金交收"</f>
        <v>20180525|124|赎回资金交收</v>
      </c>
    </row>
    <row r="497" spans="1:13" x14ac:dyDescent="0.2">
      <c r="A497" s="3" t="str">
        <f>"7142"</f>
        <v>7142</v>
      </c>
      <c r="B497" s="4">
        <v>43248</v>
      </c>
      <c r="C497" s="11" t="s">
        <v>34</v>
      </c>
      <c r="D497" s="11">
        <v>940018</v>
      </c>
      <c r="E497" s="11" t="str">
        <f>"卖出"</f>
        <v>卖出</v>
      </c>
      <c r="F497" s="11" t="str">
        <f>"基金资金拨出"</f>
        <v>基金资金拨出</v>
      </c>
      <c r="G497" s="13">
        <v>0</v>
      </c>
      <c r="H497" s="1">
        <v>0</v>
      </c>
      <c r="I497" s="5">
        <v>-1</v>
      </c>
      <c r="J497" s="5">
        <v>0</v>
      </c>
      <c r="K497" s="1">
        <v>0</v>
      </c>
      <c r="L497" s="1" t="str">
        <f t="shared" ref="L497:L499" si="71">" "</f>
        <v xml:space="preserve"> </v>
      </c>
      <c r="M497" s="1" t="str">
        <f>"122扣除金额 基金代码：940018,发生份额：1"</f>
        <v>122扣除金额 基金代码：940018,发生份额：1</v>
      </c>
    </row>
    <row r="498" spans="1:13" x14ac:dyDescent="0.2">
      <c r="A498" s="3" t="str">
        <f>"2382"</f>
        <v>2382</v>
      </c>
      <c r="B498" s="4">
        <v>43250</v>
      </c>
      <c r="C498" s="11" t="s">
        <v>34</v>
      </c>
      <c r="D498" s="11">
        <v>940018</v>
      </c>
      <c r="E498" s="11" t="str">
        <f>"卖出"</f>
        <v>卖出</v>
      </c>
      <c r="F498" s="11" t="str">
        <f>"基金资金拨出"</f>
        <v>基金资金拨出</v>
      </c>
      <c r="G498" s="13">
        <v>0</v>
      </c>
      <c r="H498" s="1">
        <v>0</v>
      </c>
      <c r="I498" s="5">
        <v>-12183.25</v>
      </c>
      <c r="J498" s="5">
        <v>-12183.25</v>
      </c>
      <c r="K498" s="1">
        <v>0</v>
      </c>
      <c r="L498" s="1" t="str">
        <f t="shared" si="71"/>
        <v xml:space="preserve"> </v>
      </c>
      <c r="M498" s="1" t="str">
        <f>"122扣除金额 基金代码：940018,发生份额：12183.25"</f>
        <v>122扣除金额 基金代码：940018,发生份额：12183.25</v>
      </c>
    </row>
    <row r="499" spans="1:13" x14ac:dyDescent="0.2">
      <c r="A499" s="3" t="str">
        <f>"2383"</f>
        <v>2383</v>
      </c>
      <c r="B499" s="4">
        <v>43250</v>
      </c>
      <c r="C499" s="11" t="s">
        <v>34</v>
      </c>
      <c r="D499" s="11">
        <v>940018</v>
      </c>
      <c r="E499" s="11" t="str">
        <f>"卖出"</f>
        <v>卖出</v>
      </c>
      <c r="F499" s="11" t="str">
        <f>"基金资金拨入"</f>
        <v>基金资金拨入</v>
      </c>
      <c r="G499" s="13">
        <v>0</v>
      </c>
      <c r="H499" s="1">
        <v>0</v>
      </c>
      <c r="I499" s="5">
        <v>18789.97</v>
      </c>
      <c r="J499" s="5">
        <v>6606.72</v>
      </c>
      <c r="K499" s="1">
        <v>0</v>
      </c>
      <c r="L499" s="1" t="str">
        <f t="shared" si="71"/>
        <v xml:space="preserve"> </v>
      </c>
      <c r="M499" s="1" t="str">
        <f>"124增加金额 基金代码：940018,发生份额：18789.97"</f>
        <v>124增加金额 基金代码：940018,发生份额：18789.97</v>
      </c>
    </row>
    <row r="500" spans="1:13" x14ac:dyDescent="0.2">
      <c r="A500" s="3" t="str">
        <f>"4538"</f>
        <v>4538</v>
      </c>
      <c r="B500" s="4">
        <v>43250</v>
      </c>
      <c r="C500" s="11" t="str">
        <f>"500ETF"</f>
        <v>500ETF</v>
      </c>
      <c r="D500" s="11" t="str">
        <f>"510500"</f>
        <v>510500</v>
      </c>
      <c r="E500" s="11" t="str">
        <f>"买入"</f>
        <v>买入</v>
      </c>
      <c r="F500" s="11" t="str">
        <f>"证券买入"</f>
        <v>证券买入</v>
      </c>
      <c r="G500" s="13">
        <v>6.0039999999999996</v>
      </c>
      <c r="H500" s="1">
        <v>1100</v>
      </c>
      <c r="I500" s="5">
        <v>-6605.72</v>
      </c>
      <c r="J500" s="5">
        <v>1</v>
      </c>
      <c r="K500" s="1">
        <v>1.32</v>
      </c>
      <c r="L500" s="1" t="str">
        <f>"A280737240"</f>
        <v>A280737240</v>
      </c>
      <c r="M500" s="1" t="str">
        <f>"证券买入"</f>
        <v>证券买入</v>
      </c>
    </row>
    <row r="501" spans="1:13" x14ac:dyDescent="0.2">
      <c r="A501" s="3" t="str">
        <f>"7198"</f>
        <v>7198</v>
      </c>
      <c r="B501" s="4">
        <v>43250</v>
      </c>
      <c r="C501" s="11" t="str">
        <f>"华宝添益"</f>
        <v>华宝添益</v>
      </c>
      <c r="D501" s="11" t="str">
        <f>"511990"</f>
        <v>511990</v>
      </c>
      <c r="E501" s="11" t="str">
        <f>"买入"</f>
        <v>买入</v>
      </c>
      <c r="F501" s="11" t="str">
        <f>"红股入帐"</f>
        <v>红股入帐</v>
      </c>
      <c r="G501" s="13">
        <v>99.981999999999999</v>
      </c>
      <c r="H501" s="1">
        <v>1</v>
      </c>
      <c r="I501" s="5">
        <v>0</v>
      </c>
      <c r="J501" s="5">
        <v>1</v>
      </c>
      <c r="K501" s="1">
        <v>0</v>
      </c>
      <c r="L501" s="1" t="str">
        <f>"A280737240"</f>
        <v>A280737240</v>
      </c>
      <c r="M501" s="1" t="str">
        <f>"红股入账"</f>
        <v>红股入账</v>
      </c>
    </row>
    <row r="502" spans="1:13" x14ac:dyDescent="0.2">
      <c r="A502" s="3" t="str">
        <f>"2392"</f>
        <v>2392</v>
      </c>
      <c r="B502" s="4">
        <v>43251</v>
      </c>
      <c r="C502" s="11" t="s">
        <v>34</v>
      </c>
      <c r="D502" s="11">
        <v>940018</v>
      </c>
      <c r="E502" s="11" t="str">
        <f>"卖出"</f>
        <v>卖出</v>
      </c>
      <c r="F502" s="11" t="str">
        <f>"基金资金拨出"</f>
        <v>基金资金拨出</v>
      </c>
      <c r="G502" s="13">
        <v>0</v>
      </c>
      <c r="H502" s="1">
        <v>0</v>
      </c>
      <c r="I502" s="5">
        <v>-1</v>
      </c>
      <c r="J502" s="5">
        <v>0</v>
      </c>
      <c r="K502" s="1">
        <v>0</v>
      </c>
      <c r="L502" s="1" t="str">
        <f>" "</f>
        <v xml:space="preserve"> </v>
      </c>
      <c r="M502" s="1" t="str">
        <f>"122扣除金额 基金代码：940018,发生份额：1"</f>
        <v>122扣除金额 基金代码：940018,发生份额：1</v>
      </c>
    </row>
    <row r="503" spans="1:13" x14ac:dyDescent="0.2">
      <c r="A503" s="3" t="str">
        <f>"5850"</f>
        <v>5850</v>
      </c>
      <c r="B503" s="4">
        <v>43255</v>
      </c>
      <c r="C503" s="11" t="str">
        <f>"华宝添益"</f>
        <v>华宝添益</v>
      </c>
      <c r="D503" s="11" t="str">
        <f>"511990"</f>
        <v>511990</v>
      </c>
      <c r="E503" s="11" t="str">
        <f>"买入"</f>
        <v>买入</v>
      </c>
      <c r="F503" s="11" t="str">
        <f>"红股入帐"</f>
        <v>红股入帐</v>
      </c>
      <c r="G503" s="13">
        <v>100.005</v>
      </c>
      <c r="H503" s="1">
        <v>1</v>
      </c>
      <c r="I503" s="5">
        <v>0</v>
      </c>
      <c r="J503" s="5">
        <v>0</v>
      </c>
      <c r="K503" s="1">
        <v>0</v>
      </c>
      <c r="L503" s="1" t="str">
        <f>"A280737240"</f>
        <v>A280737240</v>
      </c>
      <c r="M503" s="1" t="str">
        <f>"红股入账"</f>
        <v>红股入账</v>
      </c>
    </row>
    <row r="504" spans="1:13" x14ac:dyDescent="0.2">
      <c r="A504" s="3" t="str">
        <f>"5562"</f>
        <v>5562</v>
      </c>
      <c r="B504" s="4">
        <v>43262</v>
      </c>
      <c r="C504" s="11" t="str">
        <f>"华宝添益"</f>
        <v>华宝添益</v>
      </c>
      <c r="D504" s="11" t="str">
        <f>"511990"</f>
        <v>511990</v>
      </c>
      <c r="E504" s="11" t="str">
        <f>"买入"</f>
        <v>买入</v>
      </c>
      <c r="F504" s="11" t="str">
        <f>"红股入帐"</f>
        <v>红股入帐</v>
      </c>
      <c r="G504" s="13">
        <v>100.00700000000001</v>
      </c>
      <c r="H504" s="1">
        <v>1</v>
      </c>
      <c r="I504" s="5">
        <v>0</v>
      </c>
      <c r="J504" s="5">
        <v>0</v>
      </c>
      <c r="K504" s="1">
        <v>0</v>
      </c>
      <c r="L504" s="1" t="str">
        <f>"A280737240"</f>
        <v>A280737240</v>
      </c>
      <c r="M504" s="1" t="str">
        <f>"红股入账"</f>
        <v>红股入账</v>
      </c>
    </row>
    <row r="505" spans="1:13" x14ac:dyDescent="0.2">
      <c r="A505" s="3" t="str">
        <f>"768"</f>
        <v>768</v>
      </c>
      <c r="B505" s="4">
        <v>43265</v>
      </c>
      <c r="C505" s="11" t="s">
        <v>34</v>
      </c>
      <c r="D505" s="11">
        <v>940018</v>
      </c>
      <c r="E505" s="11" t="str">
        <f>"卖出"</f>
        <v>卖出</v>
      </c>
      <c r="F505" s="11" t="str">
        <f>"资管转让资金上账"</f>
        <v>资管转让资金上账</v>
      </c>
      <c r="G505" s="13">
        <v>0</v>
      </c>
      <c r="H505" s="1">
        <v>0</v>
      </c>
      <c r="I505" s="5">
        <v>6400</v>
      </c>
      <c r="J505" s="5">
        <v>6400</v>
      </c>
      <c r="K505" s="1">
        <v>0</v>
      </c>
      <c r="L505" s="1" t="str">
        <f t="shared" ref="C505:L507" si="72">" "</f>
        <v xml:space="preserve"> </v>
      </c>
      <c r="M505" s="1" t="str">
        <f>"快速取现退出资金拨入,产品代码940018,对方资产账户40000545correct_balance=0"</f>
        <v>快速取现退出资金拨入,产品代码940018,对方资产账户40000545correct_balance=0</v>
      </c>
    </row>
    <row r="506" spans="1:13" x14ac:dyDescent="0.2">
      <c r="A506" s="3" t="str">
        <f>"774"</f>
        <v>774</v>
      </c>
      <c r="B506" s="4">
        <v>43265</v>
      </c>
      <c r="C506" s="11" t="str">
        <f t="shared" si="72"/>
        <v xml:space="preserve"> </v>
      </c>
      <c r="D506" s="11"/>
      <c r="E506" s="11" t="str">
        <f>"卖出"</f>
        <v>卖出</v>
      </c>
      <c r="F506" s="11" t="str">
        <f>"银行转取"</f>
        <v>银行转取</v>
      </c>
      <c r="G506" s="13">
        <v>0</v>
      </c>
      <c r="H506" s="1">
        <v>0</v>
      </c>
      <c r="I506" s="5">
        <v>-6400</v>
      </c>
      <c r="J506" s="5">
        <v>0</v>
      </c>
      <c r="K506" s="1">
        <v>0</v>
      </c>
      <c r="L506" s="1" t="str">
        <f t="shared" si="72"/>
        <v xml:space="preserve"> </v>
      </c>
      <c r="M506" s="1" t="str">
        <f>"银行返回码[ ]返回信息[0000 交易成功]|转账成功 转账账号:6225881012906292 correct_balance=6400"</f>
        <v>银行返回码[ ]返回信息[0000 交易成功]|转账成功 转账账号:6225881012906292 correct_balance=6400</v>
      </c>
    </row>
    <row r="507" spans="1:13" x14ac:dyDescent="0.2">
      <c r="A507" s="3" t="str">
        <f>"2269"</f>
        <v>2269</v>
      </c>
      <c r="B507" s="4">
        <v>43265</v>
      </c>
      <c r="C507" s="11" t="s">
        <v>34</v>
      </c>
      <c r="D507" s="11">
        <v>940018</v>
      </c>
      <c r="E507" s="11" t="str">
        <f>"卖出"</f>
        <v>卖出</v>
      </c>
      <c r="F507" s="11" t="str">
        <f>"基金资金拨出"</f>
        <v>基金资金拨出</v>
      </c>
      <c r="G507" s="13">
        <v>0</v>
      </c>
      <c r="H507" s="1">
        <v>0</v>
      </c>
      <c r="I507" s="5">
        <v>-3692.4</v>
      </c>
      <c r="J507" s="5">
        <v>-3692.4</v>
      </c>
      <c r="K507" s="1">
        <v>0</v>
      </c>
      <c r="L507" s="1" t="str">
        <f t="shared" si="72"/>
        <v xml:space="preserve"> </v>
      </c>
      <c r="M507" s="1" t="str">
        <f>"122扣除金额 基金代码：940018,发生份额：3692.4"</f>
        <v>122扣除金额 基金代码：940018,发生份额：3692.4</v>
      </c>
    </row>
    <row r="508" spans="1:13" x14ac:dyDescent="0.2">
      <c r="A508" s="3" t="str">
        <f>"3656"</f>
        <v>3656</v>
      </c>
      <c r="B508" s="4">
        <v>43265</v>
      </c>
      <c r="C508" s="11" t="str">
        <f>"银华日利"</f>
        <v>银华日利</v>
      </c>
      <c r="D508" s="11" t="str">
        <f>"511880"</f>
        <v>511880</v>
      </c>
      <c r="E508" s="11" t="str">
        <f>"卖出"</f>
        <v>卖出</v>
      </c>
      <c r="F508" s="11" t="str">
        <f>"证券卖出"</f>
        <v>证券卖出</v>
      </c>
      <c r="G508" s="13">
        <v>101.935</v>
      </c>
      <c r="H508" s="1">
        <v>-100</v>
      </c>
      <c r="I508" s="5">
        <v>10193.5</v>
      </c>
      <c r="J508" s="5">
        <v>6501.1</v>
      </c>
      <c r="K508" s="1">
        <v>0</v>
      </c>
      <c r="L508" s="1" t="str">
        <f>"A280737240"</f>
        <v>A280737240</v>
      </c>
      <c r="M508" s="1" t="str">
        <f>"证券卖出"</f>
        <v>证券卖出</v>
      </c>
    </row>
    <row r="509" spans="1:13" x14ac:dyDescent="0.2">
      <c r="A509" s="3" t="str">
        <f>"3657"</f>
        <v>3657</v>
      </c>
      <c r="B509" s="4">
        <v>43265</v>
      </c>
      <c r="C509" s="11" t="str">
        <f>"500ETF"</f>
        <v>500ETF</v>
      </c>
      <c r="D509" s="11" t="str">
        <f>"510500"</f>
        <v>510500</v>
      </c>
      <c r="E509" s="11" t="str">
        <f>"买入"</f>
        <v>买入</v>
      </c>
      <c r="F509" s="11" t="str">
        <f>"证券买入"</f>
        <v>证券买入</v>
      </c>
      <c r="G509" s="13">
        <v>5.9080000000000004</v>
      </c>
      <c r="H509" s="1">
        <v>1100</v>
      </c>
      <c r="I509" s="5">
        <v>-6500.1</v>
      </c>
      <c r="J509" s="5">
        <v>1</v>
      </c>
      <c r="K509" s="1">
        <v>1.3</v>
      </c>
      <c r="L509" s="1" t="str">
        <f>"A280737240"</f>
        <v>A280737240</v>
      </c>
      <c r="M509" s="1" t="str">
        <f>"证券买入"</f>
        <v>证券买入</v>
      </c>
    </row>
    <row r="510" spans="1:13" x14ac:dyDescent="0.2">
      <c r="A510" s="3" t="str">
        <f>"5756"</f>
        <v>5756</v>
      </c>
      <c r="B510" s="4">
        <v>43265</v>
      </c>
      <c r="C510" s="11" t="str">
        <f>"华宝添益"</f>
        <v>华宝添益</v>
      </c>
      <c r="D510" s="11" t="str">
        <f>"511990"</f>
        <v>511990</v>
      </c>
      <c r="E510" s="11" t="str">
        <f>"买入"</f>
        <v>买入</v>
      </c>
      <c r="F510" s="11" t="str">
        <f>"红股入帐"</f>
        <v>红股入帐</v>
      </c>
      <c r="G510" s="13">
        <v>99.998999999999995</v>
      </c>
      <c r="H510" s="1">
        <v>1</v>
      </c>
      <c r="I510" s="5">
        <v>0</v>
      </c>
      <c r="J510" s="5">
        <v>1</v>
      </c>
      <c r="K510" s="1">
        <v>0</v>
      </c>
      <c r="L510" s="1" t="str">
        <f>"A280737240"</f>
        <v>A280737240</v>
      </c>
      <c r="M510" s="1" t="str">
        <f>"红股入账"</f>
        <v>红股入账</v>
      </c>
    </row>
    <row r="511" spans="1:13" x14ac:dyDescent="0.2">
      <c r="A511" s="3" t="str">
        <f>"2486"</f>
        <v>2486</v>
      </c>
      <c r="B511" s="4">
        <v>43266</v>
      </c>
      <c r="C511" s="11" t="s">
        <v>34</v>
      </c>
      <c r="D511" s="11">
        <v>940018</v>
      </c>
      <c r="E511" s="11" t="str">
        <f>"卖出"</f>
        <v>卖出</v>
      </c>
      <c r="F511" s="11" t="str">
        <f>"基金资金拨出"</f>
        <v>基金资金拨出</v>
      </c>
      <c r="G511" s="13">
        <v>0</v>
      </c>
      <c r="H511" s="1">
        <v>0</v>
      </c>
      <c r="I511" s="5">
        <v>-10857.67</v>
      </c>
      <c r="J511" s="5">
        <v>-10856.67</v>
      </c>
      <c r="K511" s="1">
        <v>0</v>
      </c>
      <c r="L511" s="1" t="str">
        <f>" "</f>
        <v xml:space="preserve"> </v>
      </c>
      <c r="M511" s="1" t="str">
        <f>"122扣除金额 基金代码：940018,发生份额：10857.67"</f>
        <v>122扣除金额 基金代码：940018,发生份额：10857.67</v>
      </c>
    </row>
    <row r="512" spans="1:13" x14ac:dyDescent="0.2">
      <c r="A512" s="3" t="str">
        <f>"4970"</f>
        <v>4970</v>
      </c>
      <c r="B512" s="4">
        <v>43266</v>
      </c>
      <c r="C512" s="11" t="str">
        <f>"华宝添益"</f>
        <v>华宝添益</v>
      </c>
      <c r="D512" s="11" t="str">
        <f>"511990"</f>
        <v>511990</v>
      </c>
      <c r="E512" s="11" t="str">
        <f>"卖出"</f>
        <v>卖出</v>
      </c>
      <c r="F512" s="11" t="str">
        <f>"证券卖出"</f>
        <v>证券卖出</v>
      </c>
      <c r="G512" s="13">
        <v>100.01600000000001</v>
      </c>
      <c r="H512" s="1">
        <v>-300</v>
      </c>
      <c r="I512" s="5">
        <v>30004.799999999999</v>
      </c>
      <c r="J512" s="5">
        <v>19148.13</v>
      </c>
      <c r="K512" s="1">
        <v>0</v>
      </c>
      <c r="L512" s="1" t="str">
        <f>"A280737240"</f>
        <v>A280737240</v>
      </c>
      <c r="M512" s="1" t="str">
        <f>"证券卖出"</f>
        <v>证券卖出</v>
      </c>
    </row>
    <row r="513" spans="1:13" x14ac:dyDescent="0.2">
      <c r="A513" s="3" t="str">
        <f>"4971"</f>
        <v>4971</v>
      </c>
      <c r="B513" s="4">
        <v>43266</v>
      </c>
      <c r="C513" s="11" t="str">
        <f>"500ETF"</f>
        <v>500ETF</v>
      </c>
      <c r="D513" s="11" t="str">
        <f>"510500"</f>
        <v>510500</v>
      </c>
      <c r="E513" s="11" t="str">
        <f>"买入"</f>
        <v>买入</v>
      </c>
      <c r="F513" s="11" t="str">
        <f>"证券买入"</f>
        <v>证券买入</v>
      </c>
      <c r="G513" s="13">
        <v>5.8010000000000002</v>
      </c>
      <c r="H513" s="1">
        <v>3300</v>
      </c>
      <c r="I513" s="5">
        <v>-19147.13</v>
      </c>
      <c r="J513" s="5">
        <v>1</v>
      </c>
      <c r="K513" s="1">
        <v>3.83</v>
      </c>
      <c r="L513" s="1" t="str">
        <f>"A280737240"</f>
        <v>A280737240</v>
      </c>
      <c r="M513" s="1" t="str">
        <f>"证券买入"</f>
        <v>证券买入</v>
      </c>
    </row>
    <row r="514" spans="1:13" x14ac:dyDescent="0.2">
      <c r="A514" s="3" t="str">
        <f>"966"</f>
        <v>966</v>
      </c>
      <c r="B514" s="4">
        <v>43270</v>
      </c>
      <c r="C514" s="11" t="s">
        <v>34</v>
      </c>
      <c r="D514" s="11">
        <v>940018</v>
      </c>
      <c r="E514" s="11" t="str">
        <f>"卖出"</f>
        <v>卖出</v>
      </c>
      <c r="F514" s="11" t="str">
        <f>"资管转让资金上账"</f>
        <v>资管转让资金上账</v>
      </c>
      <c r="G514" s="13">
        <v>0</v>
      </c>
      <c r="H514" s="1">
        <v>0</v>
      </c>
      <c r="I514" s="5">
        <v>12799</v>
      </c>
      <c r="J514" s="5">
        <v>12800</v>
      </c>
      <c r="K514" s="1">
        <v>0</v>
      </c>
      <c r="L514" s="1" t="str">
        <f t="shared" ref="C514:L517" si="73">" "</f>
        <v xml:space="preserve"> </v>
      </c>
      <c r="M514" s="1" t="str">
        <f>"快速取现退出资金拨入,产品代码940018,对方资产账户40000545correct_balance=0"</f>
        <v>快速取现退出资金拨入,产品代码940018,对方资产账户40000545correct_balance=0</v>
      </c>
    </row>
    <row r="515" spans="1:13" x14ac:dyDescent="0.2">
      <c r="A515" s="3" t="str">
        <f>"969"</f>
        <v>969</v>
      </c>
      <c r="B515" s="4">
        <v>43270</v>
      </c>
      <c r="C515" s="11" t="str">
        <f t="shared" si="73"/>
        <v xml:space="preserve"> </v>
      </c>
      <c r="D515" s="11"/>
      <c r="E515" s="11" t="str">
        <f>"卖出"</f>
        <v>卖出</v>
      </c>
      <c r="F515" s="11" t="str">
        <f>"银行转取"</f>
        <v>银行转取</v>
      </c>
      <c r="G515" s="13">
        <v>0</v>
      </c>
      <c r="H515" s="1">
        <v>0</v>
      </c>
      <c r="I515" s="5">
        <v>-12800</v>
      </c>
      <c r="J515" s="5">
        <v>0</v>
      </c>
      <c r="K515" s="1">
        <v>0</v>
      </c>
      <c r="L515" s="1" t="str">
        <f t="shared" si="73"/>
        <v xml:space="preserve"> </v>
      </c>
      <c r="M515" s="1" t="str">
        <f>"银行返回码[ ]返回信息[0000 交易成功]|转账成功 转账账号:6225881012906292 correct_balance=12800"</f>
        <v>银行返回码[ ]返回信息[0000 交易成功]|转账成功 转账账号:6225881012906292 correct_balance=12800</v>
      </c>
    </row>
    <row r="516" spans="1:13" x14ac:dyDescent="0.2">
      <c r="A516" s="3" t="str">
        <f>"993"</f>
        <v>993</v>
      </c>
      <c r="B516" s="4">
        <v>43270</v>
      </c>
      <c r="C516" s="11" t="str">
        <f t="shared" si="73"/>
        <v xml:space="preserve"> </v>
      </c>
      <c r="D516" s="11"/>
      <c r="E516" s="11" t="str">
        <f>"卖出"</f>
        <v>卖出</v>
      </c>
      <c r="F516" s="11" t="str">
        <f>"银行转存"</f>
        <v>银行转存</v>
      </c>
      <c r="G516" s="13">
        <v>0</v>
      </c>
      <c r="H516" s="1">
        <v>0</v>
      </c>
      <c r="I516" s="5">
        <v>2000</v>
      </c>
      <c r="J516" s="5">
        <v>2000</v>
      </c>
      <c r="K516" s="1">
        <v>0</v>
      </c>
      <c r="L516" s="1" t="str">
        <f t="shared" si="73"/>
        <v xml:space="preserve"> </v>
      </c>
      <c r="M516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17" spans="1:13" x14ac:dyDescent="0.2">
      <c r="A517" s="3" t="str">
        <f>"2613"</f>
        <v>2613</v>
      </c>
      <c r="B517" s="4">
        <v>43270</v>
      </c>
      <c r="C517" s="11" t="s">
        <v>34</v>
      </c>
      <c r="D517" s="11">
        <v>940018</v>
      </c>
      <c r="E517" s="11" t="str">
        <f>"卖出"</f>
        <v>卖出</v>
      </c>
      <c r="F517" s="11" t="str">
        <f>"基金资金拨出"</f>
        <v>基金资金拨出</v>
      </c>
      <c r="G517" s="13">
        <v>0</v>
      </c>
      <c r="H517" s="1">
        <v>0</v>
      </c>
      <c r="I517" s="5">
        <v>-42.47</v>
      </c>
      <c r="J517" s="5">
        <v>1957.53</v>
      </c>
      <c r="K517" s="1">
        <v>0</v>
      </c>
      <c r="L517" s="1" t="str">
        <f t="shared" si="73"/>
        <v xml:space="preserve"> </v>
      </c>
      <c r="M517" s="1" t="str">
        <f>"122扣除金额 基金代码：940018,发生份额：42.47"</f>
        <v>122扣除金额 基金代码：940018,发生份额：42.47</v>
      </c>
    </row>
    <row r="518" spans="1:13" x14ac:dyDescent="0.2">
      <c r="A518" s="3" t="str">
        <f>"4047"</f>
        <v>4047</v>
      </c>
      <c r="B518" s="4">
        <v>43270</v>
      </c>
      <c r="C518" s="11" t="str">
        <f>"银华日利"</f>
        <v>银华日利</v>
      </c>
      <c r="D518" s="11" t="str">
        <f>"511880"</f>
        <v>511880</v>
      </c>
      <c r="E518" s="11" t="str">
        <f>"卖出"</f>
        <v>卖出</v>
      </c>
      <c r="F518" s="11" t="str">
        <f>"证券卖出"</f>
        <v>证券卖出</v>
      </c>
      <c r="G518" s="13">
        <v>101.962</v>
      </c>
      <c r="H518" s="1">
        <v>-100</v>
      </c>
      <c r="I518" s="5">
        <v>10196.200000000001</v>
      </c>
      <c r="J518" s="5">
        <v>12153.73</v>
      </c>
      <c r="K518" s="1">
        <v>0</v>
      </c>
      <c r="L518" s="1" t="str">
        <f t="shared" ref="L518:L524" si="74">"A280737240"</f>
        <v>A280737240</v>
      </c>
      <c r="M518" s="1" t="str">
        <f>"证券卖出"</f>
        <v>证券卖出</v>
      </c>
    </row>
    <row r="519" spans="1:13" x14ac:dyDescent="0.2">
      <c r="A519" s="3" t="str">
        <f>"4048"</f>
        <v>4048</v>
      </c>
      <c r="B519" s="4">
        <v>43270</v>
      </c>
      <c r="C519" s="11" t="str">
        <f>"证券ETF"</f>
        <v>证券ETF</v>
      </c>
      <c r="D519" s="11" t="str">
        <f>"512880"</f>
        <v>512880</v>
      </c>
      <c r="E519" s="11" t="str">
        <f>"买入"</f>
        <v>买入</v>
      </c>
      <c r="F519" s="11" t="str">
        <f>"证券买入"</f>
        <v>证券买入</v>
      </c>
      <c r="G519" s="13">
        <v>0.76900000000000002</v>
      </c>
      <c r="H519" s="1">
        <v>8300</v>
      </c>
      <c r="I519" s="5">
        <v>-6383.98</v>
      </c>
      <c r="J519" s="5">
        <v>5769.75</v>
      </c>
      <c r="K519" s="1">
        <v>1.28</v>
      </c>
      <c r="L519" s="1" t="str">
        <f t="shared" si="74"/>
        <v>A280737240</v>
      </c>
      <c r="M519" s="1" t="str">
        <f>"证券买入"</f>
        <v>证券买入</v>
      </c>
    </row>
    <row r="520" spans="1:13" x14ac:dyDescent="0.2">
      <c r="A520" s="3" t="str">
        <f>"4049"</f>
        <v>4049</v>
      </c>
      <c r="B520" s="4">
        <v>43270</v>
      </c>
      <c r="C520" s="11" t="str">
        <f>"500ETF"</f>
        <v>500ETF</v>
      </c>
      <c r="D520" s="11" t="str">
        <f>"510500"</f>
        <v>510500</v>
      </c>
      <c r="E520" s="11" t="str">
        <f>"买入"</f>
        <v>买入</v>
      </c>
      <c r="F520" s="11" t="str">
        <f>"证券买入"</f>
        <v>证券买入</v>
      </c>
      <c r="G520" s="13">
        <v>5.5250000000000004</v>
      </c>
      <c r="H520" s="1">
        <v>2300</v>
      </c>
      <c r="I520" s="5">
        <v>-12710.04</v>
      </c>
      <c r="J520" s="5">
        <v>-6940.29</v>
      </c>
      <c r="K520" s="1">
        <v>2.54</v>
      </c>
      <c r="L520" s="1" t="str">
        <f t="shared" si="74"/>
        <v>A280737240</v>
      </c>
      <c r="M520" s="1" t="str">
        <f>"证券买入"</f>
        <v>证券买入</v>
      </c>
    </row>
    <row r="521" spans="1:13" x14ac:dyDescent="0.2">
      <c r="A521" s="3" t="str">
        <f>"4050"</f>
        <v>4050</v>
      </c>
      <c r="B521" s="4">
        <v>43270</v>
      </c>
      <c r="C521" s="11" t="str">
        <f>"华宝添益"</f>
        <v>华宝添益</v>
      </c>
      <c r="D521" s="11" t="str">
        <f>"511990"</f>
        <v>511990</v>
      </c>
      <c r="E521" s="11" t="str">
        <f>"卖出"</f>
        <v>卖出</v>
      </c>
      <c r="F521" s="11" t="str">
        <f>"证券卖出"</f>
        <v>证券卖出</v>
      </c>
      <c r="G521" s="13">
        <v>99.983000000000004</v>
      </c>
      <c r="H521" s="1">
        <v>-100</v>
      </c>
      <c r="I521" s="5">
        <v>9998.2999999999993</v>
      </c>
      <c r="J521" s="5">
        <v>3058.01</v>
      </c>
      <c r="K521" s="1">
        <v>0</v>
      </c>
      <c r="L521" s="1" t="str">
        <f t="shared" si="74"/>
        <v>A280737240</v>
      </c>
      <c r="M521" s="1" t="str">
        <f>"证券卖出"</f>
        <v>证券卖出</v>
      </c>
    </row>
    <row r="522" spans="1:13" x14ac:dyDescent="0.2">
      <c r="A522" s="3" t="str">
        <f>"4051"</f>
        <v>4051</v>
      </c>
      <c r="B522" s="4">
        <v>43270</v>
      </c>
      <c r="C522" s="11" t="str">
        <f>"华宝添益"</f>
        <v>华宝添益</v>
      </c>
      <c r="D522" s="11" t="str">
        <f>"511990"</f>
        <v>511990</v>
      </c>
      <c r="E522" s="11" t="str">
        <f>"卖出"</f>
        <v>卖出</v>
      </c>
      <c r="F522" s="11" t="str">
        <f>"证券卖出"</f>
        <v>证券卖出</v>
      </c>
      <c r="G522" s="13">
        <v>99.986000000000004</v>
      </c>
      <c r="H522" s="1">
        <v>-100</v>
      </c>
      <c r="I522" s="5">
        <v>9998.6</v>
      </c>
      <c r="J522" s="5">
        <v>13056.61</v>
      </c>
      <c r="K522" s="1">
        <v>0</v>
      </c>
      <c r="L522" s="1" t="str">
        <f t="shared" si="74"/>
        <v>A280737240</v>
      </c>
      <c r="M522" s="1" t="str">
        <f>"证券卖出"</f>
        <v>证券卖出</v>
      </c>
    </row>
    <row r="523" spans="1:13" x14ac:dyDescent="0.2">
      <c r="A523" s="3" t="str">
        <f>"4052"</f>
        <v>4052</v>
      </c>
      <c r="B523" s="4">
        <v>43270</v>
      </c>
      <c r="C523" s="11" t="str">
        <f>"300ETF"</f>
        <v>300ETF</v>
      </c>
      <c r="D523" s="11" t="str">
        <f>"510300"</f>
        <v>510300</v>
      </c>
      <c r="E523" s="11" t="str">
        <f>"买入"</f>
        <v>买入</v>
      </c>
      <c r="F523" s="11" t="str">
        <f>"证券买入"</f>
        <v>证券买入</v>
      </c>
      <c r="G523" s="13">
        <v>3.6429999999999998</v>
      </c>
      <c r="H523" s="1">
        <v>1800</v>
      </c>
      <c r="I523" s="5">
        <v>-6558.71</v>
      </c>
      <c r="J523" s="5">
        <v>6497.9</v>
      </c>
      <c r="K523" s="1">
        <v>1.31</v>
      </c>
      <c r="L523" s="1" t="str">
        <f t="shared" si="74"/>
        <v>A280737240</v>
      </c>
      <c r="M523" s="1" t="str">
        <f>"证券买入"</f>
        <v>证券买入</v>
      </c>
    </row>
    <row r="524" spans="1:13" x14ac:dyDescent="0.2">
      <c r="A524" s="3" t="str">
        <f>"4053"</f>
        <v>4053</v>
      </c>
      <c r="B524" s="4">
        <v>43270</v>
      </c>
      <c r="C524" s="11" t="str">
        <f>"500ETF"</f>
        <v>500ETF</v>
      </c>
      <c r="D524" s="11" t="str">
        <f>"510500"</f>
        <v>510500</v>
      </c>
      <c r="E524" s="11" t="str">
        <f>"买入"</f>
        <v>买入</v>
      </c>
      <c r="F524" s="11" t="str">
        <f>"证券买入"</f>
        <v>证券买入</v>
      </c>
      <c r="G524" s="13">
        <v>5.4130000000000003</v>
      </c>
      <c r="H524" s="1">
        <v>1200</v>
      </c>
      <c r="I524" s="5">
        <v>-6496.9</v>
      </c>
      <c r="J524" s="5">
        <v>1</v>
      </c>
      <c r="K524" s="1">
        <v>1.3</v>
      </c>
      <c r="L524" s="1" t="str">
        <f t="shared" si="74"/>
        <v>A280737240</v>
      </c>
      <c r="M524" s="1" t="str">
        <f>"证券买入"</f>
        <v>证券买入</v>
      </c>
    </row>
    <row r="525" spans="1:13" x14ac:dyDescent="0.2">
      <c r="A525" s="3" t="str">
        <f>"2417"</f>
        <v>2417</v>
      </c>
      <c r="B525" s="4">
        <v>43271</v>
      </c>
      <c r="C525" s="11" t="s">
        <v>34</v>
      </c>
      <c r="D525" s="11">
        <v>940018</v>
      </c>
      <c r="E525" s="11" t="str">
        <f>"卖出"</f>
        <v>卖出</v>
      </c>
      <c r="F525" s="11" t="str">
        <f>"基金资金拨出"</f>
        <v>基金资金拨出</v>
      </c>
      <c r="G525" s="13">
        <v>0</v>
      </c>
      <c r="H525" s="1">
        <v>0</v>
      </c>
      <c r="I525" s="5">
        <v>-1117.3</v>
      </c>
      <c r="J525" s="5">
        <v>-1116.3</v>
      </c>
      <c r="K525" s="1">
        <v>0</v>
      </c>
      <c r="L525" s="1" t="str">
        <f t="shared" ref="L525:L526" si="75">" "</f>
        <v xml:space="preserve"> </v>
      </c>
      <c r="M525" s="1" t="str">
        <f>"122扣除金额 基金代码：940018,发生份额：1117.3"</f>
        <v>122扣除金额 基金代码：940018,发生份额：1117.3</v>
      </c>
    </row>
    <row r="526" spans="1:13" x14ac:dyDescent="0.2">
      <c r="A526" s="3" t="str">
        <f>"2418"</f>
        <v>2418</v>
      </c>
      <c r="B526" s="4">
        <v>43271</v>
      </c>
      <c r="C526" s="11" t="s">
        <v>34</v>
      </c>
      <c r="D526" s="11">
        <v>940018</v>
      </c>
      <c r="E526" s="11" t="str">
        <f>"卖出"</f>
        <v>卖出</v>
      </c>
      <c r="F526" s="11" t="str">
        <f>"基金资金拨入"</f>
        <v>基金资金拨入</v>
      </c>
      <c r="G526" s="13">
        <v>0</v>
      </c>
      <c r="H526" s="1">
        <v>0</v>
      </c>
      <c r="I526" s="5">
        <v>7577.79</v>
      </c>
      <c r="J526" s="5">
        <v>6461.49</v>
      </c>
      <c r="K526" s="1">
        <v>0</v>
      </c>
      <c r="L526" s="1" t="str">
        <f t="shared" si="75"/>
        <v xml:space="preserve"> </v>
      </c>
      <c r="M526" s="1" t="str">
        <f>"124增加金额 基金代码：940018,发生份额：7577.79"</f>
        <v>124增加金额 基金代码：940018,发生份额：7577.79</v>
      </c>
    </row>
    <row r="527" spans="1:13" x14ac:dyDescent="0.2">
      <c r="A527" s="3" t="str">
        <f>"6655"</f>
        <v>6655</v>
      </c>
      <c r="B527" s="4">
        <v>43271</v>
      </c>
      <c r="C527" s="11" t="str">
        <f>"创业板"</f>
        <v>创业板</v>
      </c>
      <c r="D527" s="11" t="str">
        <f>"159915"</f>
        <v>159915</v>
      </c>
      <c r="E527" s="11" t="str">
        <f>"买入"</f>
        <v>买入</v>
      </c>
      <c r="F527" s="11" t="str">
        <f>"证券买入"</f>
        <v>证券买入</v>
      </c>
      <c r="G527" s="13">
        <v>1.468</v>
      </c>
      <c r="H527" s="1">
        <v>4400</v>
      </c>
      <c r="I527" s="5">
        <v>-6460.49</v>
      </c>
      <c r="J527" s="5">
        <v>1</v>
      </c>
      <c r="K527" s="1">
        <v>1.29</v>
      </c>
      <c r="L527" s="1" t="str">
        <f>"0184500716"</f>
        <v>0184500716</v>
      </c>
      <c r="M527" s="1" t="str">
        <f>"证券买入"</f>
        <v>证券买入</v>
      </c>
    </row>
    <row r="528" spans="1:13" x14ac:dyDescent="0.2">
      <c r="A528" s="3" t="str">
        <f>"7214"</f>
        <v>7214</v>
      </c>
      <c r="B528" s="4">
        <v>43271</v>
      </c>
      <c r="C528" s="11" t="str">
        <f>"华宝添益"</f>
        <v>华宝添益</v>
      </c>
      <c r="D528" s="11" t="str">
        <f>"511990"</f>
        <v>511990</v>
      </c>
      <c r="E528" s="11" t="str">
        <f>"买入"</f>
        <v>买入</v>
      </c>
      <c r="F528" s="11" t="str">
        <f>"红股入帐"</f>
        <v>红股入帐</v>
      </c>
      <c r="G528" s="13">
        <v>99.998999999999995</v>
      </c>
      <c r="H528" s="1">
        <v>1</v>
      </c>
      <c r="I528" s="5">
        <v>0</v>
      </c>
      <c r="J528" s="5">
        <v>1</v>
      </c>
      <c r="K528" s="1">
        <v>0</v>
      </c>
      <c r="L528" s="1" t="str">
        <f>"A280737240"</f>
        <v>A280737240</v>
      </c>
      <c r="M528" s="1" t="str">
        <f>"红股入账"</f>
        <v>红股入账</v>
      </c>
    </row>
    <row r="529" spans="1:13" x14ac:dyDescent="0.2">
      <c r="A529" s="3" t="str">
        <f>"6064"</f>
        <v>6064</v>
      </c>
      <c r="B529" s="4">
        <v>43272</v>
      </c>
      <c r="C529" s="11" t="str">
        <f t="shared" ref="C529:L531" si="76">" "</f>
        <v xml:space="preserve"> </v>
      </c>
      <c r="D529" s="11"/>
      <c r="E529" s="11" t="str">
        <f>"卖出"</f>
        <v>卖出</v>
      </c>
      <c r="F529" s="11" t="str">
        <f>"利息归本"</f>
        <v>利息归本</v>
      </c>
      <c r="G529" s="13">
        <v>0</v>
      </c>
      <c r="H529" s="1">
        <v>0</v>
      </c>
      <c r="I529" s="5">
        <v>0.06</v>
      </c>
      <c r="J529" s="5">
        <v>1.06</v>
      </c>
      <c r="K529" s="1">
        <v>0</v>
      </c>
      <c r="L529" s="1" t="str">
        <f t="shared" si="76"/>
        <v xml:space="preserve"> </v>
      </c>
      <c r="M529" s="1" t="str">
        <f>" 利息归本: 归本利息为 0.06correct_balance=0"</f>
        <v xml:space="preserve"> 利息归本: 归本利息为 0.06correct_balance=0</v>
      </c>
    </row>
    <row r="530" spans="1:13" x14ac:dyDescent="0.2">
      <c r="A530" s="3" t="str">
        <f>"9527"</f>
        <v>9527</v>
      </c>
      <c r="B530" s="4">
        <v>43272</v>
      </c>
      <c r="C530" s="11" t="s">
        <v>34</v>
      </c>
      <c r="D530" s="11">
        <v>940018</v>
      </c>
      <c r="E530" s="11" t="str">
        <f>"卖出"</f>
        <v>卖出</v>
      </c>
      <c r="F530" s="11" t="str">
        <f>"基金资金拨出"</f>
        <v>基金资金拨出</v>
      </c>
      <c r="G530" s="13">
        <v>0</v>
      </c>
      <c r="H530" s="1">
        <v>0</v>
      </c>
      <c r="I530" s="5">
        <v>-1</v>
      </c>
      <c r="J530" s="5">
        <v>0.06</v>
      </c>
      <c r="K530" s="1">
        <v>0</v>
      </c>
      <c r="L530" s="1" t="str">
        <f t="shared" si="76"/>
        <v xml:space="preserve"> </v>
      </c>
      <c r="M530" s="1" t="str">
        <f>"122扣除金额 基金代码：940018,发生份额：1"</f>
        <v>122扣除金额 基金代码：940018,发生份额：1</v>
      </c>
    </row>
    <row r="531" spans="1:13" x14ac:dyDescent="0.2">
      <c r="A531" s="3" t="str">
        <f>"7763"</f>
        <v>7763</v>
      </c>
      <c r="B531" s="4">
        <v>43273</v>
      </c>
      <c r="C531" s="11" t="s">
        <v>34</v>
      </c>
      <c r="D531" s="11">
        <v>940018</v>
      </c>
      <c r="E531" s="11" t="str">
        <f>"卖出"</f>
        <v>卖出</v>
      </c>
      <c r="F531" s="11" t="str">
        <f>"基金资金拨出"</f>
        <v>基金资金拨出</v>
      </c>
      <c r="G531" s="13">
        <v>0</v>
      </c>
      <c r="H531" s="1">
        <v>0</v>
      </c>
      <c r="I531" s="5">
        <v>-0.06</v>
      </c>
      <c r="J531" s="5">
        <v>0</v>
      </c>
      <c r="K531" s="1">
        <v>0</v>
      </c>
      <c r="L531" s="1" t="str">
        <f t="shared" si="76"/>
        <v xml:space="preserve"> </v>
      </c>
      <c r="M531" s="1" t="str">
        <f>"122扣除金额 基金代码：940018,发生份额：.06"</f>
        <v>122扣除金额 基金代码：940018,发生份额：.06</v>
      </c>
    </row>
    <row r="532" spans="1:13" x14ac:dyDescent="0.2">
      <c r="A532" s="3" t="str">
        <f>"6828"</f>
        <v>6828</v>
      </c>
      <c r="B532" s="4">
        <v>43278</v>
      </c>
      <c r="C532" s="11" t="str">
        <f>"华宝添益"</f>
        <v>华宝添益</v>
      </c>
      <c r="D532" s="11" t="str">
        <f>"511990"</f>
        <v>511990</v>
      </c>
      <c r="E532" s="11" t="str">
        <f>"买入"</f>
        <v>买入</v>
      </c>
      <c r="F532" s="11" t="str">
        <f>"红股入帐"</f>
        <v>红股入帐</v>
      </c>
      <c r="G532" s="13">
        <v>99.971999999999994</v>
      </c>
      <c r="H532" s="1">
        <v>1</v>
      </c>
      <c r="I532" s="5">
        <v>0</v>
      </c>
      <c r="J532" s="5">
        <v>0</v>
      </c>
      <c r="K532" s="1">
        <v>0</v>
      </c>
      <c r="L532" s="1" t="str">
        <f>"A280737240"</f>
        <v>A280737240</v>
      </c>
      <c r="M532" s="1" t="str">
        <f>"红股入账"</f>
        <v>红股入账</v>
      </c>
    </row>
    <row r="533" spans="1:13" x14ac:dyDescent="0.2">
      <c r="A533" s="3" t="str">
        <f>"1908"</f>
        <v>1908</v>
      </c>
      <c r="B533" s="4">
        <v>43279</v>
      </c>
      <c r="C533" s="11" t="str">
        <f>"银华日利"</f>
        <v>银华日利</v>
      </c>
      <c r="D533" s="11" t="str">
        <f>"511880"</f>
        <v>511880</v>
      </c>
      <c r="E533" s="11" t="str">
        <f>"卖出"</f>
        <v>卖出</v>
      </c>
      <c r="F533" s="11" t="str">
        <f>"证券卖出"</f>
        <v>证券卖出</v>
      </c>
      <c r="G533" s="13">
        <v>102.009</v>
      </c>
      <c r="H533" s="1">
        <v>-300</v>
      </c>
      <c r="I533" s="5">
        <v>30602.7</v>
      </c>
      <c r="J533" s="5">
        <v>30602.7</v>
      </c>
      <c r="K533" s="1">
        <v>0</v>
      </c>
      <c r="L533" s="1" t="str">
        <f>"A280737240"</f>
        <v>A280737240</v>
      </c>
      <c r="M533" s="1" t="str">
        <f>"证券卖出"</f>
        <v>证券卖出</v>
      </c>
    </row>
    <row r="534" spans="1:13" x14ac:dyDescent="0.2">
      <c r="A534" s="3" t="str">
        <f>"1909"</f>
        <v>1909</v>
      </c>
      <c r="B534" s="4">
        <v>43279</v>
      </c>
      <c r="C534" s="11" t="str">
        <f>"300ETF"</f>
        <v>300ETF</v>
      </c>
      <c r="D534" s="11" t="str">
        <f>"510300"</f>
        <v>510300</v>
      </c>
      <c r="E534" s="11" t="str">
        <f>"买入"</f>
        <v>买入</v>
      </c>
      <c r="F534" s="11" t="str">
        <f>"证券买入"</f>
        <v>证券买入</v>
      </c>
      <c r="G534" s="13">
        <v>3.448</v>
      </c>
      <c r="H534" s="1">
        <v>1800</v>
      </c>
      <c r="I534" s="5">
        <v>-6207.64</v>
      </c>
      <c r="J534" s="5">
        <v>24395.06</v>
      </c>
      <c r="K534" s="1">
        <v>1.24</v>
      </c>
      <c r="L534" s="1" t="str">
        <f>"A280737240"</f>
        <v>A280737240</v>
      </c>
      <c r="M534" s="1" t="str">
        <f>"证券买入"</f>
        <v>证券买入</v>
      </c>
    </row>
    <row r="535" spans="1:13" x14ac:dyDescent="0.2">
      <c r="A535" s="3" t="str">
        <f>"1910"</f>
        <v>1910</v>
      </c>
      <c r="B535" s="4">
        <v>43279</v>
      </c>
      <c r="C535" s="11" t="str">
        <f>"环保ETF"</f>
        <v>环保ETF</v>
      </c>
      <c r="D535" s="11" t="str">
        <f>"512580"</f>
        <v>512580</v>
      </c>
      <c r="E535" s="11" t="str">
        <f>"买入"</f>
        <v>买入</v>
      </c>
      <c r="F535" s="11" t="str">
        <f>"证券买入"</f>
        <v>证券买入</v>
      </c>
      <c r="G535" s="13">
        <v>0.76400000000000001</v>
      </c>
      <c r="H535" s="1">
        <v>8400</v>
      </c>
      <c r="I535" s="5">
        <v>-6418.88</v>
      </c>
      <c r="J535" s="5">
        <v>17976.18</v>
      </c>
      <c r="K535" s="1">
        <v>1.28</v>
      </c>
      <c r="L535" s="1" t="str">
        <f>"A280737240"</f>
        <v>A280737240</v>
      </c>
      <c r="M535" s="1" t="str">
        <f>"证券买入"</f>
        <v>证券买入</v>
      </c>
    </row>
    <row r="536" spans="1:13" x14ac:dyDescent="0.2">
      <c r="A536" s="3" t="str">
        <f>"3514"</f>
        <v>3514</v>
      </c>
      <c r="B536" s="4">
        <v>43279</v>
      </c>
      <c r="C536" s="11" t="s">
        <v>34</v>
      </c>
      <c r="D536" s="11">
        <v>940018</v>
      </c>
      <c r="E536" s="11" t="str">
        <f t="shared" ref="E536:E546" si="77">"卖出"</f>
        <v>卖出</v>
      </c>
      <c r="F536" s="11" t="str">
        <f>"基金资金拨出"</f>
        <v>基金资金拨出</v>
      </c>
      <c r="G536" s="13">
        <v>0</v>
      </c>
      <c r="H536" s="1">
        <v>0</v>
      </c>
      <c r="I536" s="5">
        <v>-17975.18</v>
      </c>
      <c r="J536" s="5">
        <v>1</v>
      </c>
      <c r="K536" s="1">
        <v>0</v>
      </c>
      <c r="L536" s="1" t="str">
        <f t="shared" ref="C536:L539" si="78">" "</f>
        <v xml:space="preserve"> </v>
      </c>
      <c r="M536" s="1" t="str">
        <f>"122扣除金额 基金代码：940018,发生份额：17975.18"</f>
        <v>122扣除金额 基金代码：940018,发生份额：17975.18</v>
      </c>
    </row>
    <row r="537" spans="1:13" x14ac:dyDescent="0.2">
      <c r="A537" s="3" t="str">
        <f>"670"</f>
        <v>670</v>
      </c>
      <c r="B537" s="4">
        <v>43280</v>
      </c>
      <c r="C537" s="11" t="s">
        <v>34</v>
      </c>
      <c r="D537" s="11">
        <v>940018</v>
      </c>
      <c r="E537" s="11" t="str">
        <f t="shared" si="77"/>
        <v>卖出</v>
      </c>
      <c r="F537" s="11" t="str">
        <f>"资管转让资金上账"</f>
        <v>资管转让资金上账</v>
      </c>
      <c r="G537" s="13">
        <v>0</v>
      </c>
      <c r="H537" s="1">
        <v>0</v>
      </c>
      <c r="I537" s="5">
        <v>12799</v>
      </c>
      <c r="J537" s="5">
        <v>12800</v>
      </c>
      <c r="K537" s="1">
        <v>0</v>
      </c>
      <c r="L537" s="1" t="str">
        <f t="shared" si="78"/>
        <v xml:space="preserve"> </v>
      </c>
      <c r="M537" s="1" t="str">
        <f>"快速取现退出资金拨入,产品代码940018,对方资产账户40000545correct_balance=0"</f>
        <v>快速取现退出资金拨入,产品代码940018,对方资产账户40000545correct_balance=0</v>
      </c>
    </row>
    <row r="538" spans="1:13" x14ac:dyDescent="0.2">
      <c r="A538" s="3" t="str">
        <f>"673"</f>
        <v>673</v>
      </c>
      <c r="B538" s="4">
        <v>43280</v>
      </c>
      <c r="C538" s="11" t="str">
        <f t="shared" si="78"/>
        <v xml:space="preserve"> </v>
      </c>
      <c r="D538" s="11"/>
      <c r="E538" s="11" t="str">
        <f t="shared" si="77"/>
        <v>卖出</v>
      </c>
      <c r="F538" s="11" t="str">
        <f>"银行转取"</f>
        <v>银行转取</v>
      </c>
      <c r="G538" s="13">
        <v>0</v>
      </c>
      <c r="H538" s="1">
        <v>0</v>
      </c>
      <c r="I538" s="5">
        <v>-12800</v>
      </c>
      <c r="J538" s="5">
        <v>0</v>
      </c>
      <c r="K538" s="1">
        <v>0</v>
      </c>
      <c r="L538" s="1" t="str">
        <f t="shared" si="78"/>
        <v xml:space="preserve"> </v>
      </c>
      <c r="M538" s="1" t="str">
        <f>"银行返回码[ ]返回信息[0000 交易成功]|转账成功 转账账号:6225881012906292 correct_balance=12800"</f>
        <v>银行返回码[ ]返回信息[0000 交易成功]|转账成功 转账账号:6225881012906292 correct_balance=12800</v>
      </c>
    </row>
    <row r="539" spans="1:13" x14ac:dyDescent="0.2">
      <c r="A539" s="3" t="str">
        <f>"2354"</f>
        <v>2354</v>
      </c>
      <c r="B539" s="4">
        <v>43283</v>
      </c>
      <c r="C539" s="11" t="s">
        <v>34</v>
      </c>
      <c r="D539" s="11">
        <v>940018</v>
      </c>
      <c r="E539" s="11" t="str">
        <f t="shared" si="77"/>
        <v>卖出</v>
      </c>
      <c r="F539" s="11" t="str">
        <f>"基金资金拨出"</f>
        <v>基金资金拨出</v>
      </c>
      <c r="G539" s="13">
        <v>0</v>
      </c>
      <c r="H539" s="1">
        <v>0</v>
      </c>
      <c r="I539" s="5">
        <v>-30001.4</v>
      </c>
      <c r="J539" s="5">
        <v>-30001.4</v>
      </c>
      <c r="K539" s="1">
        <v>0</v>
      </c>
      <c r="L539" s="1" t="str">
        <f t="shared" si="78"/>
        <v xml:space="preserve"> </v>
      </c>
      <c r="M539" s="1" t="str">
        <f>"122扣除金额 基金代码：940018,发生份额：30001.4"</f>
        <v>122扣除金额 基金代码：940018,发生份额：30001.4</v>
      </c>
    </row>
    <row r="540" spans="1:13" x14ac:dyDescent="0.2">
      <c r="A540" s="3" t="str">
        <f>"4294"</f>
        <v>4294</v>
      </c>
      <c r="B540" s="4">
        <v>43283</v>
      </c>
      <c r="C540" s="11" t="str">
        <f>"华宝添益"</f>
        <v>华宝添益</v>
      </c>
      <c r="D540" s="11" t="str">
        <f>"511990"</f>
        <v>511990</v>
      </c>
      <c r="E540" s="11" t="str">
        <f t="shared" si="77"/>
        <v>卖出</v>
      </c>
      <c r="F540" s="11" t="str">
        <f>"证券卖出"</f>
        <v>证券卖出</v>
      </c>
      <c r="G540" s="13">
        <v>100.008</v>
      </c>
      <c r="H540" s="1">
        <v>-300</v>
      </c>
      <c r="I540" s="5">
        <v>30002.400000000001</v>
      </c>
      <c r="J540" s="5">
        <v>1</v>
      </c>
      <c r="K540" s="1">
        <v>0</v>
      </c>
      <c r="L540" s="1" t="str">
        <f>"A280737240"</f>
        <v>A280737240</v>
      </c>
      <c r="M540" s="1" t="str">
        <f>"证券卖出"</f>
        <v>证券卖出</v>
      </c>
    </row>
    <row r="541" spans="1:13" x14ac:dyDescent="0.2">
      <c r="A541" s="3" t="str">
        <f>"781"</f>
        <v>781</v>
      </c>
      <c r="B541" s="4">
        <v>43284</v>
      </c>
      <c r="C541" s="11" t="s">
        <v>34</v>
      </c>
      <c r="D541" s="11">
        <v>940018</v>
      </c>
      <c r="E541" s="11" t="str">
        <f t="shared" si="77"/>
        <v>卖出</v>
      </c>
      <c r="F541" s="11" t="str">
        <f>"资管转让资金上账"</f>
        <v>资管转让资金上账</v>
      </c>
      <c r="G541" s="13">
        <v>0</v>
      </c>
      <c r="H541" s="1">
        <v>0</v>
      </c>
      <c r="I541" s="5">
        <v>31999</v>
      </c>
      <c r="J541" s="5">
        <v>32000</v>
      </c>
      <c r="K541" s="1">
        <v>0</v>
      </c>
      <c r="L541" s="1" t="str">
        <f t="shared" ref="C541:L544" si="79">" "</f>
        <v xml:space="preserve"> </v>
      </c>
      <c r="M541" s="1" t="str">
        <f>"快速取现退出资金拨入,产品代码940018,对方资产账户40000545correct_balance=0"</f>
        <v>快速取现退出资金拨入,产品代码940018,对方资产账户40000545correct_balance=0</v>
      </c>
    </row>
    <row r="542" spans="1:13" x14ac:dyDescent="0.2">
      <c r="A542" s="3" t="str">
        <f>"784"</f>
        <v>784</v>
      </c>
      <c r="B542" s="4">
        <v>43284</v>
      </c>
      <c r="C542" s="11" t="str">
        <f t="shared" si="79"/>
        <v xml:space="preserve"> </v>
      </c>
      <c r="D542" s="11"/>
      <c r="E542" s="11" t="str">
        <f t="shared" si="77"/>
        <v>卖出</v>
      </c>
      <c r="F542" s="11" t="str">
        <f>"银行转取"</f>
        <v>银行转取</v>
      </c>
      <c r="G542" s="13">
        <v>0</v>
      </c>
      <c r="H542" s="1">
        <v>0</v>
      </c>
      <c r="I542" s="5">
        <v>-32000</v>
      </c>
      <c r="J542" s="5">
        <v>0</v>
      </c>
      <c r="K542" s="1">
        <v>0</v>
      </c>
      <c r="L542" s="1" t="str">
        <f t="shared" si="79"/>
        <v xml:space="preserve"> </v>
      </c>
      <c r="M542" s="1" t="str">
        <f>"银行返回码[ ]返回信息[0000 交易成功]|转账成功 转账账号:6225881012906292 correct_balance=32000"</f>
        <v>银行返回码[ ]返回信息[0000 交易成功]|转账成功 转账账号:6225881012906292 correct_balance=32000</v>
      </c>
    </row>
    <row r="543" spans="1:13" x14ac:dyDescent="0.2">
      <c r="A543" s="3" t="str">
        <f>"2017"</f>
        <v>2017</v>
      </c>
      <c r="B543" s="4">
        <v>43285</v>
      </c>
      <c r="C543" s="11" t="s">
        <v>34</v>
      </c>
      <c r="D543" s="11">
        <v>940018</v>
      </c>
      <c r="E543" s="11" t="str">
        <f t="shared" si="77"/>
        <v>卖出</v>
      </c>
      <c r="F543" s="11" t="str">
        <f>"基金资金拨出"</f>
        <v>基金资金拨出</v>
      </c>
      <c r="G543" s="13">
        <v>0</v>
      </c>
      <c r="H543" s="1">
        <v>0</v>
      </c>
      <c r="I543" s="5">
        <v>-440.32</v>
      </c>
      <c r="J543" s="5">
        <v>-440.32</v>
      </c>
      <c r="K543" s="1">
        <v>0</v>
      </c>
      <c r="L543" s="1" t="str">
        <f t="shared" si="79"/>
        <v xml:space="preserve"> </v>
      </c>
      <c r="M543" s="1" t="str">
        <f>"122扣除金额 基金代码：940018,发生份额：440.32"</f>
        <v>122扣除金额 基金代码：940018,发生份额：440.32</v>
      </c>
    </row>
    <row r="544" spans="1:13" x14ac:dyDescent="0.2">
      <c r="A544" s="3" t="str">
        <f>"2018"</f>
        <v>2018</v>
      </c>
      <c r="B544" s="4">
        <v>43285</v>
      </c>
      <c r="C544" s="11" t="s">
        <v>34</v>
      </c>
      <c r="D544" s="11">
        <v>940018</v>
      </c>
      <c r="E544" s="11" t="str">
        <f t="shared" si="77"/>
        <v>卖出</v>
      </c>
      <c r="F544" s="11" t="str">
        <f>"基金资金拨入"</f>
        <v>基金资金拨入</v>
      </c>
      <c r="G544" s="13">
        <v>0</v>
      </c>
      <c r="H544" s="1">
        <v>0</v>
      </c>
      <c r="I544" s="5">
        <v>4313.58</v>
      </c>
      <c r="J544" s="5">
        <v>3873.26</v>
      </c>
      <c r="K544" s="1">
        <v>0</v>
      </c>
      <c r="L544" s="1" t="str">
        <f t="shared" si="79"/>
        <v xml:space="preserve"> </v>
      </c>
      <c r="M544" s="1" t="str">
        <f>"124增加金额 基金代码：940018,发生份额：4313.58"</f>
        <v>124增加金额 基金代码：940018,发生份额：4313.58</v>
      </c>
    </row>
    <row r="545" spans="1:13" x14ac:dyDescent="0.2">
      <c r="A545" s="3" t="str">
        <f>"4013"</f>
        <v>4013</v>
      </c>
      <c r="B545" s="4">
        <v>43285</v>
      </c>
      <c r="C545" s="11" t="str">
        <f>"华宝添益"</f>
        <v>华宝添益</v>
      </c>
      <c r="D545" s="11" t="str">
        <f>"511990"</f>
        <v>511990</v>
      </c>
      <c r="E545" s="11" t="str">
        <f t="shared" si="77"/>
        <v>卖出</v>
      </c>
      <c r="F545" s="11" t="str">
        <f>"证券卖出"</f>
        <v>证券卖出</v>
      </c>
      <c r="G545" s="13">
        <v>100.026</v>
      </c>
      <c r="H545" s="1">
        <v>-1111</v>
      </c>
      <c r="I545" s="5">
        <v>111128.89</v>
      </c>
      <c r="J545" s="5">
        <v>115002.15</v>
      </c>
      <c r="K545" s="1">
        <v>0</v>
      </c>
      <c r="L545" s="1" t="str">
        <f>"A280737240"</f>
        <v>A280737240</v>
      </c>
      <c r="M545" s="1" t="str">
        <f>"证券卖出"</f>
        <v>证券卖出</v>
      </c>
    </row>
    <row r="546" spans="1:13" x14ac:dyDescent="0.2">
      <c r="A546" s="3" t="str">
        <f>"5948"</f>
        <v>5948</v>
      </c>
      <c r="B546" s="4">
        <v>43285</v>
      </c>
      <c r="C546" s="11" t="str">
        <f>"Ｒ-001"</f>
        <v>Ｒ-001</v>
      </c>
      <c r="D546" s="11" t="str">
        <f>"131810"</f>
        <v>131810</v>
      </c>
      <c r="E546" s="11" t="str">
        <f t="shared" si="77"/>
        <v>卖出</v>
      </c>
      <c r="F546" s="11" t="str">
        <f>"质押回购拆出"</f>
        <v>质押回购拆出</v>
      </c>
      <c r="G546" s="13">
        <v>2.484</v>
      </c>
      <c r="H546" s="1">
        <v>1150</v>
      </c>
      <c r="I546" s="5">
        <v>-115001.15</v>
      </c>
      <c r="J546" s="5">
        <v>1</v>
      </c>
      <c r="K546" s="1">
        <v>1.1499999999999999</v>
      </c>
      <c r="L546" s="1" t="str">
        <f>"0184500716"</f>
        <v>0184500716</v>
      </c>
      <c r="M546" s="1" t="str">
        <f>"融券回购购回日:20180705预计利息:7.82参考占款天数：1-131990"</f>
        <v>融券回购购回日:20180705预计利息:7.82参考占款天数：1-131990</v>
      </c>
    </row>
    <row r="547" spans="1:13" x14ac:dyDescent="0.2">
      <c r="A547" s="3" t="str">
        <f>"6514"</f>
        <v>6514</v>
      </c>
      <c r="B547" s="4">
        <v>43285</v>
      </c>
      <c r="C547" s="11" t="str">
        <f>"华宝添益"</f>
        <v>华宝添益</v>
      </c>
      <c r="D547" s="11" t="str">
        <f>"511990"</f>
        <v>511990</v>
      </c>
      <c r="E547" s="11" t="str">
        <f>"买入"</f>
        <v>买入</v>
      </c>
      <c r="F547" s="11" t="str">
        <f>"红股入帐"</f>
        <v>红股入帐</v>
      </c>
      <c r="G547" s="13">
        <v>100.063</v>
      </c>
      <c r="H547" s="1">
        <v>1</v>
      </c>
      <c r="I547" s="5">
        <v>0</v>
      </c>
      <c r="J547" s="5">
        <v>1</v>
      </c>
      <c r="K547" s="1">
        <v>0</v>
      </c>
      <c r="L547" s="1" t="str">
        <f>"A280737240"</f>
        <v>A280737240</v>
      </c>
      <c r="M547" s="1" t="str">
        <f>"红股入账"</f>
        <v>红股入账</v>
      </c>
    </row>
    <row r="548" spans="1:13" x14ac:dyDescent="0.2">
      <c r="A548" s="3" t="str">
        <f>"2377"</f>
        <v>2377</v>
      </c>
      <c r="B548" s="4">
        <v>43286</v>
      </c>
      <c r="C548" s="11" t="str">
        <f>"50ETF"</f>
        <v>50ETF</v>
      </c>
      <c r="D548" s="11" t="str">
        <f>"510050"</f>
        <v>510050</v>
      </c>
      <c r="E548" s="11" t="str">
        <f>"买入"</f>
        <v>买入</v>
      </c>
      <c r="F548" s="11" t="str">
        <f>"证券买入"</f>
        <v>证券买入</v>
      </c>
      <c r="G548" s="13">
        <v>2.3860000000000001</v>
      </c>
      <c r="H548" s="1">
        <v>2700</v>
      </c>
      <c r="I548" s="5">
        <v>-6443.49</v>
      </c>
      <c r="J548" s="5">
        <v>-6442.49</v>
      </c>
      <c r="K548" s="1">
        <v>1.29</v>
      </c>
      <c r="L548" s="1" t="str">
        <f>"A280737240"</f>
        <v>A280737240</v>
      </c>
      <c r="M548" s="1" t="str">
        <f>"证券买入"</f>
        <v>证券买入</v>
      </c>
    </row>
    <row r="549" spans="1:13" x14ac:dyDescent="0.2">
      <c r="A549" s="3" t="str">
        <f>"5039"</f>
        <v>5039</v>
      </c>
      <c r="B549" s="4">
        <v>43286</v>
      </c>
      <c r="C549" s="11" t="str">
        <f>"Ｒ-001"</f>
        <v>Ｒ-001</v>
      </c>
      <c r="D549" s="11" t="str">
        <f>"131810"</f>
        <v>131810</v>
      </c>
      <c r="E549" s="11" t="str">
        <f t="shared" ref="E549:E557" si="80">"卖出"</f>
        <v>卖出</v>
      </c>
      <c r="F549" s="11" t="str">
        <f>"拆出质押购回"</f>
        <v>拆出质押购回</v>
      </c>
      <c r="G549" s="13">
        <v>2.484</v>
      </c>
      <c r="H549" s="1">
        <v>-1150</v>
      </c>
      <c r="I549" s="5">
        <v>115007.82</v>
      </c>
      <c r="J549" s="5">
        <v>108565.33</v>
      </c>
      <c r="K549" s="1">
        <v>0</v>
      </c>
      <c r="L549" s="1" t="str">
        <f>"0184500716"</f>
        <v>0184500716</v>
      </c>
      <c r="M549" s="1" t="str">
        <f>"融券购回:7.82实际占款天数：1-131990"</f>
        <v>融券购回:7.82实际占款天数：1-131990</v>
      </c>
    </row>
    <row r="550" spans="1:13" x14ac:dyDescent="0.2">
      <c r="A550" s="3" t="str">
        <f>"6391"</f>
        <v>6391</v>
      </c>
      <c r="B550" s="4">
        <v>43286</v>
      </c>
      <c r="C550" s="11" t="s">
        <v>34</v>
      </c>
      <c r="D550" s="11">
        <v>940018</v>
      </c>
      <c r="E550" s="11" t="str">
        <f t="shared" si="80"/>
        <v>卖出</v>
      </c>
      <c r="F550" s="11" t="str">
        <f>"基金资金拨出"</f>
        <v>基金资金拨出</v>
      </c>
      <c r="G550" s="13">
        <v>0</v>
      </c>
      <c r="H550" s="1">
        <v>0</v>
      </c>
      <c r="I550" s="5">
        <v>-108564.33</v>
      </c>
      <c r="J550" s="5">
        <v>1</v>
      </c>
      <c r="K550" s="1">
        <v>0</v>
      </c>
      <c r="L550" s="1" t="str">
        <f t="shared" ref="C550:L552" si="81">" "</f>
        <v xml:space="preserve"> </v>
      </c>
      <c r="M550" s="1" t="str">
        <f>"122扣除金额 基金代码：940018,发生份额：108564.33"</f>
        <v>122扣除金额 基金代码：940018,发生份额：108564.33</v>
      </c>
    </row>
    <row r="551" spans="1:13" x14ac:dyDescent="0.2">
      <c r="A551" s="3" t="str">
        <f>"491"</f>
        <v>491</v>
      </c>
      <c r="B551" s="4">
        <v>43287</v>
      </c>
      <c r="C551" s="11" t="s">
        <v>34</v>
      </c>
      <c r="D551" s="11">
        <v>940018</v>
      </c>
      <c r="E551" s="11" t="str">
        <f t="shared" si="80"/>
        <v>卖出</v>
      </c>
      <c r="F551" s="11" t="str">
        <f>"资管转让资金上账"</f>
        <v>资管转让资金上账</v>
      </c>
      <c r="G551" s="13">
        <v>0</v>
      </c>
      <c r="H551" s="1">
        <v>0</v>
      </c>
      <c r="I551" s="5">
        <v>102399</v>
      </c>
      <c r="J551" s="5">
        <v>102400</v>
      </c>
      <c r="K551" s="1">
        <v>0</v>
      </c>
      <c r="L551" s="1" t="str">
        <f t="shared" si="81"/>
        <v xml:space="preserve"> </v>
      </c>
      <c r="M551" s="1" t="str">
        <f>"快速取现退出资金拨入,产品代码940018,对方资产账户40000545correct_balance=0"</f>
        <v>快速取现退出资金拨入,产品代码940018,对方资产账户40000545correct_balance=0</v>
      </c>
    </row>
    <row r="552" spans="1:13" x14ac:dyDescent="0.2">
      <c r="A552" s="3" t="str">
        <f>"495"</f>
        <v>495</v>
      </c>
      <c r="B552" s="4">
        <v>43287</v>
      </c>
      <c r="C552" s="11" t="str">
        <f t="shared" si="81"/>
        <v xml:space="preserve"> </v>
      </c>
      <c r="D552" s="11"/>
      <c r="E552" s="11" t="str">
        <f t="shared" si="80"/>
        <v>卖出</v>
      </c>
      <c r="F552" s="11" t="str">
        <f>"银行转取"</f>
        <v>银行转取</v>
      </c>
      <c r="G552" s="13">
        <v>0</v>
      </c>
      <c r="H552" s="1">
        <v>0</v>
      </c>
      <c r="I552" s="5">
        <v>-102400</v>
      </c>
      <c r="J552" s="5">
        <v>0</v>
      </c>
      <c r="K552" s="1">
        <v>0</v>
      </c>
      <c r="L552" s="1" t="str">
        <f t="shared" si="81"/>
        <v xml:space="preserve"> </v>
      </c>
      <c r="M552" s="1" t="str">
        <f>"银行返回码[ ]返回信息[0000 交易成功]|转账成功 转账账号:6225881012906292 correct_balance=102400"</f>
        <v>银行返回码[ ]返回信息[0000 交易成功]|转账成功 转账账号:6225881012906292 correct_balance=102400</v>
      </c>
    </row>
    <row r="553" spans="1:13" x14ac:dyDescent="0.2">
      <c r="A553" s="3" t="str">
        <f>"2489"</f>
        <v>2489</v>
      </c>
      <c r="B553" s="4">
        <v>43287</v>
      </c>
      <c r="C553" s="11" t="str">
        <f>"华宝添益"</f>
        <v>华宝添益</v>
      </c>
      <c r="D553" s="11" t="str">
        <f>"511990"</f>
        <v>511990</v>
      </c>
      <c r="E553" s="11" t="str">
        <f t="shared" si="80"/>
        <v>卖出</v>
      </c>
      <c r="F553" s="11" t="str">
        <f>"证券卖出"</f>
        <v>证券卖出</v>
      </c>
      <c r="G553" s="13">
        <v>100.036</v>
      </c>
      <c r="H553" s="1">
        <v>-1</v>
      </c>
      <c r="I553" s="5">
        <v>100.04</v>
      </c>
      <c r="J553" s="5">
        <v>100.04</v>
      </c>
      <c r="K553" s="1">
        <v>0</v>
      </c>
      <c r="L553" s="1" t="str">
        <f>"A280737240"</f>
        <v>A280737240</v>
      </c>
      <c r="M553" s="1" t="str">
        <f>"证券卖出"</f>
        <v>证券卖出</v>
      </c>
    </row>
    <row r="554" spans="1:13" x14ac:dyDescent="0.2">
      <c r="A554" s="3" t="str">
        <f>"6599"</f>
        <v>6599</v>
      </c>
      <c r="B554" s="4">
        <v>43287</v>
      </c>
      <c r="C554" s="11" t="s">
        <v>34</v>
      </c>
      <c r="D554" s="11">
        <v>940018</v>
      </c>
      <c r="E554" s="11" t="str">
        <f t="shared" si="80"/>
        <v>卖出</v>
      </c>
      <c r="F554" s="11" t="str">
        <f>"基金资金拨出"</f>
        <v>基金资金拨出</v>
      </c>
      <c r="G554" s="13">
        <v>0</v>
      </c>
      <c r="H554" s="1">
        <v>0</v>
      </c>
      <c r="I554" s="5">
        <v>-99.04</v>
      </c>
      <c r="J554" s="5">
        <v>1</v>
      </c>
      <c r="K554" s="1">
        <v>0</v>
      </c>
      <c r="L554" s="1" t="str">
        <f t="shared" ref="L554:L555" si="82">" "</f>
        <v xml:space="preserve"> </v>
      </c>
      <c r="M554" s="1" t="str">
        <f>"122扣除金额 基金代码：940018,发生份额：99.04"</f>
        <v>122扣除金额 基金代码：940018,发生份额：99.04</v>
      </c>
    </row>
    <row r="555" spans="1:13" x14ac:dyDescent="0.2">
      <c r="A555" s="3" t="str">
        <f>"2021"</f>
        <v>2021</v>
      </c>
      <c r="B555" s="4">
        <v>43290</v>
      </c>
      <c r="C555" s="11" t="s">
        <v>34</v>
      </c>
      <c r="D555" s="11">
        <v>940018</v>
      </c>
      <c r="E555" s="11" t="str">
        <f t="shared" si="80"/>
        <v>卖出</v>
      </c>
      <c r="F555" s="11" t="str">
        <f>"基金资金拨出"</f>
        <v>基金资金拨出</v>
      </c>
      <c r="G555" s="13">
        <v>0</v>
      </c>
      <c r="H555" s="1">
        <v>0</v>
      </c>
      <c r="I555" s="5">
        <v>-1</v>
      </c>
      <c r="J555" s="5">
        <v>0</v>
      </c>
      <c r="K555" s="1">
        <v>0</v>
      </c>
      <c r="L555" s="1" t="str">
        <f t="shared" si="82"/>
        <v xml:space="preserve"> </v>
      </c>
      <c r="M555" s="1" t="str">
        <f>"122扣除金额 基金代码：940018,发生份额：1"</f>
        <v>122扣除金额 基金代码：940018,发生份额：1</v>
      </c>
    </row>
    <row r="556" spans="1:13" x14ac:dyDescent="0.2">
      <c r="A556" s="3" t="str">
        <f>"6212"</f>
        <v>6212</v>
      </c>
      <c r="B556" s="4">
        <v>43290</v>
      </c>
      <c r="C556" s="11" t="str">
        <f>"华宝添益"</f>
        <v>华宝添益</v>
      </c>
      <c r="D556" s="11" t="str">
        <f>"511990"</f>
        <v>511990</v>
      </c>
      <c r="E556" s="11" t="str">
        <f t="shared" si="80"/>
        <v>卖出</v>
      </c>
      <c r="F556" s="11" t="str">
        <f>"ETF现金替代退款"</f>
        <v>ETF现金替代退款</v>
      </c>
      <c r="G556" s="13">
        <v>100.023</v>
      </c>
      <c r="H556" s="1">
        <v>0</v>
      </c>
      <c r="I556" s="5">
        <v>4.66</v>
      </c>
      <c r="J556" s="5">
        <v>4.66</v>
      </c>
      <c r="K556" s="1">
        <v>0</v>
      </c>
      <c r="L556" s="1" t="str">
        <f>"A280737240"</f>
        <v>A280737240</v>
      </c>
      <c r="M556" s="1" t="str">
        <f>"ETF现金替代退款,证券代码:511990,委托时间:20180706,成交编号:32"</f>
        <v>ETF现金替代退款,证券代码:511990,委托时间:20180706,成交编号:32</v>
      </c>
    </row>
    <row r="557" spans="1:13" x14ac:dyDescent="0.2">
      <c r="A557" s="3" t="str">
        <f>"2373"</f>
        <v>2373</v>
      </c>
      <c r="B557" s="4">
        <v>43291</v>
      </c>
      <c r="C557" s="11" t="s">
        <v>34</v>
      </c>
      <c r="D557" s="11">
        <v>940018</v>
      </c>
      <c r="E557" s="11" t="str">
        <f t="shared" si="80"/>
        <v>卖出</v>
      </c>
      <c r="F557" s="11" t="str">
        <f>"基金资金拨出"</f>
        <v>基金资金拨出</v>
      </c>
      <c r="G557" s="13">
        <v>0</v>
      </c>
      <c r="H557" s="1">
        <v>0</v>
      </c>
      <c r="I557" s="5">
        <v>-4.66</v>
      </c>
      <c r="J557" s="5">
        <v>0</v>
      </c>
      <c r="K557" s="1">
        <v>0</v>
      </c>
      <c r="L557" s="1" t="str">
        <f>" "</f>
        <v xml:space="preserve"> </v>
      </c>
      <c r="M557" s="1" t="str">
        <f>"122扣除金额 基金代码：940018,发生份额：4.66"</f>
        <v>122扣除金额 基金代码：940018,发生份额：4.66</v>
      </c>
    </row>
    <row r="558" spans="1:13" x14ac:dyDescent="0.2">
      <c r="A558" s="3" t="str">
        <f>"1962"</f>
        <v>1962</v>
      </c>
      <c r="B558" s="4">
        <v>43297</v>
      </c>
      <c r="C558" s="11" t="str">
        <f>"传媒ETF"</f>
        <v>传媒ETF</v>
      </c>
      <c r="D558" s="11" t="str">
        <f>"512980"</f>
        <v>512980</v>
      </c>
      <c r="E558" s="11" t="str">
        <f>"买入"</f>
        <v>买入</v>
      </c>
      <c r="F558" s="11" t="str">
        <f>"证券买入"</f>
        <v>证券买入</v>
      </c>
      <c r="G558" s="13">
        <v>0.81799999999999995</v>
      </c>
      <c r="H558" s="1">
        <v>7800</v>
      </c>
      <c r="I558" s="5">
        <v>-6381.68</v>
      </c>
      <c r="J558" s="5">
        <v>-6381.68</v>
      </c>
      <c r="K558" s="1">
        <v>1.28</v>
      </c>
      <c r="L558" s="1" t="str">
        <f>"A280737240"</f>
        <v>A280737240</v>
      </c>
      <c r="M558" s="1" t="str">
        <f>"证券买入"</f>
        <v>证券买入</v>
      </c>
    </row>
    <row r="559" spans="1:13" x14ac:dyDescent="0.2">
      <c r="A559" s="3" t="str">
        <f>"1963"</f>
        <v>1963</v>
      </c>
      <c r="B559" s="4">
        <v>43297</v>
      </c>
      <c r="C559" s="11" t="str">
        <f>"银华日利"</f>
        <v>银华日利</v>
      </c>
      <c r="D559" s="11" t="str">
        <f>"511880"</f>
        <v>511880</v>
      </c>
      <c r="E559" s="11" t="str">
        <f t="shared" ref="E559:E568" si="83">"卖出"</f>
        <v>卖出</v>
      </c>
      <c r="F559" s="11" t="str">
        <f>"证券卖出"</f>
        <v>证券卖出</v>
      </c>
      <c r="G559" s="13">
        <v>102.277</v>
      </c>
      <c r="H559" s="1">
        <v>-100</v>
      </c>
      <c r="I559" s="5">
        <v>10227.700000000001</v>
      </c>
      <c r="J559" s="5">
        <v>3846.02</v>
      </c>
      <c r="K559" s="1">
        <v>0</v>
      </c>
      <c r="L559" s="1" t="str">
        <f>"A280737240"</f>
        <v>A280737240</v>
      </c>
      <c r="M559" s="1" t="str">
        <f>"证券卖出"</f>
        <v>证券卖出</v>
      </c>
    </row>
    <row r="560" spans="1:13" x14ac:dyDescent="0.2">
      <c r="A560" s="3" t="str">
        <f>"1964"</f>
        <v>1964</v>
      </c>
      <c r="B560" s="4">
        <v>43297</v>
      </c>
      <c r="C560" s="11" t="str">
        <f>"银华日利"</f>
        <v>银华日利</v>
      </c>
      <c r="D560" s="11" t="str">
        <f>"511880"</f>
        <v>511880</v>
      </c>
      <c r="E560" s="11" t="str">
        <f t="shared" si="83"/>
        <v>卖出</v>
      </c>
      <c r="F560" s="11" t="str">
        <f>"证券卖出"</f>
        <v>证券卖出</v>
      </c>
      <c r="G560" s="13">
        <v>102.277</v>
      </c>
      <c r="H560" s="1">
        <v>-100</v>
      </c>
      <c r="I560" s="5">
        <v>10227.700000000001</v>
      </c>
      <c r="J560" s="5">
        <v>14073.72</v>
      </c>
      <c r="K560" s="1">
        <v>0</v>
      </c>
      <c r="L560" s="1" t="str">
        <f>"A280737240"</f>
        <v>A280737240</v>
      </c>
      <c r="M560" s="1" t="str">
        <f>"证券卖出"</f>
        <v>证券卖出</v>
      </c>
    </row>
    <row r="561" spans="1:13" x14ac:dyDescent="0.2">
      <c r="A561" s="3" t="str">
        <f>"5010"</f>
        <v>5010</v>
      </c>
      <c r="B561" s="4">
        <v>43297</v>
      </c>
      <c r="C561" s="11" t="s">
        <v>34</v>
      </c>
      <c r="D561" s="11">
        <v>940018</v>
      </c>
      <c r="E561" s="11" t="str">
        <f t="shared" si="83"/>
        <v>卖出</v>
      </c>
      <c r="F561" s="11" t="str">
        <f>"基金资金拨出"</f>
        <v>基金资金拨出</v>
      </c>
      <c r="G561" s="13">
        <v>0</v>
      </c>
      <c r="H561" s="1">
        <v>0</v>
      </c>
      <c r="I561" s="5">
        <v>-14072.72</v>
      </c>
      <c r="J561" s="5">
        <v>1</v>
      </c>
      <c r="K561" s="1">
        <v>0</v>
      </c>
      <c r="L561" s="1" t="str">
        <f t="shared" ref="C561:L567" si="84">" "</f>
        <v xml:space="preserve"> </v>
      </c>
      <c r="M561" s="1" t="str">
        <f>"122扣除金额 基金代码：940018,发生份额：14072.72"</f>
        <v>122扣除金额 基金代码：940018,发生份额：14072.72</v>
      </c>
    </row>
    <row r="562" spans="1:13" x14ac:dyDescent="0.2">
      <c r="A562" s="3" t="str">
        <f>"745"</f>
        <v>745</v>
      </c>
      <c r="B562" s="4">
        <v>43298</v>
      </c>
      <c r="C562" s="11" t="s">
        <v>34</v>
      </c>
      <c r="D562" s="11">
        <v>940018</v>
      </c>
      <c r="E562" s="11" t="str">
        <f t="shared" si="83"/>
        <v>卖出</v>
      </c>
      <c r="F562" s="11" t="str">
        <f>"资管转让资金上账"</f>
        <v>资管转让资金上账</v>
      </c>
      <c r="G562" s="13">
        <v>0</v>
      </c>
      <c r="H562" s="1">
        <v>0</v>
      </c>
      <c r="I562" s="5">
        <v>1000</v>
      </c>
      <c r="J562" s="5">
        <v>1001</v>
      </c>
      <c r="K562" s="1">
        <v>0</v>
      </c>
      <c r="L562" s="1" t="str">
        <f t="shared" si="84"/>
        <v xml:space="preserve"> </v>
      </c>
      <c r="M562" s="1" t="str">
        <f>"快速取现退出资金拨入,产品代码940018,对方资产账户40000545correct_balance=0"</f>
        <v>快速取现退出资金拨入,产品代码940018,对方资产账户40000545correct_balance=0</v>
      </c>
    </row>
    <row r="563" spans="1:13" x14ac:dyDescent="0.2">
      <c r="A563" s="3" t="str">
        <f>"748"</f>
        <v>748</v>
      </c>
      <c r="B563" s="4">
        <v>43298</v>
      </c>
      <c r="C563" s="11" t="str">
        <f t="shared" si="84"/>
        <v xml:space="preserve"> </v>
      </c>
      <c r="D563" s="11"/>
      <c r="E563" s="11" t="str">
        <f t="shared" si="83"/>
        <v>卖出</v>
      </c>
      <c r="F563" s="11" t="str">
        <f>"银行转取"</f>
        <v>银行转取</v>
      </c>
      <c r="G563" s="13">
        <v>0</v>
      </c>
      <c r="H563" s="1">
        <v>0</v>
      </c>
      <c r="I563" s="5">
        <v>-36.5</v>
      </c>
      <c r="J563" s="5">
        <v>964.5</v>
      </c>
      <c r="K563" s="1">
        <v>0</v>
      </c>
      <c r="L563" s="1" t="str">
        <f t="shared" si="84"/>
        <v xml:space="preserve"> </v>
      </c>
      <c r="M563" s="1" t="str">
        <f>"银行返回码[ ]返回信息[0000 交易成功]|转账成功 转账账号:6225881012906292 correct_balance=36.5"</f>
        <v>银行返回码[ ]返回信息[0000 交易成功]|转账成功 转账账号:6225881012906292 correct_balance=36.5</v>
      </c>
    </row>
    <row r="564" spans="1:13" x14ac:dyDescent="0.2">
      <c r="A564" s="3" t="str">
        <f>"1959"</f>
        <v>1959</v>
      </c>
      <c r="B564" s="4">
        <v>43298</v>
      </c>
      <c r="C564" s="11" t="s">
        <v>34</v>
      </c>
      <c r="D564" s="11">
        <v>940018</v>
      </c>
      <c r="E564" s="11" t="str">
        <f t="shared" si="83"/>
        <v>卖出</v>
      </c>
      <c r="F564" s="11" t="str">
        <f>"基金资金拨出"</f>
        <v>基金资金拨出</v>
      </c>
      <c r="G564" s="13">
        <v>0</v>
      </c>
      <c r="H564" s="1">
        <v>0</v>
      </c>
      <c r="I564" s="5">
        <v>-964.5</v>
      </c>
      <c r="J564" s="5">
        <v>0</v>
      </c>
      <c r="K564" s="1">
        <v>0</v>
      </c>
      <c r="L564" s="1" t="str">
        <f t="shared" si="84"/>
        <v xml:space="preserve"> </v>
      </c>
      <c r="M564" s="1" t="str">
        <f>"122扣除金额 基金代码：940018,发生份额：964.5"</f>
        <v>122扣除金额 基金代码：940018,发生份额：964.5</v>
      </c>
    </row>
    <row r="565" spans="1:13" x14ac:dyDescent="0.2">
      <c r="A565" s="3" t="str">
        <f>"932"</f>
        <v>932</v>
      </c>
      <c r="B565" s="4">
        <v>43301</v>
      </c>
      <c r="C565" s="11" t="s">
        <v>34</v>
      </c>
      <c r="D565" s="11">
        <v>940018</v>
      </c>
      <c r="E565" s="11" t="str">
        <f t="shared" si="83"/>
        <v>卖出</v>
      </c>
      <c r="F565" s="11" t="str">
        <f>"资管转让资金上账"</f>
        <v>资管转让资金上账</v>
      </c>
      <c r="G565" s="13">
        <v>0</v>
      </c>
      <c r="H565" s="1">
        <v>0</v>
      </c>
      <c r="I565" s="5">
        <v>19200</v>
      </c>
      <c r="J565" s="5">
        <v>19200</v>
      </c>
      <c r="K565" s="1">
        <v>0</v>
      </c>
      <c r="L565" s="1" t="str">
        <f t="shared" si="84"/>
        <v xml:space="preserve"> </v>
      </c>
      <c r="M565" s="1" t="str">
        <f>"快速取现退出资金拨入,产品代码940018,对方资产账户40000545correct_balance=0"</f>
        <v>快速取现退出资金拨入,产品代码940018,对方资产账户40000545correct_balance=0</v>
      </c>
    </row>
    <row r="566" spans="1:13" x14ac:dyDescent="0.2">
      <c r="A566" s="3" t="str">
        <f>"935"</f>
        <v>935</v>
      </c>
      <c r="B566" s="4">
        <v>43301</v>
      </c>
      <c r="C566" s="11" t="str">
        <f t="shared" si="84"/>
        <v xml:space="preserve"> </v>
      </c>
      <c r="D566" s="11"/>
      <c r="E566" s="11" t="str">
        <f t="shared" si="83"/>
        <v>卖出</v>
      </c>
      <c r="F566" s="11" t="str">
        <f>"银行转取"</f>
        <v>银行转取</v>
      </c>
      <c r="G566" s="13">
        <v>0</v>
      </c>
      <c r="H566" s="1">
        <v>0</v>
      </c>
      <c r="I566" s="5">
        <v>-19200</v>
      </c>
      <c r="J566" s="5">
        <v>0</v>
      </c>
      <c r="K566" s="1">
        <v>0</v>
      </c>
      <c r="L566" s="1" t="str">
        <f t="shared" si="84"/>
        <v xml:space="preserve"> </v>
      </c>
      <c r="M566" s="1" t="str">
        <f>"银行返回码[ ]返回信息[0000 交易成功]|转账成功 转账账号:6225881012906292 correct_balance=19200"</f>
        <v>银行返回码[ ]返回信息[0000 交易成功]|转账成功 转账账号:6225881012906292 correct_balance=19200</v>
      </c>
    </row>
    <row r="567" spans="1:13" x14ac:dyDescent="0.2">
      <c r="A567" s="3" t="str">
        <f>"1828"</f>
        <v>1828</v>
      </c>
      <c r="B567" s="4">
        <v>43313</v>
      </c>
      <c r="C567" s="11" t="s">
        <v>34</v>
      </c>
      <c r="D567" s="11">
        <v>940018</v>
      </c>
      <c r="E567" s="11" t="str">
        <f t="shared" si="83"/>
        <v>卖出</v>
      </c>
      <c r="F567" s="11" t="str">
        <f>"基金资金拨出"</f>
        <v>基金资金拨出</v>
      </c>
      <c r="G567" s="13">
        <v>0</v>
      </c>
      <c r="H567" s="1">
        <v>0</v>
      </c>
      <c r="I567" s="5">
        <v>-475.45</v>
      </c>
      <c r="J567" s="5">
        <v>-475.45</v>
      </c>
      <c r="K567" s="1">
        <v>0</v>
      </c>
      <c r="L567" s="1" t="str">
        <f t="shared" si="84"/>
        <v xml:space="preserve"> </v>
      </c>
      <c r="M567" s="1" t="str">
        <f>"122扣除金额 基金代码：940018,发生份额：475.45"</f>
        <v>122扣除金额 基金代码：940018,发生份额：475.45</v>
      </c>
    </row>
    <row r="568" spans="1:13" x14ac:dyDescent="0.2">
      <c r="A568" s="3" t="str">
        <f>"3506"</f>
        <v>3506</v>
      </c>
      <c r="B568" s="4">
        <v>43313</v>
      </c>
      <c r="C568" s="11" t="str">
        <f>"银华日利"</f>
        <v>银华日利</v>
      </c>
      <c r="D568" s="11" t="str">
        <f>"511880"</f>
        <v>511880</v>
      </c>
      <c r="E568" s="11" t="str">
        <f t="shared" si="83"/>
        <v>卖出</v>
      </c>
      <c r="F568" s="11" t="str">
        <f>"证券卖出"</f>
        <v>证券卖出</v>
      </c>
      <c r="G568" s="13">
        <v>102.43600000000001</v>
      </c>
      <c r="H568" s="1">
        <v>-100</v>
      </c>
      <c r="I568" s="5">
        <v>10243.6</v>
      </c>
      <c r="J568" s="5">
        <v>9768.15</v>
      </c>
      <c r="K568" s="1">
        <v>0</v>
      </c>
      <c r="L568" s="1" t="str">
        <f>"A280737240"</f>
        <v>A280737240</v>
      </c>
      <c r="M568" s="1" t="str">
        <f>"证券卖出"</f>
        <v>证券卖出</v>
      </c>
    </row>
    <row r="569" spans="1:13" x14ac:dyDescent="0.2">
      <c r="A569" s="3" t="str">
        <f>"3507"</f>
        <v>3507</v>
      </c>
      <c r="B569" s="4">
        <v>43313</v>
      </c>
      <c r="C569" s="11" t="str">
        <f>"500ETF"</f>
        <v>500ETF</v>
      </c>
      <c r="D569" s="11" t="str">
        <f>"510500"</f>
        <v>510500</v>
      </c>
      <c r="E569" s="11" t="str">
        <f>"买入"</f>
        <v>买入</v>
      </c>
      <c r="F569" s="11" t="str">
        <f>"证券买入"</f>
        <v>证券买入</v>
      </c>
      <c r="G569" s="13">
        <v>5.4210000000000003</v>
      </c>
      <c r="H569" s="1">
        <v>1200</v>
      </c>
      <c r="I569" s="5">
        <v>-6506.5</v>
      </c>
      <c r="J569" s="5">
        <v>3261.65</v>
      </c>
      <c r="K569" s="1">
        <v>1.3</v>
      </c>
      <c r="L569" s="1" t="str">
        <f>"A280737240"</f>
        <v>A280737240</v>
      </c>
      <c r="M569" s="1" t="str">
        <f>"证券买入"</f>
        <v>证券买入</v>
      </c>
    </row>
    <row r="570" spans="1:13" x14ac:dyDescent="0.2">
      <c r="A570" s="3" t="str">
        <f>"3508"</f>
        <v>3508</v>
      </c>
      <c r="B570" s="4">
        <v>43313</v>
      </c>
      <c r="C570" s="11" t="str">
        <f>"1000ETF"</f>
        <v>1000ETF</v>
      </c>
      <c r="D570" s="11" t="str">
        <f>"512100"</f>
        <v>512100</v>
      </c>
      <c r="E570" s="11" t="str">
        <f>"买入"</f>
        <v>买入</v>
      </c>
      <c r="F570" s="11" t="str">
        <f>"证券买入"</f>
        <v>证券买入</v>
      </c>
      <c r="G570" s="13">
        <v>0.65200000000000002</v>
      </c>
      <c r="H570" s="1">
        <v>5000</v>
      </c>
      <c r="I570" s="5">
        <v>-3260.65</v>
      </c>
      <c r="J570" s="5">
        <v>1</v>
      </c>
      <c r="K570" s="1">
        <v>0.65</v>
      </c>
      <c r="L570" s="1" t="str">
        <f>"A280737240"</f>
        <v>A280737240</v>
      </c>
      <c r="M570" s="1" t="str">
        <f>"证券买入"</f>
        <v>证券买入</v>
      </c>
    </row>
    <row r="571" spans="1:13" x14ac:dyDescent="0.2">
      <c r="A571" s="3" t="str">
        <f>"2436"</f>
        <v>2436</v>
      </c>
      <c r="B571" s="4">
        <v>43314</v>
      </c>
      <c r="C571" s="11" t="s">
        <v>34</v>
      </c>
      <c r="D571" s="11">
        <v>940018</v>
      </c>
      <c r="E571" s="11" t="str">
        <f>"卖出"</f>
        <v>卖出</v>
      </c>
      <c r="F571" s="11" t="str">
        <f>"基金资金拨出"</f>
        <v>基金资金拨出</v>
      </c>
      <c r="G571" s="13">
        <v>0</v>
      </c>
      <c r="H571" s="1">
        <v>0</v>
      </c>
      <c r="I571" s="5">
        <v>-1</v>
      </c>
      <c r="J571" s="5">
        <v>0</v>
      </c>
      <c r="K571" s="1">
        <v>0</v>
      </c>
      <c r="L571" s="1" t="str">
        <f t="shared" ref="C571:L574" si="85">" "</f>
        <v xml:space="preserve"> </v>
      </c>
      <c r="M571" s="1" t="str">
        <f>"122扣除金额 基金代码：940018,发生份额：1"</f>
        <v>122扣除金额 基金代码：940018,发生份额：1</v>
      </c>
    </row>
    <row r="572" spans="1:13" x14ac:dyDescent="0.2">
      <c r="A572" s="3" t="str">
        <f>"796"</f>
        <v>796</v>
      </c>
      <c r="B572" s="4">
        <v>43318</v>
      </c>
      <c r="C572" s="11" t="str">
        <f t="shared" si="85"/>
        <v xml:space="preserve"> </v>
      </c>
      <c r="D572" s="11"/>
      <c r="E572" s="11" t="str">
        <f>"卖出"</f>
        <v>卖出</v>
      </c>
      <c r="F572" s="11" t="str">
        <f>"银行转存"</f>
        <v>银行转存</v>
      </c>
      <c r="G572" s="13">
        <v>0</v>
      </c>
      <c r="H572" s="1">
        <v>0</v>
      </c>
      <c r="I572" s="5">
        <v>3200</v>
      </c>
      <c r="J572" s="5">
        <v>3200</v>
      </c>
      <c r="K572" s="1">
        <v>0</v>
      </c>
      <c r="L572" s="1" t="str">
        <f t="shared" si="85"/>
        <v xml:space="preserve"> </v>
      </c>
      <c r="M572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73" spans="1:13" x14ac:dyDescent="0.2">
      <c r="A573" s="3" t="str">
        <f>"797"</f>
        <v>797</v>
      </c>
      <c r="B573" s="4">
        <v>43318</v>
      </c>
      <c r="C573" s="11" t="str">
        <f t="shared" si="85"/>
        <v xml:space="preserve"> </v>
      </c>
      <c r="D573" s="11"/>
      <c r="E573" s="11" t="str">
        <f>"卖出"</f>
        <v>卖出</v>
      </c>
      <c r="F573" s="11" t="str">
        <f>"银行转存"</f>
        <v>银行转存</v>
      </c>
      <c r="G573" s="13">
        <v>0</v>
      </c>
      <c r="H573" s="1">
        <v>0</v>
      </c>
      <c r="I573" s="5">
        <v>800</v>
      </c>
      <c r="J573" s="5">
        <v>4000</v>
      </c>
      <c r="K573" s="1">
        <v>0</v>
      </c>
      <c r="L573" s="1" t="str">
        <f t="shared" si="85"/>
        <v xml:space="preserve"> </v>
      </c>
      <c r="M573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74" spans="1:13" x14ac:dyDescent="0.2">
      <c r="A574" s="3" t="str">
        <f>"1658"</f>
        <v>1658</v>
      </c>
      <c r="B574" s="4">
        <v>43318</v>
      </c>
      <c r="C574" s="11" t="s">
        <v>34</v>
      </c>
      <c r="D574" s="11">
        <v>940018</v>
      </c>
      <c r="E574" s="11" t="str">
        <f>"卖出"</f>
        <v>卖出</v>
      </c>
      <c r="F574" s="11" t="str">
        <f>"基金资金拨出"</f>
        <v>基金资金拨出</v>
      </c>
      <c r="G574" s="13">
        <v>0</v>
      </c>
      <c r="H574" s="1">
        <v>0</v>
      </c>
      <c r="I574" s="5">
        <v>-2348.2800000000002</v>
      </c>
      <c r="J574" s="5">
        <v>1651.72</v>
      </c>
      <c r="K574" s="1">
        <v>0</v>
      </c>
      <c r="L574" s="1" t="str">
        <f t="shared" si="85"/>
        <v xml:space="preserve"> </v>
      </c>
      <c r="M574" s="1" t="str">
        <f>"122扣除金额 基金代码：940018,发生份额：2348.28"</f>
        <v>122扣除金额 基金代码：940018,发生份额：2348.28</v>
      </c>
    </row>
    <row r="575" spans="1:13" x14ac:dyDescent="0.2">
      <c r="A575" s="3" t="str">
        <f>"3629"</f>
        <v>3629</v>
      </c>
      <c r="B575" s="4">
        <v>43318</v>
      </c>
      <c r="C575" s="11" t="str">
        <f>"银华日利"</f>
        <v>银华日利</v>
      </c>
      <c r="D575" s="11" t="str">
        <f>"511880"</f>
        <v>511880</v>
      </c>
      <c r="E575" s="11" t="str">
        <f>"卖出"</f>
        <v>卖出</v>
      </c>
      <c r="F575" s="11" t="str">
        <f>"证券卖出"</f>
        <v>证券卖出</v>
      </c>
      <c r="G575" s="13">
        <v>102.499</v>
      </c>
      <c r="H575" s="1">
        <v>-100</v>
      </c>
      <c r="I575" s="5">
        <v>10249.9</v>
      </c>
      <c r="J575" s="5">
        <v>11901.62</v>
      </c>
      <c r="K575" s="1">
        <v>0</v>
      </c>
      <c r="L575" s="1" t="str">
        <f>"A280737240"</f>
        <v>A280737240</v>
      </c>
      <c r="M575" s="1" t="str">
        <f>"证券卖出"</f>
        <v>证券卖出</v>
      </c>
    </row>
    <row r="576" spans="1:13" x14ac:dyDescent="0.2">
      <c r="A576" s="3" t="str">
        <f>"3630"</f>
        <v>3630</v>
      </c>
      <c r="B576" s="4">
        <v>43318</v>
      </c>
      <c r="C576" s="11" t="str">
        <f>"1000ETF"</f>
        <v>1000ETF</v>
      </c>
      <c r="D576" s="11" t="str">
        <f>"512100"</f>
        <v>512100</v>
      </c>
      <c r="E576" s="11" t="str">
        <f>"买入"</f>
        <v>买入</v>
      </c>
      <c r="F576" s="11" t="str">
        <f>"证券买入"</f>
        <v>证券买入</v>
      </c>
      <c r="G576" s="13">
        <v>0.61899999999999999</v>
      </c>
      <c r="H576" s="1">
        <v>5200</v>
      </c>
      <c r="I576" s="5">
        <v>-3219.44</v>
      </c>
      <c r="J576" s="5">
        <v>8682.18</v>
      </c>
      <c r="K576" s="1">
        <v>0.64</v>
      </c>
      <c r="L576" s="1" t="str">
        <f>"A280737240"</f>
        <v>A280737240</v>
      </c>
      <c r="M576" s="1" t="str">
        <f>"证券买入"</f>
        <v>证券买入</v>
      </c>
    </row>
    <row r="577" spans="1:13" x14ac:dyDescent="0.2">
      <c r="A577" s="3" t="str">
        <f>"3631"</f>
        <v>3631</v>
      </c>
      <c r="B577" s="4">
        <v>43318</v>
      </c>
      <c r="C577" s="11" t="str">
        <f>"银华日利"</f>
        <v>银华日利</v>
      </c>
      <c r="D577" s="11" t="str">
        <f>"511880"</f>
        <v>511880</v>
      </c>
      <c r="E577" s="11" t="str">
        <f>"卖出"</f>
        <v>卖出</v>
      </c>
      <c r="F577" s="11" t="str">
        <f>"证券卖出"</f>
        <v>证券卖出</v>
      </c>
      <c r="G577" s="13">
        <v>102.496</v>
      </c>
      <c r="H577" s="1">
        <v>-100</v>
      </c>
      <c r="I577" s="5">
        <v>10249.6</v>
      </c>
      <c r="J577" s="5">
        <v>18931.78</v>
      </c>
      <c r="K577" s="1">
        <v>0</v>
      </c>
      <c r="L577" s="1" t="str">
        <f>"A280737240"</f>
        <v>A280737240</v>
      </c>
      <c r="M577" s="1" t="str">
        <f>"证券卖出"</f>
        <v>证券卖出</v>
      </c>
    </row>
    <row r="578" spans="1:13" x14ac:dyDescent="0.2">
      <c r="A578" s="3" t="str">
        <f>"3632"</f>
        <v>3632</v>
      </c>
      <c r="B578" s="4">
        <v>43318</v>
      </c>
      <c r="C578" s="11" t="str">
        <f>"300ETF"</f>
        <v>300ETF</v>
      </c>
      <c r="D578" s="11" t="str">
        <f>"510300"</f>
        <v>510300</v>
      </c>
      <c r="E578" s="11" t="str">
        <f>"买入"</f>
        <v>买入</v>
      </c>
      <c r="F578" s="11" t="str">
        <f>"证券买入"</f>
        <v>证券买入</v>
      </c>
      <c r="G578" s="13">
        <v>3.3359999999999999</v>
      </c>
      <c r="H578" s="1">
        <v>1900</v>
      </c>
      <c r="I578" s="5">
        <v>-6339.67</v>
      </c>
      <c r="J578" s="5">
        <v>12592.11</v>
      </c>
      <c r="K578" s="1">
        <v>1.27</v>
      </c>
      <c r="L578" s="1" t="str">
        <f>"A280737240"</f>
        <v>A280737240</v>
      </c>
      <c r="M578" s="1" t="str">
        <f>"证券买入"</f>
        <v>证券买入</v>
      </c>
    </row>
    <row r="579" spans="1:13" x14ac:dyDescent="0.2">
      <c r="A579" s="3" t="str">
        <f>"3633"</f>
        <v>3633</v>
      </c>
      <c r="B579" s="4">
        <v>43318</v>
      </c>
      <c r="C579" s="11" t="str">
        <f>"500ETF"</f>
        <v>500ETF</v>
      </c>
      <c r="D579" s="11" t="str">
        <f>"510500"</f>
        <v>510500</v>
      </c>
      <c r="E579" s="11" t="str">
        <f>"买入"</f>
        <v>买入</v>
      </c>
      <c r="F579" s="11" t="str">
        <f>"证券买入"</f>
        <v>证券买入</v>
      </c>
      <c r="G579" s="13">
        <v>5.1440000000000001</v>
      </c>
      <c r="H579" s="1">
        <v>1200</v>
      </c>
      <c r="I579" s="5">
        <v>-6174.03</v>
      </c>
      <c r="J579" s="5">
        <v>6418.08</v>
      </c>
      <c r="K579" s="1">
        <v>1.23</v>
      </c>
      <c r="L579" s="1" t="str">
        <f>"A280737240"</f>
        <v>A280737240</v>
      </c>
      <c r="M579" s="1" t="str">
        <f>"证券买入"</f>
        <v>证券买入</v>
      </c>
    </row>
    <row r="580" spans="1:13" x14ac:dyDescent="0.2">
      <c r="A580" s="3" t="str">
        <f>"6755"</f>
        <v>6755</v>
      </c>
      <c r="B580" s="4">
        <v>43318</v>
      </c>
      <c r="C580" s="11" t="str">
        <f>"广发医药"</f>
        <v>广发医药</v>
      </c>
      <c r="D580" s="11" t="str">
        <f>"159938"</f>
        <v>159938</v>
      </c>
      <c r="E580" s="11" t="str">
        <f>"买入"</f>
        <v>买入</v>
      </c>
      <c r="F580" s="11" t="str">
        <f>"证券买入"</f>
        <v>证券买入</v>
      </c>
      <c r="G580" s="13">
        <v>1.258</v>
      </c>
      <c r="H580" s="1">
        <v>5100</v>
      </c>
      <c r="I580" s="5">
        <v>-6417.08</v>
      </c>
      <c r="J580" s="5">
        <v>1</v>
      </c>
      <c r="K580" s="1">
        <v>1.28</v>
      </c>
      <c r="L580" s="1" t="str">
        <f>"0184500716"</f>
        <v>0184500716</v>
      </c>
      <c r="M580" s="1" t="str">
        <f>"证券买入"</f>
        <v>证券买入</v>
      </c>
    </row>
    <row r="581" spans="1:13" x14ac:dyDescent="0.2">
      <c r="A581" s="3" t="str">
        <f>"1802"</f>
        <v>1802</v>
      </c>
      <c r="B581" s="4">
        <v>43319</v>
      </c>
      <c r="C581" s="11" t="s">
        <v>34</v>
      </c>
      <c r="D581" s="11">
        <v>940018</v>
      </c>
      <c r="E581" s="11" t="str">
        <f>"卖出"</f>
        <v>卖出</v>
      </c>
      <c r="F581" s="11" t="str">
        <f>"基金资金拨出"</f>
        <v>基金资金拨出</v>
      </c>
      <c r="G581" s="13">
        <v>0</v>
      </c>
      <c r="H581" s="1">
        <v>0</v>
      </c>
      <c r="I581" s="5">
        <v>-1</v>
      </c>
      <c r="J581" s="5">
        <v>0</v>
      </c>
      <c r="K581" s="1">
        <v>0</v>
      </c>
      <c r="L581" s="1" t="str">
        <f t="shared" ref="L581:L582" si="86">" "</f>
        <v xml:space="preserve"> </v>
      </c>
      <c r="M581" s="1" t="str">
        <f>"122扣除金额 基金代码：940018,发生份额：1"</f>
        <v>122扣除金额 基金代码：940018,发生份额：1</v>
      </c>
    </row>
    <row r="582" spans="1:13" x14ac:dyDescent="0.2">
      <c r="A582" s="3" t="str">
        <f>"1440"</f>
        <v>1440</v>
      </c>
      <c r="B582" s="4">
        <v>43332</v>
      </c>
      <c r="C582" s="11" t="s">
        <v>34</v>
      </c>
      <c r="D582" s="11">
        <v>940018</v>
      </c>
      <c r="E582" s="11" t="str">
        <f>"卖出"</f>
        <v>卖出</v>
      </c>
      <c r="F582" s="11" t="str">
        <f>"基金资金拨出"</f>
        <v>基金资金拨出</v>
      </c>
      <c r="G582" s="13">
        <v>0</v>
      </c>
      <c r="H582" s="1">
        <v>0</v>
      </c>
      <c r="I582" s="5">
        <v>-3889.53</v>
      </c>
      <c r="J582" s="5">
        <v>-3889.53</v>
      </c>
      <c r="K582" s="1">
        <v>0</v>
      </c>
      <c r="L582" s="1" t="str">
        <f t="shared" si="86"/>
        <v xml:space="preserve"> </v>
      </c>
      <c r="M582" s="1" t="str">
        <f>"122扣除金额 基金代码：940018,发生份额：3889.53"</f>
        <v>122扣除金额 基金代码：940018,发生份额：3889.53</v>
      </c>
    </row>
    <row r="583" spans="1:13" x14ac:dyDescent="0.2">
      <c r="A583" s="3" t="str">
        <f>"3280"</f>
        <v>3280</v>
      </c>
      <c r="B583" s="4">
        <v>43332</v>
      </c>
      <c r="C583" s="11" t="str">
        <f>"银华日利"</f>
        <v>银华日利</v>
      </c>
      <c r="D583" s="11" t="str">
        <f>"511880"</f>
        <v>511880</v>
      </c>
      <c r="E583" s="11" t="str">
        <f>"卖出"</f>
        <v>卖出</v>
      </c>
      <c r="F583" s="11" t="str">
        <f>"证券卖出"</f>
        <v>证券卖出</v>
      </c>
      <c r="G583" s="13">
        <v>102.602</v>
      </c>
      <c r="H583" s="1">
        <v>-100</v>
      </c>
      <c r="I583" s="5">
        <v>10260.200000000001</v>
      </c>
      <c r="J583" s="5">
        <v>6370.67</v>
      </c>
      <c r="K583" s="1">
        <v>0</v>
      </c>
      <c r="L583" s="1" t="str">
        <f>"A280737240"</f>
        <v>A280737240</v>
      </c>
      <c r="M583" s="1" t="str">
        <f>"证券卖出"</f>
        <v>证券卖出</v>
      </c>
    </row>
    <row r="584" spans="1:13" x14ac:dyDescent="0.2">
      <c r="A584" s="3" t="str">
        <f>"3281"</f>
        <v>3281</v>
      </c>
      <c r="B584" s="4">
        <v>43332</v>
      </c>
      <c r="C584" s="11" t="str">
        <f>"传媒ETF"</f>
        <v>传媒ETF</v>
      </c>
      <c r="D584" s="11" t="str">
        <f>"512980"</f>
        <v>512980</v>
      </c>
      <c r="E584" s="11" t="str">
        <f>"买入"</f>
        <v>买入</v>
      </c>
      <c r="F584" s="11" t="str">
        <f>"证券买入"</f>
        <v>证券买入</v>
      </c>
      <c r="G584" s="13">
        <v>0.73199999999999998</v>
      </c>
      <c r="H584" s="1">
        <v>8700</v>
      </c>
      <c r="I584" s="5">
        <v>-6369.67</v>
      </c>
      <c r="J584" s="5">
        <v>1</v>
      </c>
      <c r="K584" s="1">
        <v>1.27</v>
      </c>
      <c r="L584" s="1" t="str">
        <f>"A280737240"</f>
        <v>A280737240</v>
      </c>
      <c r="M584" s="1" t="str">
        <f>"证券买入"</f>
        <v>证券买入</v>
      </c>
    </row>
    <row r="585" spans="1:13" x14ac:dyDescent="0.2">
      <c r="A585" s="3" t="str">
        <f>"1623"</f>
        <v>1623</v>
      </c>
      <c r="B585" s="4">
        <v>43333</v>
      </c>
      <c r="C585" s="11" t="s">
        <v>34</v>
      </c>
      <c r="D585" s="11">
        <v>940018</v>
      </c>
      <c r="E585" s="11" t="str">
        <f>"卖出"</f>
        <v>卖出</v>
      </c>
      <c r="F585" s="11" t="str">
        <f>"基金资金拨出"</f>
        <v>基金资金拨出</v>
      </c>
      <c r="G585" s="13">
        <v>0</v>
      </c>
      <c r="H585" s="1">
        <v>0</v>
      </c>
      <c r="I585" s="5">
        <v>-1</v>
      </c>
      <c r="J585" s="5">
        <v>0</v>
      </c>
      <c r="K585" s="1">
        <v>0</v>
      </c>
      <c r="L585" s="1" t="str">
        <f t="shared" ref="L585:L587" si="87">" "</f>
        <v xml:space="preserve"> </v>
      </c>
      <c r="M585" s="1" t="str">
        <f>"122扣除金额 基金代码：940018,发生份额：1"</f>
        <v>122扣除金额 基金代码：940018,发生份额：1</v>
      </c>
    </row>
    <row r="586" spans="1:13" x14ac:dyDescent="0.2">
      <c r="A586" s="3" t="str">
        <f>"1958"</f>
        <v>1958</v>
      </c>
      <c r="B586" s="4">
        <v>43336</v>
      </c>
      <c r="C586" s="11" t="s">
        <v>34</v>
      </c>
      <c r="D586" s="11">
        <v>940018</v>
      </c>
      <c r="E586" s="11" t="str">
        <f>"卖出"</f>
        <v>卖出</v>
      </c>
      <c r="F586" s="11" t="str">
        <f>"基金资金拨出"</f>
        <v>基金资金拨出</v>
      </c>
      <c r="G586" s="13">
        <v>0</v>
      </c>
      <c r="H586" s="1">
        <v>0</v>
      </c>
      <c r="I586" s="5">
        <v>-2093.0100000000002</v>
      </c>
      <c r="J586" s="5">
        <v>-2093.0100000000002</v>
      </c>
      <c r="K586" s="1">
        <v>0</v>
      </c>
      <c r="L586" s="1" t="str">
        <f t="shared" si="87"/>
        <v xml:space="preserve"> </v>
      </c>
      <c r="M586" s="1" t="str">
        <f>"122扣除金额 基金代码：940018,发生份额：2093.01"</f>
        <v>122扣除金额 基金代码：940018,发生份额：2093.01</v>
      </c>
    </row>
    <row r="587" spans="1:13" x14ac:dyDescent="0.2">
      <c r="A587" s="3" t="str">
        <f>"1959"</f>
        <v>1959</v>
      </c>
      <c r="B587" s="4">
        <v>43336</v>
      </c>
      <c r="C587" s="11" t="s">
        <v>34</v>
      </c>
      <c r="D587" s="11">
        <v>940018</v>
      </c>
      <c r="E587" s="11" t="str">
        <f>"卖出"</f>
        <v>卖出</v>
      </c>
      <c r="F587" s="11" t="str">
        <f>"基金资金拨入"</f>
        <v>基金资金拨入</v>
      </c>
      <c r="G587" s="13">
        <v>0</v>
      </c>
      <c r="H587" s="1">
        <v>0</v>
      </c>
      <c r="I587" s="5">
        <v>8274.0499999999993</v>
      </c>
      <c r="J587" s="5">
        <v>6181.04</v>
      </c>
      <c r="K587" s="1">
        <v>0</v>
      </c>
      <c r="L587" s="1" t="str">
        <f t="shared" si="87"/>
        <v xml:space="preserve"> </v>
      </c>
      <c r="M587" s="1" t="str">
        <f>"124增加金额 基金代码：940018,发生份额：8274.05"</f>
        <v>124增加金额 基金代码：940018,发生份额：8274.05</v>
      </c>
    </row>
    <row r="588" spans="1:13" x14ac:dyDescent="0.2">
      <c r="A588" s="3" t="str">
        <f>"3596"</f>
        <v>3596</v>
      </c>
      <c r="B588" s="4">
        <v>43336</v>
      </c>
      <c r="C588" s="11" t="str">
        <f>"500ETF"</f>
        <v>500ETF</v>
      </c>
      <c r="D588" s="11" t="str">
        <f>"510500"</f>
        <v>510500</v>
      </c>
      <c r="E588" s="11" t="str">
        <f>"买入"</f>
        <v>买入</v>
      </c>
      <c r="F588" s="11" t="str">
        <f>"证券买入"</f>
        <v>证券买入</v>
      </c>
      <c r="G588" s="13">
        <v>5.149</v>
      </c>
      <c r="H588" s="1">
        <v>1200</v>
      </c>
      <c r="I588" s="5">
        <v>-6180.04</v>
      </c>
      <c r="J588" s="5">
        <v>1</v>
      </c>
      <c r="K588" s="1">
        <v>1.24</v>
      </c>
      <c r="L588" s="1" t="str">
        <f>"A280737240"</f>
        <v>A280737240</v>
      </c>
      <c r="M588" s="1" t="str">
        <f>"证券买入"</f>
        <v>证券买入</v>
      </c>
    </row>
    <row r="589" spans="1:13" x14ac:dyDescent="0.2">
      <c r="A589" s="3" t="str">
        <f>"1595"</f>
        <v>1595</v>
      </c>
      <c r="B589" s="4">
        <v>43339</v>
      </c>
      <c r="C589" s="11" t="s">
        <v>34</v>
      </c>
      <c r="D589" s="11">
        <v>940018</v>
      </c>
      <c r="E589" s="11" t="str">
        <f>"卖出"</f>
        <v>卖出</v>
      </c>
      <c r="F589" s="11" t="str">
        <f>"基金资金拨出"</f>
        <v>基金资金拨出</v>
      </c>
      <c r="G589" s="13">
        <v>0</v>
      </c>
      <c r="H589" s="1">
        <v>0</v>
      </c>
      <c r="I589" s="5">
        <v>-1</v>
      </c>
      <c r="J589" s="5">
        <v>0</v>
      </c>
      <c r="K589" s="1">
        <v>0</v>
      </c>
      <c r="L589" s="1" t="str">
        <f t="shared" ref="L589:L591" si="88">" "</f>
        <v xml:space="preserve"> </v>
      </c>
      <c r="M589" s="1" t="str">
        <f>"122扣除金额 基金代码：940018,发生份额：1"</f>
        <v>122扣除金额 基金代码：940018,发生份额：1</v>
      </c>
    </row>
    <row r="590" spans="1:13" x14ac:dyDescent="0.2">
      <c r="A590" s="3" t="str">
        <f>"1609"</f>
        <v>1609</v>
      </c>
      <c r="B590" s="4">
        <v>43343</v>
      </c>
      <c r="C590" s="11" t="s">
        <v>34</v>
      </c>
      <c r="D590" s="11">
        <v>940018</v>
      </c>
      <c r="E590" s="11" t="str">
        <f>"卖出"</f>
        <v>卖出</v>
      </c>
      <c r="F590" s="11" t="str">
        <f>"基金资金拨出"</f>
        <v>基金资金拨出</v>
      </c>
      <c r="G590" s="13">
        <v>0</v>
      </c>
      <c r="H590" s="1">
        <v>0</v>
      </c>
      <c r="I590" s="5">
        <v>-1586.96</v>
      </c>
      <c r="J590" s="5">
        <v>-1586.96</v>
      </c>
      <c r="K590" s="1">
        <v>0</v>
      </c>
      <c r="L590" s="1" t="str">
        <f t="shared" si="88"/>
        <v xml:space="preserve"> </v>
      </c>
      <c r="M590" s="1" t="str">
        <f>"122扣除金额 基金代码：940018,发生份额：1586.96"</f>
        <v>122扣除金额 基金代码：940018,发生份额：1586.96</v>
      </c>
    </row>
    <row r="591" spans="1:13" x14ac:dyDescent="0.2">
      <c r="A591" s="3" t="str">
        <f>"1610"</f>
        <v>1610</v>
      </c>
      <c r="B591" s="4">
        <v>43343</v>
      </c>
      <c r="C591" s="11" t="s">
        <v>34</v>
      </c>
      <c r="D591" s="11">
        <v>940018</v>
      </c>
      <c r="E591" s="11" t="str">
        <f>"卖出"</f>
        <v>卖出</v>
      </c>
      <c r="F591" s="11" t="str">
        <f>"基金资金拨入"</f>
        <v>基金资金拨入</v>
      </c>
      <c r="G591" s="13">
        <v>0</v>
      </c>
      <c r="H591" s="1">
        <v>0</v>
      </c>
      <c r="I591" s="5">
        <v>2101.2600000000002</v>
      </c>
      <c r="J591" s="5">
        <v>514.29999999999995</v>
      </c>
      <c r="K591" s="1">
        <v>0</v>
      </c>
      <c r="L591" s="1" t="str">
        <f t="shared" si="88"/>
        <v xml:space="preserve"> </v>
      </c>
      <c r="M591" s="1" t="str">
        <f>"124增加金额 基金代码：940018,发生份额：2101.26"</f>
        <v>124增加金额 基金代码：940018,发生份额：2101.26</v>
      </c>
    </row>
    <row r="592" spans="1:13" x14ac:dyDescent="0.2">
      <c r="A592" s="3" t="str">
        <f>"3353"</f>
        <v>3353</v>
      </c>
      <c r="B592" s="4">
        <v>43343</v>
      </c>
      <c r="C592" s="11" t="str">
        <f>"500ETF"</f>
        <v>500ETF</v>
      </c>
      <c r="D592" s="11" t="str">
        <f>"510500"</f>
        <v>510500</v>
      </c>
      <c r="E592" s="11" t="str">
        <f>"买入"</f>
        <v>买入</v>
      </c>
      <c r="F592" s="11" t="str">
        <f>"证券买入"</f>
        <v>证券买入</v>
      </c>
      <c r="G592" s="13">
        <v>5.1319999999999997</v>
      </c>
      <c r="H592" s="1">
        <v>100</v>
      </c>
      <c r="I592" s="5">
        <v>-513.29999999999995</v>
      </c>
      <c r="J592" s="5">
        <v>1</v>
      </c>
      <c r="K592" s="1">
        <v>0.1</v>
      </c>
      <c r="L592" s="1" t="str">
        <f>"A280737240"</f>
        <v>A280737240</v>
      </c>
      <c r="M592" s="1" t="str">
        <f>"证券买入"</f>
        <v>证券买入</v>
      </c>
    </row>
    <row r="593" spans="1:13" x14ac:dyDescent="0.2">
      <c r="A593" s="3" t="str">
        <f>"656"</f>
        <v>656</v>
      </c>
      <c r="B593" s="4">
        <v>43346</v>
      </c>
      <c r="C593" s="11" t="str">
        <f t="shared" ref="C593:L595" si="89">" "</f>
        <v xml:space="preserve"> </v>
      </c>
      <c r="D593" s="11"/>
      <c r="E593" s="11" t="str">
        <f>"卖出"</f>
        <v>卖出</v>
      </c>
      <c r="F593" s="11" t="str">
        <f>"银行转存"</f>
        <v>银行转存</v>
      </c>
      <c r="G593" s="13">
        <v>0</v>
      </c>
      <c r="H593" s="1">
        <v>0</v>
      </c>
      <c r="I593" s="5">
        <v>12000</v>
      </c>
      <c r="J593" s="5">
        <v>12001</v>
      </c>
      <c r="K593" s="1">
        <v>0</v>
      </c>
      <c r="L593" s="1" t="str">
        <f t="shared" si="89"/>
        <v xml:space="preserve"> </v>
      </c>
      <c r="M593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94" spans="1:13" x14ac:dyDescent="0.2">
      <c r="A594" s="3" t="str">
        <f>"1728"</f>
        <v>1728</v>
      </c>
      <c r="B594" s="4">
        <v>43346</v>
      </c>
      <c r="C594" s="11" t="s">
        <v>34</v>
      </c>
      <c r="D594" s="11">
        <v>940018</v>
      </c>
      <c r="E594" s="11" t="str">
        <f>"卖出"</f>
        <v>卖出</v>
      </c>
      <c r="F594" s="11" t="str">
        <f>"基金资金拨出"</f>
        <v>基金资金拨出</v>
      </c>
      <c r="G594" s="13">
        <v>0</v>
      </c>
      <c r="H594" s="1">
        <v>0</v>
      </c>
      <c r="I594" s="5">
        <v>-613.76</v>
      </c>
      <c r="J594" s="5">
        <v>11387.24</v>
      </c>
      <c r="K594" s="1">
        <v>0</v>
      </c>
      <c r="L594" s="1" t="str">
        <f t="shared" si="89"/>
        <v xml:space="preserve"> </v>
      </c>
      <c r="M594" s="1" t="str">
        <f>"122扣除金额 基金代码：940018,发生份额：613.76"</f>
        <v>122扣除金额 基金代码：940018,发生份额：613.76</v>
      </c>
    </row>
    <row r="595" spans="1:13" x14ac:dyDescent="0.2">
      <c r="A595" s="3" t="str">
        <f>"1730"</f>
        <v>1730</v>
      </c>
      <c r="B595" s="4">
        <v>43346</v>
      </c>
      <c r="C595" s="11" t="s">
        <v>34</v>
      </c>
      <c r="D595" s="11">
        <v>940018</v>
      </c>
      <c r="E595" s="11" t="str">
        <f>"卖出"</f>
        <v>卖出</v>
      </c>
      <c r="F595" s="11" t="str">
        <f>"基金资金拨入"</f>
        <v>基金资金拨入</v>
      </c>
      <c r="G595" s="13">
        <v>0</v>
      </c>
      <c r="H595" s="1">
        <v>0</v>
      </c>
      <c r="I595" s="5">
        <v>1586.96</v>
      </c>
      <c r="J595" s="5">
        <v>12974.2</v>
      </c>
      <c r="K595" s="1">
        <v>0</v>
      </c>
      <c r="L595" s="1" t="str">
        <f t="shared" si="89"/>
        <v xml:space="preserve"> </v>
      </c>
      <c r="M595" s="1" t="str">
        <f>"124增加金额 基金代码：940018,发生份额：1586.96"</f>
        <v>124增加金额 基金代码：940018,发生份额：1586.96</v>
      </c>
    </row>
    <row r="596" spans="1:13" x14ac:dyDescent="0.2">
      <c r="A596" s="3" t="str">
        <f>"3073"</f>
        <v>3073</v>
      </c>
      <c r="B596" s="4">
        <v>43346</v>
      </c>
      <c r="C596" s="11" t="str">
        <f>"500ETF"</f>
        <v>500ETF</v>
      </c>
      <c r="D596" s="11" t="str">
        <f>"510500"</f>
        <v>510500</v>
      </c>
      <c r="E596" s="11" t="str">
        <f>"买入"</f>
        <v>买入</v>
      </c>
      <c r="F596" s="11" t="str">
        <f>"证券买入"</f>
        <v>证券买入</v>
      </c>
      <c r="G596" s="13">
        <v>5.0709999999999997</v>
      </c>
      <c r="H596" s="1">
        <v>1300</v>
      </c>
      <c r="I596" s="5">
        <v>-6593.62</v>
      </c>
      <c r="J596" s="5">
        <v>6380.58</v>
      </c>
      <c r="K596" s="1">
        <v>1.32</v>
      </c>
      <c r="L596" s="1" t="str">
        <f>"A280737240"</f>
        <v>A280737240</v>
      </c>
      <c r="M596" s="1" t="str">
        <f>"证券买入"</f>
        <v>证券买入</v>
      </c>
    </row>
    <row r="597" spans="1:13" x14ac:dyDescent="0.2">
      <c r="A597" s="3" t="str">
        <f>"3074"</f>
        <v>3074</v>
      </c>
      <c r="B597" s="4">
        <v>43346</v>
      </c>
      <c r="C597" s="11" t="str">
        <f>"300ETF"</f>
        <v>300ETF</v>
      </c>
      <c r="D597" s="11" t="str">
        <f>"510300"</f>
        <v>510300</v>
      </c>
      <c r="E597" s="11" t="str">
        <f>"买入"</f>
        <v>买入</v>
      </c>
      <c r="F597" s="11" t="str">
        <f>"证券买入"</f>
        <v>证券买入</v>
      </c>
      <c r="G597" s="13">
        <v>3.3570000000000002</v>
      </c>
      <c r="H597" s="1">
        <v>1900</v>
      </c>
      <c r="I597" s="5">
        <v>-6379.58</v>
      </c>
      <c r="J597" s="5">
        <v>1</v>
      </c>
      <c r="K597" s="1">
        <v>1.28</v>
      </c>
      <c r="L597" s="1" t="str">
        <f>"A280737240"</f>
        <v>A280737240</v>
      </c>
      <c r="M597" s="1" t="str">
        <f>"证券买入"</f>
        <v>证券买入</v>
      </c>
    </row>
    <row r="598" spans="1:13" x14ac:dyDescent="0.2">
      <c r="A598" s="3" t="str">
        <f>"1792"</f>
        <v>1792</v>
      </c>
      <c r="B598" s="4">
        <v>43347</v>
      </c>
      <c r="C598" s="11" t="s">
        <v>34</v>
      </c>
      <c r="D598" s="11">
        <v>940018</v>
      </c>
      <c r="E598" s="11" t="str">
        <f>"卖出"</f>
        <v>卖出</v>
      </c>
      <c r="F598" s="11" t="str">
        <f>"基金资金拨入"</f>
        <v>基金资金拨入</v>
      </c>
      <c r="G598" s="13">
        <v>0</v>
      </c>
      <c r="H598" s="1">
        <v>0</v>
      </c>
      <c r="I598" s="5">
        <v>613.76</v>
      </c>
      <c r="J598" s="5">
        <v>614.76</v>
      </c>
      <c r="K598" s="1">
        <v>0</v>
      </c>
      <c r="L598" s="1" t="str">
        <f>" "</f>
        <v xml:space="preserve"> </v>
      </c>
      <c r="M598" s="1" t="str">
        <f>"124增加金额 基金代码：940018,发生份额：613.76"</f>
        <v>124增加金额 基金代码：940018,发生份额：613.76</v>
      </c>
    </row>
    <row r="599" spans="1:13" x14ac:dyDescent="0.2">
      <c r="A599" s="3" t="str">
        <f>"3452"</f>
        <v>3452</v>
      </c>
      <c r="B599" s="4">
        <v>43347</v>
      </c>
      <c r="C599" s="11" t="str">
        <f>"银华日利"</f>
        <v>银华日利</v>
      </c>
      <c r="D599" s="11" t="str">
        <f>"511880"</f>
        <v>511880</v>
      </c>
      <c r="E599" s="11" t="str">
        <f>"卖出"</f>
        <v>卖出</v>
      </c>
      <c r="F599" s="11" t="str">
        <f>"证券卖出"</f>
        <v>证券卖出</v>
      </c>
      <c r="G599" s="13">
        <v>102.744</v>
      </c>
      <c r="H599" s="1">
        <v>-1600</v>
      </c>
      <c r="I599" s="5">
        <v>164390.39999999999</v>
      </c>
      <c r="J599" s="5">
        <v>165005.16</v>
      </c>
      <c r="K599" s="1">
        <v>0</v>
      </c>
      <c r="L599" s="1" t="str">
        <f>"A280737240"</f>
        <v>A280737240</v>
      </c>
      <c r="M599" s="1" t="str">
        <f>"证券卖出"</f>
        <v>证券卖出</v>
      </c>
    </row>
    <row r="600" spans="1:13" x14ac:dyDescent="0.2">
      <c r="A600" s="3" t="str">
        <f>"256"</f>
        <v>256</v>
      </c>
      <c r="B600" s="4">
        <v>43348</v>
      </c>
      <c r="C600" s="11" t="str">
        <f t="shared" ref="C600:L602" si="90">" "</f>
        <v xml:space="preserve"> </v>
      </c>
      <c r="D600" s="11"/>
      <c r="E600" s="11" t="str">
        <f>"卖出"</f>
        <v>卖出</v>
      </c>
      <c r="F600" s="11" t="str">
        <f>"银行转取"</f>
        <v>银行转取</v>
      </c>
      <c r="G600" s="13">
        <v>0</v>
      </c>
      <c r="H600" s="1">
        <v>0</v>
      </c>
      <c r="I600" s="5">
        <v>-165005.16</v>
      </c>
      <c r="J600" s="5">
        <v>0</v>
      </c>
      <c r="K600" s="1">
        <v>0</v>
      </c>
      <c r="L600" s="1" t="str">
        <f t="shared" si="90"/>
        <v xml:space="preserve"> </v>
      </c>
      <c r="M600" s="1" t="str">
        <f>"银行返回码[ ]返回信息[0000 交易成功]|转账成功 转账账号:6225881012906292 correct_balance=165005.16"</f>
        <v>银行返回码[ ]返回信息[0000 交易成功]|转账成功 转账账号:6225881012906292 correct_balance=165005.16</v>
      </c>
    </row>
    <row r="601" spans="1:13" x14ac:dyDescent="0.2">
      <c r="A601" s="3" t="str">
        <f>"435"</f>
        <v>435</v>
      </c>
      <c r="B601" s="4">
        <v>43354</v>
      </c>
      <c r="C601" s="11" t="str">
        <f t="shared" si="90"/>
        <v xml:space="preserve"> </v>
      </c>
      <c r="D601" s="11"/>
      <c r="E601" s="11" t="str">
        <f>"卖出"</f>
        <v>卖出</v>
      </c>
      <c r="F601" s="11" t="str">
        <f>"银行转存"</f>
        <v>银行转存</v>
      </c>
      <c r="G601" s="13">
        <v>0</v>
      </c>
      <c r="H601" s="1">
        <v>0</v>
      </c>
      <c r="I601" s="5">
        <v>3210</v>
      </c>
      <c r="J601" s="5">
        <v>3210</v>
      </c>
      <c r="K601" s="1">
        <v>0</v>
      </c>
      <c r="L601" s="1" t="str">
        <f t="shared" si="90"/>
        <v xml:space="preserve"> </v>
      </c>
      <c r="M601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02" spans="1:13" x14ac:dyDescent="0.2">
      <c r="A602" s="3" t="str">
        <f>"1755"</f>
        <v>1755</v>
      </c>
      <c r="B602" s="4">
        <v>43354</v>
      </c>
      <c r="C602" s="11" t="s">
        <v>34</v>
      </c>
      <c r="D602" s="11">
        <v>940018</v>
      </c>
      <c r="E602" s="11" t="str">
        <f>"卖出"</f>
        <v>卖出</v>
      </c>
      <c r="F602" s="11" t="str">
        <f>"基金资金拨出"</f>
        <v>基金资金拨出</v>
      </c>
      <c r="G602" s="13">
        <v>0</v>
      </c>
      <c r="H602" s="1">
        <v>0</v>
      </c>
      <c r="I602" s="5">
        <v>-49.37</v>
      </c>
      <c r="J602" s="5">
        <v>3160.63</v>
      </c>
      <c r="K602" s="1">
        <v>0</v>
      </c>
      <c r="L602" s="1" t="str">
        <f t="shared" si="90"/>
        <v xml:space="preserve"> </v>
      </c>
      <c r="M602" s="1" t="str">
        <f>"122扣除金额 基金代码：940018,发生份额：49.37"</f>
        <v>122扣除金额 基金代码：940018,发生份额：49.37</v>
      </c>
    </row>
    <row r="603" spans="1:13" x14ac:dyDescent="0.2">
      <c r="A603" s="3" t="str">
        <f>"3338"</f>
        <v>3338</v>
      </c>
      <c r="B603" s="4">
        <v>43354</v>
      </c>
      <c r="C603" s="11" t="str">
        <f>"1000ETF"</f>
        <v>1000ETF</v>
      </c>
      <c r="D603" s="11" t="str">
        <f>"512100"</f>
        <v>512100</v>
      </c>
      <c r="E603" s="11" t="str">
        <f>"买入"</f>
        <v>买入</v>
      </c>
      <c r="F603" s="11" t="str">
        <f>"证券买入"</f>
        <v>证券买入</v>
      </c>
      <c r="G603" s="13">
        <v>0.58499999999999996</v>
      </c>
      <c r="H603" s="1">
        <v>5400</v>
      </c>
      <c r="I603" s="5">
        <v>-3159.63</v>
      </c>
      <c r="J603" s="5">
        <v>1</v>
      </c>
      <c r="K603" s="1">
        <v>0.63</v>
      </c>
      <c r="L603" s="1" t="str">
        <f>"A280737240"</f>
        <v>A280737240</v>
      </c>
      <c r="M603" s="1" t="str">
        <f>"证券买入"</f>
        <v>证券买入</v>
      </c>
    </row>
    <row r="604" spans="1:13" x14ac:dyDescent="0.2">
      <c r="A604" s="3" t="str">
        <f>"5232"</f>
        <v>5232</v>
      </c>
      <c r="B604" s="4">
        <v>43355</v>
      </c>
      <c r="C604" s="11" t="s">
        <v>34</v>
      </c>
      <c r="D604" s="11">
        <v>940018</v>
      </c>
      <c r="E604" s="11" t="str">
        <f>"卖出"</f>
        <v>卖出</v>
      </c>
      <c r="F604" s="11" t="str">
        <f>"基金资金拨出"</f>
        <v>基金资金拨出</v>
      </c>
      <c r="G604" s="13">
        <v>0</v>
      </c>
      <c r="H604" s="1">
        <v>0</v>
      </c>
      <c r="I604" s="5">
        <v>-1</v>
      </c>
      <c r="J604" s="5">
        <v>0</v>
      </c>
      <c r="K604" s="1">
        <v>0</v>
      </c>
      <c r="L604" s="1" t="str">
        <f t="shared" ref="C604:L606" si="91">" "</f>
        <v xml:space="preserve"> </v>
      </c>
      <c r="M604" s="1" t="str">
        <f>"122扣除金额 基金代码：940018,发生份额：1"</f>
        <v>122扣除金额 基金代码：940018,发生份额：1</v>
      </c>
    </row>
    <row r="605" spans="1:13" x14ac:dyDescent="0.2">
      <c r="A605" s="3" t="str">
        <f>"661"</f>
        <v>661</v>
      </c>
      <c r="B605" s="4">
        <v>43357</v>
      </c>
      <c r="C605" s="11" t="str">
        <f t="shared" si="91"/>
        <v xml:space="preserve"> </v>
      </c>
      <c r="D605" s="11"/>
      <c r="E605" s="11" t="str">
        <f>"卖出"</f>
        <v>卖出</v>
      </c>
      <c r="F605" s="11" t="str">
        <f>"银行转存"</f>
        <v>银行转存</v>
      </c>
      <c r="G605" s="13">
        <v>0</v>
      </c>
      <c r="H605" s="1">
        <v>0</v>
      </c>
      <c r="I605" s="5">
        <v>10000</v>
      </c>
      <c r="J605" s="5">
        <v>10000</v>
      </c>
      <c r="K605" s="1">
        <v>0</v>
      </c>
      <c r="L605" s="1" t="str">
        <f t="shared" si="91"/>
        <v xml:space="preserve"> </v>
      </c>
      <c r="M605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06" spans="1:13" x14ac:dyDescent="0.2">
      <c r="A606" s="3" t="str">
        <f>"1814"</f>
        <v>1814</v>
      </c>
      <c r="B606" s="4">
        <v>43357</v>
      </c>
      <c r="C606" s="11" t="s">
        <v>34</v>
      </c>
      <c r="D606" s="11">
        <v>940018</v>
      </c>
      <c r="E606" s="11" t="str">
        <f>"卖出"</f>
        <v>卖出</v>
      </c>
      <c r="F606" s="11" t="str">
        <f>"基金资金拨出"</f>
        <v>基金资金拨出</v>
      </c>
      <c r="G606" s="13">
        <v>0</v>
      </c>
      <c r="H606" s="1">
        <v>0</v>
      </c>
      <c r="I606" s="5">
        <v>-3530.21</v>
      </c>
      <c r="J606" s="5">
        <v>6469.79</v>
      </c>
      <c r="K606" s="1">
        <v>0</v>
      </c>
      <c r="L606" s="1" t="str">
        <f t="shared" si="91"/>
        <v xml:space="preserve"> </v>
      </c>
      <c r="M606" s="1" t="str">
        <f>"122扣除金额 基金代码：940018,发生份额：3530.21"</f>
        <v>122扣除金额 基金代码：940018,发生份额：3530.21</v>
      </c>
    </row>
    <row r="607" spans="1:13" x14ac:dyDescent="0.2">
      <c r="A607" s="3" t="str">
        <f>"3245"</f>
        <v>3245</v>
      </c>
      <c r="B607" s="4">
        <v>43357</v>
      </c>
      <c r="C607" s="11" t="str">
        <f>"500ETF"</f>
        <v>500ETF</v>
      </c>
      <c r="D607" s="11" t="str">
        <f>"510500"</f>
        <v>510500</v>
      </c>
      <c r="E607" s="11" t="str">
        <f>"买入"</f>
        <v>买入</v>
      </c>
      <c r="F607" s="11" t="str">
        <f>"证券买入"</f>
        <v>证券买入</v>
      </c>
      <c r="G607" s="13">
        <v>4.9749999999999996</v>
      </c>
      <c r="H607" s="1">
        <v>1300</v>
      </c>
      <c r="I607" s="5">
        <v>-6468.79</v>
      </c>
      <c r="J607" s="5">
        <v>1</v>
      </c>
      <c r="K607" s="1">
        <v>1.29</v>
      </c>
      <c r="L607" s="1" t="str">
        <f>"A280737240"</f>
        <v>A280737240</v>
      </c>
      <c r="M607" s="1" t="str">
        <f>"证券买入"</f>
        <v>证券买入</v>
      </c>
    </row>
    <row r="608" spans="1:13" x14ac:dyDescent="0.2">
      <c r="A608" s="3" t="str">
        <f>"1396"</f>
        <v>1396</v>
      </c>
      <c r="B608" s="4">
        <v>43360</v>
      </c>
      <c r="C608" s="11" t="s">
        <v>34</v>
      </c>
      <c r="D608" s="11">
        <v>940018</v>
      </c>
      <c r="E608" s="11" t="str">
        <f>"卖出"</f>
        <v>卖出</v>
      </c>
      <c r="F608" s="11" t="str">
        <f>"基金资金拨出"</f>
        <v>基金资金拨出</v>
      </c>
      <c r="G608" s="13">
        <v>0</v>
      </c>
      <c r="H608" s="1">
        <v>0</v>
      </c>
      <c r="I608" s="5">
        <v>-1</v>
      </c>
      <c r="J608" s="5">
        <v>0</v>
      </c>
      <c r="K608" s="1">
        <v>0</v>
      </c>
      <c r="L608" s="1" t="str">
        <f t="shared" ref="C608:L612" si="92">" "</f>
        <v xml:space="preserve"> </v>
      </c>
      <c r="M608" s="1" t="str">
        <f>"122扣除金额 基金代码：940018,发生份额：1"</f>
        <v>122扣除金额 基金代码：940018,发生份额：1</v>
      </c>
    </row>
    <row r="609" spans="1:13" x14ac:dyDescent="0.2">
      <c r="A609" s="3" t="str">
        <f>"688"</f>
        <v>688</v>
      </c>
      <c r="B609" s="4">
        <v>43364</v>
      </c>
      <c r="C609" s="11" t="str">
        <f t="shared" si="92"/>
        <v xml:space="preserve"> </v>
      </c>
      <c r="D609" s="11"/>
      <c r="E609" s="11" t="str">
        <f>"卖出"</f>
        <v>卖出</v>
      </c>
      <c r="F609" s="11" t="str">
        <f>"银行转存"</f>
        <v>银行转存</v>
      </c>
      <c r="G609" s="13">
        <v>0</v>
      </c>
      <c r="H609" s="1">
        <v>0</v>
      </c>
      <c r="I609" s="5">
        <v>3000</v>
      </c>
      <c r="J609" s="5">
        <v>3000</v>
      </c>
      <c r="K609" s="1">
        <v>0</v>
      </c>
      <c r="L609" s="1" t="str">
        <f t="shared" si="92"/>
        <v xml:space="preserve"> </v>
      </c>
      <c r="M609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10" spans="1:13" x14ac:dyDescent="0.2">
      <c r="A610" s="3" t="str">
        <f>"5948"</f>
        <v>5948</v>
      </c>
      <c r="B610" s="4">
        <v>43364</v>
      </c>
      <c r="C610" s="11" t="str">
        <f t="shared" si="92"/>
        <v xml:space="preserve"> </v>
      </c>
      <c r="D610" s="11"/>
      <c r="E610" s="11" t="str">
        <f>"卖出"</f>
        <v>卖出</v>
      </c>
      <c r="F610" s="11" t="str">
        <f>"利息归本"</f>
        <v>利息归本</v>
      </c>
      <c r="G610" s="13">
        <v>0</v>
      </c>
      <c r="H610" s="1">
        <v>0</v>
      </c>
      <c r="I610" s="5">
        <v>1.6</v>
      </c>
      <c r="J610" s="5">
        <v>3001.6</v>
      </c>
      <c r="K610" s="1">
        <v>0</v>
      </c>
      <c r="L610" s="1" t="str">
        <f t="shared" si="92"/>
        <v xml:space="preserve"> </v>
      </c>
      <c r="M610" s="1" t="str">
        <f>" 利息归本: 归本利息为 1.6correct_balance=0"</f>
        <v xml:space="preserve"> 利息归本: 归本利息为 1.6correct_balance=0</v>
      </c>
    </row>
    <row r="611" spans="1:13" x14ac:dyDescent="0.2">
      <c r="A611" s="3" t="str">
        <f>"9090"</f>
        <v>9090</v>
      </c>
      <c r="B611" s="4">
        <v>43364</v>
      </c>
      <c r="C611" s="11" t="s">
        <v>34</v>
      </c>
      <c r="D611" s="11">
        <v>940018</v>
      </c>
      <c r="E611" s="11" t="str">
        <f>"卖出"</f>
        <v>卖出</v>
      </c>
      <c r="F611" s="11" t="str">
        <f>"基金资金拨出"</f>
        <v>基金资金拨出</v>
      </c>
      <c r="G611" s="13">
        <v>0</v>
      </c>
      <c r="H611" s="1">
        <v>0</v>
      </c>
      <c r="I611" s="5">
        <v>-3000</v>
      </c>
      <c r="J611" s="5">
        <v>1.6</v>
      </c>
      <c r="K611" s="1">
        <v>0</v>
      </c>
      <c r="L611" s="1" t="str">
        <f t="shared" si="92"/>
        <v xml:space="preserve"> </v>
      </c>
      <c r="M611" s="1" t="str">
        <f>"122扣除金额 基金代码：940018,发生份额：3000"</f>
        <v>122扣除金额 基金代码：940018,发生份额：3000</v>
      </c>
    </row>
    <row r="612" spans="1:13" x14ac:dyDescent="0.2">
      <c r="A612" s="3" t="str">
        <f>"6647"</f>
        <v>6647</v>
      </c>
      <c r="B612" s="4">
        <v>43368</v>
      </c>
      <c r="C612" s="11" t="s">
        <v>34</v>
      </c>
      <c r="D612" s="11">
        <v>940018</v>
      </c>
      <c r="E612" s="11" t="str">
        <f>"卖出"</f>
        <v>卖出</v>
      </c>
      <c r="F612" s="11" t="str">
        <f>"基金资金拨出"</f>
        <v>基金资金拨出</v>
      </c>
      <c r="G612" s="13">
        <v>0</v>
      </c>
      <c r="H612" s="1">
        <v>0</v>
      </c>
      <c r="I612" s="5">
        <v>-1.6</v>
      </c>
      <c r="J612" s="5">
        <v>0</v>
      </c>
      <c r="K612" s="1">
        <v>0</v>
      </c>
      <c r="L612" s="1" t="str">
        <f t="shared" si="92"/>
        <v xml:space="preserve"> </v>
      </c>
      <c r="M612" s="1" t="str">
        <f>"122扣除金额 基金代码：940018,发生份额：1.6"</f>
        <v>122扣除金额 基金代码：940018,发生份额：1.6</v>
      </c>
    </row>
    <row r="613" spans="1:13" x14ac:dyDescent="0.2">
      <c r="A613" s="3" t="str">
        <f>"4110"</f>
        <v>4110</v>
      </c>
      <c r="B613" s="4">
        <v>43371</v>
      </c>
      <c r="C613" s="11" t="str">
        <f>"创业板"</f>
        <v>创业板</v>
      </c>
      <c r="D613" s="11" t="str">
        <f>"159915"</f>
        <v>159915</v>
      </c>
      <c r="E613" s="11" t="str">
        <f>"买入"</f>
        <v>买入</v>
      </c>
      <c r="F613" s="11" t="str">
        <f>"证券买入"</f>
        <v>证券买入</v>
      </c>
      <c r="G613" s="13">
        <v>1.335</v>
      </c>
      <c r="H613" s="1">
        <v>4800</v>
      </c>
      <c r="I613" s="5">
        <v>-6409.28</v>
      </c>
      <c r="J613" s="5">
        <v>-6409.28</v>
      </c>
      <c r="K613" s="1">
        <v>1.28</v>
      </c>
      <c r="L613" s="1" t="str">
        <f>"0184500716"</f>
        <v>0184500716</v>
      </c>
      <c r="M613" s="1" t="str">
        <f>"证券买入"</f>
        <v>证券买入</v>
      </c>
    </row>
    <row r="614" spans="1:13" x14ac:dyDescent="0.2">
      <c r="A614" s="3" t="str">
        <f>"5165"</f>
        <v>5165</v>
      </c>
      <c r="B614" s="4">
        <v>43371</v>
      </c>
      <c r="C614" s="11" t="s">
        <v>34</v>
      </c>
      <c r="D614" s="11">
        <v>940018</v>
      </c>
      <c r="E614" s="11" t="str">
        <f>"卖出"</f>
        <v>卖出</v>
      </c>
      <c r="F614" s="11" t="str">
        <f>"基金资金拨出"</f>
        <v>基金资金拨出</v>
      </c>
      <c r="G614" s="13">
        <v>0</v>
      </c>
      <c r="H614" s="1">
        <v>0</v>
      </c>
      <c r="I614" s="5">
        <v>-175.65</v>
      </c>
      <c r="J614" s="5">
        <v>-6584.93</v>
      </c>
      <c r="K614" s="1">
        <v>0</v>
      </c>
      <c r="L614" s="1" t="str">
        <f t="shared" ref="C614:L617" si="93">" "</f>
        <v xml:space="preserve"> </v>
      </c>
      <c r="M614" s="1" t="str">
        <f>"122扣除金额 基金代码：940018,发生份额：175.65"</f>
        <v>122扣除金额 基金代码：940018,发生份额：175.65</v>
      </c>
    </row>
    <row r="615" spans="1:13" x14ac:dyDescent="0.2">
      <c r="A615" s="3" t="str">
        <f>"5166"</f>
        <v>5166</v>
      </c>
      <c r="B615" s="4">
        <v>43371</v>
      </c>
      <c r="C615" s="11" t="s">
        <v>34</v>
      </c>
      <c r="D615" s="11">
        <v>940018</v>
      </c>
      <c r="E615" s="11" t="str">
        <f>"卖出"</f>
        <v>卖出</v>
      </c>
      <c r="F615" s="11" t="str">
        <f>"基金资金拨入"</f>
        <v>基金资金拨入</v>
      </c>
      <c r="G615" s="13">
        <v>0</v>
      </c>
      <c r="H615" s="1">
        <v>0</v>
      </c>
      <c r="I615" s="5">
        <v>6585.93</v>
      </c>
      <c r="J615" s="5">
        <v>1</v>
      </c>
      <c r="K615" s="1">
        <v>0</v>
      </c>
      <c r="L615" s="1" t="str">
        <f t="shared" si="93"/>
        <v xml:space="preserve"> </v>
      </c>
      <c r="M615" s="1" t="str">
        <f>"124增加金额 基金代码：940018,发生份额：6585.93"</f>
        <v>124增加金额 基金代码：940018,发生份额：6585.93</v>
      </c>
    </row>
    <row r="616" spans="1:13" x14ac:dyDescent="0.2">
      <c r="A616" s="3" t="str">
        <f>"2285"</f>
        <v>2285</v>
      </c>
      <c r="B616" s="4">
        <v>43381</v>
      </c>
      <c r="C616" s="11" t="s">
        <v>34</v>
      </c>
      <c r="D616" s="11">
        <v>940018</v>
      </c>
      <c r="E616" s="11" t="str">
        <f>"卖出"</f>
        <v>卖出</v>
      </c>
      <c r="F616" s="11" t="str">
        <f>"基金资金拨出"</f>
        <v>基金资金拨出</v>
      </c>
      <c r="G616" s="13">
        <v>0</v>
      </c>
      <c r="H616" s="1">
        <v>0</v>
      </c>
      <c r="I616" s="5">
        <v>-1</v>
      </c>
      <c r="J616" s="5">
        <v>0</v>
      </c>
      <c r="K616" s="1">
        <v>0</v>
      </c>
      <c r="L616" s="1" t="str">
        <f t="shared" si="93"/>
        <v xml:space="preserve"> </v>
      </c>
      <c r="M616" s="1" t="str">
        <f>"122扣除金额 基金代码：940018,发生份额：1"</f>
        <v>122扣除金额 基金代码：940018,发生份额：1</v>
      </c>
    </row>
    <row r="617" spans="1:13" x14ac:dyDescent="0.2">
      <c r="A617" s="3" t="str">
        <f>"687"</f>
        <v>687</v>
      </c>
      <c r="B617" s="4">
        <v>43384</v>
      </c>
      <c r="C617" s="11" t="str">
        <f t="shared" si="93"/>
        <v xml:space="preserve"> </v>
      </c>
      <c r="D617" s="11"/>
      <c r="E617" s="11" t="str">
        <f>"卖出"</f>
        <v>卖出</v>
      </c>
      <c r="F617" s="11" t="str">
        <f>"银行转存"</f>
        <v>银行转存</v>
      </c>
      <c r="G617" s="13">
        <v>0</v>
      </c>
      <c r="H617" s="1">
        <v>0</v>
      </c>
      <c r="I617" s="5">
        <v>6400</v>
      </c>
      <c r="J617" s="5">
        <v>6400</v>
      </c>
      <c r="K617" s="1">
        <v>0</v>
      </c>
      <c r="L617" s="1" t="str">
        <f t="shared" si="93"/>
        <v xml:space="preserve"> </v>
      </c>
      <c r="M617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18" spans="1:13" x14ac:dyDescent="0.2">
      <c r="A618" s="3" t="str">
        <f>"3579"</f>
        <v>3579</v>
      </c>
      <c r="B618" s="4">
        <v>43384</v>
      </c>
      <c r="C618" s="11" t="str">
        <f>"500ETF"</f>
        <v>500ETF</v>
      </c>
      <c r="D618" s="11" t="str">
        <f>"510500"</f>
        <v>510500</v>
      </c>
      <c r="E618" s="11" t="str">
        <f>"买入"</f>
        <v>买入</v>
      </c>
      <c r="F618" s="11" t="str">
        <f>"证券买入"</f>
        <v>证券买入</v>
      </c>
      <c r="G618" s="13">
        <v>4.6289999999999996</v>
      </c>
      <c r="H618" s="1">
        <v>1400</v>
      </c>
      <c r="I618" s="5">
        <v>-6481.9</v>
      </c>
      <c r="J618" s="5">
        <v>-81.900000000000006</v>
      </c>
      <c r="K618" s="1">
        <v>1.3</v>
      </c>
      <c r="L618" s="1" t="str">
        <f>"A280737240"</f>
        <v>A280737240</v>
      </c>
      <c r="M618" s="1" t="str">
        <f>"证券买入"</f>
        <v>证券买入</v>
      </c>
    </row>
    <row r="619" spans="1:13" x14ac:dyDescent="0.2">
      <c r="A619" s="3" t="str">
        <f>"4056"</f>
        <v>4056</v>
      </c>
      <c r="B619" s="4">
        <v>43384</v>
      </c>
      <c r="C619" s="11" t="s">
        <v>34</v>
      </c>
      <c r="D619" s="11">
        <v>940018</v>
      </c>
      <c r="E619" s="11" t="str">
        <f t="shared" ref="E619:E624" si="94">"卖出"</f>
        <v>卖出</v>
      </c>
      <c r="F619" s="11" t="str">
        <f>"基金资金拨出"</f>
        <v>基金资金拨出</v>
      </c>
      <c r="G619" s="13">
        <v>0</v>
      </c>
      <c r="H619" s="1">
        <v>0</v>
      </c>
      <c r="I619" s="5">
        <v>-93.75</v>
      </c>
      <c r="J619" s="5">
        <v>-175.65</v>
      </c>
      <c r="K619" s="1">
        <v>0</v>
      </c>
      <c r="L619" s="1" t="str">
        <f t="shared" ref="C619:L624" si="95">" "</f>
        <v xml:space="preserve"> </v>
      </c>
      <c r="M619" s="1" t="str">
        <f>"122扣除金额 基金代码：940018,发生份额：93.75"</f>
        <v>122扣除金额 基金代码：940018,发生份额：93.75</v>
      </c>
    </row>
    <row r="620" spans="1:13" x14ac:dyDescent="0.2">
      <c r="A620" s="3" t="str">
        <f>"4057"</f>
        <v>4057</v>
      </c>
      <c r="B620" s="4">
        <v>43384</v>
      </c>
      <c r="C620" s="11" t="s">
        <v>34</v>
      </c>
      <c r="D620" s="11">
        <v>940018</v>
      </c>
      <c r="E620" s="11" t="str">
        <f t="shared" si="94"/>
        <v>卖出</v>
      </c>
      <c r="F620" s="11" t="str">
        <f>"基金资金拨入"</f>
        <v>基金资金拨入</v>
      </c>
      <c r="G620" s="13">
        <v>0</v>
      </c>
      <c r="H620" s="1">
        <v>0</v>
      </c>
      <c r="I620" s="5">
        <v>176.65</v>
      </c>
      <c r="J620" s="5">
        <v>1</v>
      </c>
      <c r="K620" s="1">
        <v>0</v>
      </c>
      <c r="L620" s="1" t="str">
        <f t="shared" si="95"/>
        <v xml:space="preserve"> </v>
      </c>
      <c r="M620" s="1" t="str">
        <f>"124增加金额 基金代码：940018,发生份额：176.65"</f>
        <v>124增加金额 基金代码：940018,发生份额：176.65</v>
      </c>
    </row>
    <row r="621" spans="1:13" x14ac:dyDescent="0.2">
      <c r="A621" s="3" t="str">
        <f>"2123"</f>
        <v>2123</v>
      </c>
      <c r="B621" s="4">
        <v>43385</v>
      </c>
      <c r="C621" s="11" t="s">
        <v>34</v>
      </c>
      <c r="D621" s="11">
        <v>940018</v>
      </c>
      <c r="E621" s="11" t="str">
        <f t="shared" si="94"/>
        <v>卖出</v>
      </c>
      <c r="F621" s="11" t="str">
        <f>"基金资金拨出"</f>
        <v>基金资金拨出</v>
      </c>
      <c r="G621" s="13">
        <v>0</v>
      </c>
      <c r="H621" s="1">
        <v>0</v>
      </c>
      <c r="I621" s="5">
        <v>-1</v>
      </c>
      <c r="J621" s="5">
        <v>0</v>
      </c>
      <c r="K621" s="1">
        <v>0</v>
      </c>
      <c r="L621" s="1" t="str">
        <f t="shared" si="95"/>
        <v xml:space="preserve"> </v>
      </c>
      <c r="M621" s="1" t="str">
        <f>"122扣除金额 基金代码：940018,发生份额：1"</f>
        <v>122扣除金额 基金代码：940018,发生份额：1</v>
      </c>
    </row>
    <row r="622" spans="1:13" x14ac:dyDescent="0.2">
      <c r="A622" s="3" t="str">
        <f>"657"</f>
        <v>657</v>
      </c>
      <c r="B622" s="4">
        <v>43388</v>
      </c>
      <c r="C622" s="11" t="str">
        <f t="shared" si="95"/>
        <v xml:space="preserve"> </v>
      </c>
      <c r="D622" s="11"/>
      <c r="E622" s="11" t="str">
        <f t="shared" si="94"/>
        <v>卖出</v>
      </c>
      <c r="F622" s="11" t="str">
        <f>"银行转存"</f>
        <v>银行转存</v>
      </c>
      <c r="G622" s="13">
        <v>0</v>
      </c>
      <c r="H622" s="1">
        <v>0</v>
      </c>
      <c r="I622" s="5">
        <v>6400</v>
      </c>
      <c r="J622" s="5">
        <v>6400</v>
      </c>
      <c r="K622" s="1">
        <v>0</v>
      </c>
      <c r="L622" s="1" t="str">
        <f t="shared" si="95"/>
        <v xml:space="preserve"> </v>
      </c>
      <c r="M622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23" spans="1:13" x14ac:dyDescent="0.2">
      <c r="A623" s="3" t="str">
        <f>"1672"</f>
        <v>1672</v>
      </c>
      <c r="B623" s="4">
        <v>43388</v>
      </c>
      <c r="C623" s="11" t="s">
        <v>34</v>
      </c>
      <c r="D623" s="11">
        <v>940018</v>
      </c>
      <c r="E623" s="11" t="str">
        <f t="shared" si="94"/>
        <v>卖出</v>
      </c>
      <c r="F623" s="11" t="str">
        <f>"基金资金拨出"</f>
        <v>基金资金拨出</v>
      </c>
      <c r="G623" s="13">
        <v>0</v>
      </c>
      <c r="H623" s="1">
        <v>0</v>
      </c>
      <c r="I623" s="5">
        <v>-92.47</v>
      </c>
      <c r="J623" s="5">
        <v>6307.53</v>
      </c>
      <c r="K623" s="1">
        <v>0</v>
      </c>
      <c r="L623" s="1" t="str">
        <f t="shared" si="95"/>
        <v xml:space="preserve"> </v>
      </c>
      <c r="M623" s="1" t="str">
        <f>"122扣除金额 基金代码：940018,发生份额：92.47"</f>
        <v>122扣除金额 基金代码：940018,发生份额：92.47</v>
      </c>
    </row>
    <row r="624" spans="1:13" x14ac:dyDescent="0.2">
      <c r="A624" s="3" t="str">
        <f>"1673"</f>
        <v>1673</v>
      </c>
      <c r="B624" s="4">
        <v>43388</v>
      </c>
      <c r="C624" s="11" t="s">
        <v>34</v>
      </c>
      <c r="D624" s="11">
        <v>940018</v>
      </c>
      <c r="E624" s="11" t="str">
        <f t="shared" si="94"/>
        <v>卖出</v>
      </c>
      <c r="F624" s="11" t="str">
        <f>"基金资金拨入"</f>
        <v>基金资金拨入</v>
      </c>
      <c r="G624" s="13">
        <v>0</v>
      </c>
      <c r="H624" s="1">
        <v>0</v>
      </c>
      <c r="I624" s="5">
        <v>94.75</v>
      </c>
      <c r="J624" s="5">
        <v>6402.28</v>
      </c>
      <c r="K624" s="1">
        <v>0</v>
      </c>
      <c r="L624" s="1" t="str">
        <f t="shared" si="95"/>
        <v xml:space="preserve"> </v>
      </c>
      <c r="M624" s="1" t="str">
        <f>"124增加金额 基金代码：940018,发生份额：94.75"</f>
        <v>124增加金额 基金代码：940018,发生份额：94.75</v>
      </c>
    </row>
    <row r="625" spans="1:13" x14ac:dyDescent="0.2">
      <c r="A625" s="3" t="str">
        <f>"3182"</f>
        <v>3182</v>
      </c>
      <c r="B625" s="4">
        <v>43388</v>
      </c>
      <c r="C625" s="11" t="str">
        <f>"证券ETF"</f>
        <v>证券ETF</v>
      </c>
      <c r="D625" s="11" t="str">
        <f>"512880"</f>
        <v>512880</v>
      </c>
      <c r="E625" s="11" t="str">
        <f>"买入"</f>
        <v>买入</v>
      </c>
      <c r="F625" s="11" t="str">
        <f>"证券买入"</f>
        <v>证券买入</v>
      </c>
      <c r="G625" s="13">
        <v>0.64</v>
      </c>
      <c r="H625" s="1">
        <v>10000</v>
      </c>
      <c r="I625" s="5">
        <v>-6401.28</v>
      </c>
      <c r="J625" s="5">
        <v>1</v>
      </c>
      <c r="K625" s="1">
        <v>1.28</v>
      </c>
      <c r="L625" s="1" t="str">
        <f>"A280737240"</f>
        <v>A280737240</v>
      </c>
      <c r="M625" s="1" t="str">
        <f>"证券买入"</f>
        <v>证券买入</v>
      </c>
    </row>
    <row r="626" spans="1:13" x14ac:dyDescent="0.2">
      <c r="A626" s="3" t="str">
        <f>"1779"</f>
        <v>1779</v>
      </c>
      <c r="B626" s="4">
        <v>43389</v>
      </c>
      <c r="C626" s="11" t="s">
        <v>34</v>
      </c>
      <c r="D626" s="11">
        <v>940018</v>
      </c>
      <c r="E626" s="11" t="str">
        <f>"卖出"</f>
        <v>卖出</v>
      </c>
      <c r="F626" s="11" t="str">
        <f>"基金资金拨出"</f>
        <v>基金资金拨出</v>
      </c>
      <c r="G626" s="13">
        <v>0</v>
      </c>
      <c r="H626" s="1">
        <v>0</v>
      </c>
      <c r="I626" s="5">
        <v>-1</v>
      </c>
      <c r="J626" s="5">
        <v>0</v>
      </c>
      <c r="K626" s="1">
        <v>0</v>
      </c>
      <c r="L626" s="1" t="str">
        <f>" "</f>
        <v xml:space="preserve"> </v>
      </c>
      <c r="M626" s="1" t="str">
        <f>"122扣除金额 基金代码：940018,发生份额：1"</f>
        <v>122扣除金额 基金代码：940018,发生份额：1</v>
      </c>
    </row>
    <row r="627" spans="1:13" x14ac:dyDescent="0.2">
      <c r="A627" s="6">
        <v>4523</v>
      </c>
      <c r="B627" s="7">
        <v>43439</v>
      </c>
      <c r="C627" s="12" t="s">
        <v>1</v>
      </c>
      <c r="D627" s="12">
        <v>510050</v>
      </c>
      <c r="E627" s="12" t="s">
        <v>4</v>
      </c>
      <c r="F627" s="12" t="s">
        <v>5</v>
      </c>
      <c r="G627" s="14">
        <v>2.4790000000000001</v>
      </c>
      <c r="H627" s="2">
        <v>0</v>
      </c>
      <c r="I627" s="8">
        <v>132.30000000000001</v>
      </c>
      <c r="J627" s="8">
        <v>132.30000000000001</v>
      </c>
      <c r="K627" s="8">
        <v>0</v>
      </c>
      <c r="L627" s="2" t="s">
        <v>0</v>
      </c>
      <c r="M627" s="2" t="s">
        <v>6</v>
      </c>
    </row>
    <row r="628" spans="1:13" x14ac:dyDescent="0.2">
      <c r="A628" s="6">
        <v>1889</v>
      </c>
      <c r="B628" s="7">
        <v>43440</v>
      </c>
      <c r="C628" s="11" t="s">
        <v>34</v>
      </c>
      <c r="D628" s="11">
        <v>940018</v>
      </c>
      <c r="E628" s="12" t="s">
        <v>4</v>
      </c>
      <c r="F628" s="12" t="s">
        <v>7</v>
      </c>
      <c r="G628" s="14">
        <v>0</v>
      </c>
      <c r="H628" s="2">
        <v>0</v>
      </c>
      <c r="I628" s="8">
        <v>-132.30000000000001</v>
      </c>
      <c r="J628" s="8">
        <v>0</v>
      </c>
      <c r="K628" s="8">
        <v>0</v>
      </c>
      <c r="L628" s="2" t="s">
        <v>2</v>
      </c>
      <c r="M628" s="2" t="s">
        <v>8</v>
      </c>
    </row>
    <row r="629" spans="1:13" x14ac:dyDescent="0.2">
      <c r="A629" s="6">
        <v>3960</v>
      </c>
      <c r="B629" s="7">
        <v>43483</v>
      </c>
      <c r="C629" s="12" t="s">
        <v>3</v>
      </c>
      <c r="D629" s="12">
        <v>510300</v>
      </c>
      <c r="E629" s="11" t="s">
        <v>4</v>
      </c>
      <c r="F629" s="11" t="s">
        <v>5</v>
      </c>
      <c r="G629" s="14">
        <v>3.1659999999999999</v>
      </c>
      <c r="H629" s="2">
        <v>0</v>
      </c>
      <c r="I629" s="8">
        <v>436.6</v>
      </c>
      <c r="J629" s="8">
        <v>436.6</v>
      </c>
      <c r="K629" s="8">
        <v>0</v>
      </c>
      <c r="L629" s="2" t="s">
        <v>0</v>
      </c>
      <c r="M629" s="2" t="s">
        <v>9</v>
      </c>
    </row>
    <row r="630" spans="1:13" x14ac:dyDescent="0.2">
      <c r="A630" s="6">
        <v>4984</v>
      </c>
      <c r="B630" s="7">
        <v>43486</v>
      </c>
      <c r="C630" s="11" t="s">
        <v>34</v>
      </c>
      <c r="D630" s="11">
        <v>940018</v>
      </c>
      <c r="E630" s="12" t="s">
        <v>4</v>
      </c>
      <c r="F630" s="12" t="s">
        <v>7</v>
      </c>
      <c r="G630" s="14">
        <v>0</v>
      </c>
      <c r="H630" s="2">
        <v>0</v>
      </c>
      <c r="I630" s="8">
        <v>-436.6</v>
      </c>
      <c r="J630" s="8">
        <v>0</v>
      </c>
      <c r="K630" s="8">
        <v>0</v>
      </c>
      <c r="L630" s="2" t="s">
        <v>2</v>
      </c>
      <c r="M630" s="2" t="s">
        <v>10</v>
      </c>
    </row>
    <row r="631" spans="1:13" x14ac:dyDescent="0.2">
      <c r="A631" s="3" t="str">
        <f>"743"</f>
        <v>743</v>
      </c>
      <c r="B631" s="4">
        <v>43515</v>
      </c>
      <c r="C631" s="11" t="str">
        <f t="shared" ref="C631:L635" si="96">" "</f>
        <v xml:space="preserve"> </v>
      </c>
      <c r="D631" s="11"/>
      <c r="E631" s="11" t="str">
        <f t="shared" ref="E631:E642" si="97">"卖出"</f>
        <v>卖出</v>
      </c>
      <c r="F631" s="11" t="str">
        <f>"银行转存"</f>
        <v>银行转存</v>
      </c>
      <c r="G631" s="13">
        <v>0</v>
      </c>
      <c r="H631" s="1">
        <v>0</v>
      </c>
      <c r="I631" s="5">
        <v>10000</v>
      </c>
      <c r="J631" s="5">
        <v>10000</v>
      </c>
      <c r="K631" s="5">
        <v>0</v>
      </c>
      <c r="L631" s="1" t="str">
        <f t="shared" si="96"/>
        <v xml:space="preserve"> </v>
      </c>
      <c r="M631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32" spans="1:13" x14ac:dyDescent="0.2">
      <c r="A632" s="3" t="str">
        <f>"7303"</f>
        <v>7303</v>
      </c>
      <c r="B632" s="4">
        <v>43516</v>
      </c>
      <c r="C632" s="11" t="str">
        <f t="shared" si="96"/>
        <v xml:space="preserve"> </v>
      </c>
      <c r="D632" s="11" t="s">
        <v>33</v>
      </c>
      <c r="E632" s="11" t="str">
        <f t="shared" si="97"/>
        <v>卖出</v>
      </c>
      <c r="F632" s="11" t="str">
        <f>"基金资金拨出"</f>
        <v>基金资金拨出</v>
      </c>
      <c r="G632" s="13">
        <v>0</v>
      </c>
      <c r="H632" s="1">
        <v>0</v>
      </c>
      <c r="I632" s="5">
        <v>-10000</v>
      </c>
      <c r="J632" s="5">
        <v>0</v>
      </c>
      <c r="K632" s="5">
        <v>0</v>
      </c>
      <c r="L632" s="1" t="str">
        <f t="shared" si="96"/>
        <v xml:space="preserve"> </v>
      </c>
      <c r="M632" s="1" t="str">
        <f>"122扣除金额 基金代码：003474,发生份额：10000"</f>
        <v>122扣除金额 基金代码：003474,发生份额：10000</v>
      </c>
    </row>
    <row r="633" spans="1:13" x14ac:dyDescent="0.2">
      <c r="A633" s="3" t="str">
        <f>"3007"</f>
        <v>3007</v>
      </c>
      <c r="B633" s="4">
        <v>43518</v>
      </c>
      <c r="C633" s="11" t="str">
        <f t="shared" si="96"/>
        <v xml:space="preserve"> </v>
      </c>
      <c r="D633" s="11" t="s">
        <v>33</v>
      </c>
      <c r="E633" s="11" t="str">
        <f t="shared" si="97"/>
        <v>卖出</v>
      </c>
      <c r="F633" s="11" t="str">
        <f>"基金资金拨入"</f>
        <v>基金资金拨入</v>
      </c>
      <c r="G633" s="13">
        <v>0</v>
      </c>
      <c r="H633" s="1">
        <v>0</v>
      </c>
      <c r="I633" s="5">
        <v>10000</v>
      </c>
      <c r="J633" s="5">
        <v>10000</v>
      </c>
      <c r="K633" s="5">
        <v>0</v>
      </c>
      <c r="L633" s="1" t="str">
        <f t="shared" si="96"/>
        <v xml:space="preserve"> </v>
      </c>
      <c r="M633" s="1" t="str">
        <f>"124增加金额 基金代码：003474,发生份额：10000"</f>
        <v>124增加金额 基金代码：003474,发生份额：10000</v>
      </c>
    </row>
    <row r="634" spans="1:13" x14ac:dyDescent="0.2">
      <c r="A634" s="3" t="str">
        <f>"560"</f>
        <v>560</v>
      </c>
      <c r="B634" s="4">
        <v>43521</v>
      </c>
      <c r="C634" s="11" t="str">
        <f t="shared" si="96"/>
        <v xml:space="preserve"> </v>
      </c>
      <c r="D634" s="11"/>
      <c r="E634" s="11" t="str">
        <f t="shared" si="97"/>
        <v>卖出</v>
      </c>
      <c r="F634" s="11" t="str">
        <f>"银行转取"</f>
        <v>银行转取</v>
      </c>
      <c r="G634" s="13">
        <v>0</v>
      </c>
      <c r="H634" s="1">
        <v>0</v>
      </c>
      <c r="I634" s="5">
        <v>-10000</v>
      </c>
      <c r="J634" s="5">
        <v>0</v>
      </c>
      <c r="K634" s="5">
        <v>0</v>
      </c>
      <c r="L634" s="1" t="str">
        <f t="shared" si="96"/>
        <v xml:space="preserve"> </v>
      </c>
      <c r="M634" s="1" t="str">
        <f>"银行返回码[ ]返回信息[0000 交易成功]|转账成功 转账账号:6225881012906292 correct_balance=10000"</f>
        <v>银行返回码[ ]返回信息[0000 交易成功]|转账成功 转账账号:6225881012906292 correct_balance=10000</v>
      </c>
    </row>
    <row r="635" spans="1:13" x14ac:dyDescent="0.2">
      <c r="A635" s="3" t="str">
        <f>"3164"</f>
        <v>3164</v>
      </c>
      <c r="B635" s="4">
        <v>43531</v>
      </c>
      <c r="C635" s="11" t="s">
        <v>34</v>
      </c>
      <c r="D635" s="11">
        <v>940018</v>
      </c>
      <c r="E635" s="11" t="str">
        <f t="shared" si="97"/>
        <v>卖出</v>
      </c>
      <c r="F635" s="11" t="str">
        <f>"基金资金拨出"</f>
        <v>基金资金拨出</v>
      </c>
      <c r="G635" s="13">
        <v>0</v>
      </c>
      <c r="H635" s="1">
        <v>0</v>
      </c>
      <c r="I635" s="5">
        <v>-8160.77</v>
      </c>
      <c r="J635" s="5">
        <v>-8160.77</v>
      </c>
      <c r="K635" s="5">
        <v>0</v>
      </c>
      <c r="L635" s="1" t="str">
        <f t="shared" si="96"/>
        <v xml:space="preserve"> </v>
      </c>
      <c r="M635" s="1" t="str">
        <f>"122扣除金额 基金代码：940018,发生份额：8160.77"</f>
        <v>122扣除金额 基金代码：940018,发生份额：8160.77</v>
      </c>
    </row>
    <row r="636" spans="1:13" x14ac:dyDescent="0.2">
      <c r="A636" s="3" t="str">
        <f>"7329"</f>
        <v>7329</v>
      </c>
      <c r="B636" s="4">
        <v>43531</v>
      </c>
      <c r="C636" s="11" t="str">
        <f>"500ETF"</f>
        <v>500ETF</v>
      </c>
      <c r="D636" s="11" t="str">
        <f>"510500"</f>
        <v>510500</v>
      </c>
      <c r="E636" s="11" t="str">
        <f t="shared" si="97"/>
        <v>卖出</v>
      </c>
      <c r="F636" s="11" t="str">
        <f>"证券卖出"</f>
        <v>证券卖出</v>
      </c>
      <c r="G636" s="13">
        <v>5.8310000000000004</v>
      </c>
      <c r="H636" s="1">
        <v>-1400</v>
      </c>
      <c r="I636" s="5">
        <v>8161.77</v>
      </c>
      <c r="J636" s="5">
        <v>1</v>
      </c>
      <c r="K636" s="5">
        <v>1.63</v>
      </c>
      <c r="L636" s="1" t="str">
        <f>"A280737240"</f>
        <v>A280737240</v>
      </c>
      <c r="M636" s="1" t="str">
        <f>"证券卖出"</f>
        <v>证券卖出</v>
      </c>
    </row>
    <row r="637" spans="1:13" x14ac:dyDescent="0.2">
      <c r="A637" s="3" t="str">
        <f>"913"</f>
        <v>913</v>
      </c>
      <c r="B637" s="4">
        <v>43532</v>
      </c>
      <c r="C637" s="11" t="s">
        <v>34</v>
      </c>
      <c r="D637" s="11">
        <v>940018</v>
      </c>
      <c r="E637" s="11" t="str">
        <f t="shared" si="97"/>
        <v>卖出</v>
      </c>
      <c r="F637" s="11" t="str">
        <f>"资管转让资金上账"</f>
        <v>资管转让资金上账</v>
      </c>
      <c r="G637" s="13">
        <v>0</v>
      </c>
      <c r="H637" s="1">
        <v>0</v>
      </c>
      <c r="I637" s="5">
        <v>8830</v>
      </c>
      <c r="J637" s="5">
        <v>8831</v>
      </c>
      <c r="K637" s="5">
        <v>0</v>
      </c>
      <c r="L637" s="1" t="str">
        <f t="shared" ref="C637:L642" si="98">" "</f>
        <v xml:space="preserve"> </v>
      </c>
      <c r="M637" s="1" t="str">
        <f>"快速取现退出资金拨入,产品代码940018,对方资产账户40000545correct_balance=0"</f>
        <v>快速取现退出资金拨入,产品代码940018,对方资产账户40000545correct_balance=0</v>
      </c>
    </row>
    <row r="638" spans="1:13" x14ac:dyDescent="0.2">
      <c r="A638" s="3" t="str">
        <f>"916"</f>
        <v>916</v>
      </c>
      <c r="B638" s="4">
        <v>43532</v>
      </c>
      <c r="C638" s="11" t="str">
        <f t="shared" si="98"/>
        <v xml:space="preserve"> </v>
      </c>
      <c r="D638" s="11"/>
      <c r="E638" s="11" t="str">
        <f t="shared" si="97"/>
        <v>卖出</v>
      </c>
      <c r="F638" s="11" t="str">
        <f>"银行转取"</f>
        <v>银行转取</v>
      </c>
      <c r="G638" s="13">
        <v>0</v>
      </c>
      <c r="H638" s="1">
        <v>0</v>
      </c>
      <c r="I638" s="5">
        <v>-8831</v>
      </c>
      <c r="J638" s="5">
        <v>0</v>
      </c>
      <c r="K638" s="5">
        <v>0</v>
      </c>
      <c r="L638" s="1" t="str">
        <f t="shared" si="98"/>
        <v xml:space="preserve"> </v>
      </c>
      <c r="M638" s="1" t="str">
        <f>"银行返回码[ ]返回信息[0000 交易成功]|转账成功 转账账号:6225881012906292 correct_balance=8831"</f>
        <v>银行返回码[ ]返回信息[0000 交易成功]|转账成功 转账账号:6225881012906292 correct_balance=8831</v>
      </c>
    </row>
    <row r="639" spans="1:13" x14ac:dyDescent="0.2">
      <c r="A639" s="3" t="str">
        <f>"5947"</f>
        <v>5947</v>
      </c>
      <c r="B639" s="4">
        <v>43545</v>
      </c>
      <c r="C639" s="11" t="str">
        <f t="shared" si="98"/>
        <v xml:space="preserve"> </v>
      </c>
      <c r="D639" s="11"/>
      <c r="E639" s="11" t="str">
        <f t="shared" si="97"/>
        <v>卖出</v>
      </c>
      <c r="F639" s="11" t="str">
        <f>"利息归本"</f>
        <v>利息归本</v>
      </c>
      <c r="G639" s="13">
        <v>0</v>
      </c>
      <c r="H639" s="1">
        <v>0</v>
      </c>
      <c r="I639" s="5">
        <v>0.4</v>
      </c>
      <c r="J639" s="5">
        <v>0.4</v>
      </c>
      <c r="K639" s="5">
        <v>0</v>
      </c>
      <c r="L639" s="1" t="str">
        <f t="shared" si="98"/>
        <v xml:space="preserve"> </v>
      </c>
      <c r="M639" s="1" t="str">
        <f>" 利息归本: 归本利息为 0.4correct_balance=0"</f>
        <v xml:space="preserve"> 利息归本: 归本利息为 0.4correct_balance=0</v>
      </c>
    </row>
    <row r="640" spans="1:13" x14ac:dyDescent="0.2">
      <c r="A640" s="3" t="str">
        <f>"10861"</f>
        <v>10861</v>
      </c>
      <c r="B640" s="4">
        <v>43546</v>
      </c>
      <c r="C640" s="11" t="s">
        <v>34</v>
      </c>
      <c r="D640" s="11">
        <v>940018</v>
      </c>
      <c r="E640" s="11" t="str">
        <f t="shared" si="97"/>
        <v>卖出</v>
      </c>
      <c r="F640" s="11" t="str">
        <f>"基金资金拨出"</f>
        <v>基金资金拨出</v>
      </c>
      <c r="G640" s="13">
        <v>0</v>
      </c>
      <c r="H640" s="1">
        <v>0</v>
      </c>
      <c r="I640" s="5">
        <v>-0.4</v>
      </c>
      <c r="J640" s="5">
        <v>0</v>
      </c>
      <c r="K640" s="5">
        <v>0</v>
      </c>
      <c r="L640" s="1" t="str">
        <f t="shared" si="98"/>
        <v xml:space="preserve"> </v>
      </c>
      <c r="M640" s="1" t="str">
        <f>"122扣除金额 基金代码：940018,发生份额：.4"</f>
        <v>122扣除金额 基金代码：940018,发生份额：.4</v>
      </c>
    </row>
    <row r="641" spans="1:13" x14ac:dyDescent="0.2">
      <c r="A641" s="3" t="str">
        <f>"607"</f>
        <v>607</v>
      </c>
      <c r="B641" s="4">
        <v>43600</v>
      </c>
      <c r="C641" s="11" t="str">
        <f t="shared" si="98"/>
        <v xml:space="preserve"> </v>
      </c>
      <c r="D641" s="11"/>
      <c r="E641" s="11" t="str">
        <f t="shared" si="97"/>
        <v>卖出</v>
      </c>
      <c r="F641" s="11" t="str">
        <f>"银行转存"</f>
        <v>银行转存</v>
      </c>
      <c r="G641" s="13">
        <v>0</v>
      </c>
      <c r="H641" s="1">
        <v>0</v>
      </c>
      <c r="I641" s="5">
        <v>6500</v>
      </c>
      <c r="J641" s="5">
        <v>6500</v>
      </c>
      <c r="K641" s="5">
        <v>0</v>
      </c>
      <c r="L641" s="1" t="str">
        <f t="shared" si="98"/>
        <v xml:space="preserve"> </v>
      </c>
      <c r="M641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42" spans="1:13" x14ac:dyDescent="0.2">
      <c r="A642" s="3" t="str">
        <f>"2404"</f>
        <v>2404</v>
      </c>
      <c r="B642" s="4">
        <v>43600</v>
      </c>
      <c r="C642" s="11" t="s">
        <v>34</v>
      </c>
      <c r="D642" s="11">
        <v>940018</v>
      </c>
      <c r="E642" s="11" t="str">
        <f t="shared" si="97"/>
        <v>卖出</v>
      </c>
      <c r="F642" s="11" t="str">
        <f>"基金资金拨出"</f>
        <v>基金资金拨出</v>
      </c>
      <c r="G642" s="13">
        <v>0</v>
      </c>
      <c r="H642" s="1">
        <v>0</v>
      </c>
      <c r="I642" s="5">
        <v>-180.54</v>
      </c>
      <c r="J642" s="5">
        <v>6319.46</v>
      </c>
      <c r="K642" s="5">
        <v>0</v>
      </c>
      <c r="L642" s="1" t="str">
        <f t="shared" si="98"/>
        <v xml:space="preserve"> </v>
      </c>
      <c r="M642" s="1" t="str">
        <f>"122扣除金额 基金代码：940018,发生份额：180.54"</f>
        <v>122扣除金额 基金代码：940018,发生份额：180.54</v>
      </c>
    </row>
    <row r="643" spans="1:13" x14ac:dyDescent="0.2">
      <c r="A643" s="3" t="str">
        <f>"4855"</f>
        <v>4855</v>
      </c>
      <c r="B643" s="4">
        <v>43600</v>
      </c>
      <c r="C643" s="11" t="str">
        <f>"300ETF"</f>
        <v>300ETF</v>
      </c>
      <c r="D643" s="11" t="str">
        <f>"510300"</f>
        <v>510300</v>
      </c>
      <c r="E643" s="11" t="str">
        <f>"买入"</f>
        <v>买入</v>
      </c>
      <c r="F643" s="11" t="str">
        <f>"证券买入"</f>
        <v>证券买入</v>
      </c>
      <c r="G643" s="13">
        <v>3.7160000000000002</v>
      </c>
      <c r="H643" s="1">
        <v>1700</v>
      </c>
      <c r="I643" s="5">
        <v>-6318.46</v>
      </c>
      <c r="J643" s="5">
        <v>1</v>
      </c>
      <c r="K643" s="5">
        <v>1.26</v>
      </c>
      <c r="L643" s="1" t="str">
        <f>"A280737240"</f>
        <v>A280737240</v>
      </c>
      <c r="M643" s="1" t="str">
        <f>"证券买入"</f>
        <v>证券买入</v>
      </c>
    </row>
    <row r="644" spans="1:13" x14ac:dyDescent="0.2">
      <c r="A644" s="3" t="str">
        <f>"1932"</f>
        <v>1932</v>
      </c>
      <c r="B644" s="4">
        <v>43601</v>
      </c>
      <c r="C644" s="11" t="s">
        <v>34</v>
      </c>
      <c r="D644" s="11">
        <v>940018</v>
      </c>
      <c r="E644" s="11" t="str">
        <f>"卖出"</f>
        <v>卖出</v>
      </c>
      <c r="F644" s="11" t="str">
        <f>"基金资金拨出"</f>
        <v>基金资金拨出</v>
      </c>
      <c r="G644" s="13">
        <v>0</v>
      </c>
      <c r="H644" s="1">
        <v>0</v>
      </c>
      <c r="I644" s="5">
        <v>-1</v>
      </c>
      <c r="J644" s="5">
        <v>0</v>
      </c>
      <c r="K644" s="5">
        <v>0</v>
      </c>
      <c r="L644" s="1" t="str">
        <f t="shared" ref="C644:L647" si="99">" "</f>
        <v xml:space="preserve"> </v>
      </c>
      <c r="M644" s="1" t="str">
        <f>"122扣除金额 基金代码：940018,发生份额：1"</f>
        <v>122扣除金额 基金代码：940018,发生份额：1</v>
      </c>
    </row>
    <row r="645" spans="1:13" x14ac:dyDescent="0.2">
      <c r="A645" s="3" t="str">
        <f>"563"</f>
        <v>563</v>
      </c>
      <c r="B645" s="4">
        <v>43634</v>
      </c>
      <c r="C645" s="11" t="str">
        <f t="shared" si="99"/>
        <v xml:space="preserve"> </v>
      </c>
      <c r="D645" s="11"/>
      <c r="E645" s="11" t="str">
        <f>"卖出"</f>
        <v>卖出</v>
      </c>
      <c r="F645" s="11" t="str">
        <f>"银行转存"</f>
        <v>银行转存</v>
      </c>
      <c r="G645" s="13">
        <v>0</v>
      </c>
      <c r="H645" s="1">
        <v>0</v>
      </c>
      <c r="I645" s="5">
        <v>6400</v>
      </c>
      <c r="J645" s="5">
        <v>6400</v>
      </c>
      <c r="K645" s="5">
        <v>0</v>
      </c>
      <c r="L645" s="1" t="str">
        <f t="shared" si="99"/>
        <v xml:space="preserve"> </v>
      </c>
      <c r="M645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46" spans="1:13" x14ac:dyDescent="0.2">
      <c r="A646" s="3" t="str">
        <f>"816"</f>
        <v>816</v>
      </c>
      <c r="B646" s="4">
        <v>43634</v>
      </c>
      <c r="C646" s="11" t="str">
        <f t="shared" si="99"/>
        <v xml:space="preserve"> </v>
      </c>
      <c r="D646" s="11"/>
      <c r="E646" s="11" t="str">
        <f>"卖出"</f>
        <v>卖出</v>
      </c>
      <c r="F646" s="11" t="str">
        <f>"银行转存"</f>
        <v>银行转存</v>
      </c>
      <c r="G646" s="13">
        <v>0</v>
      </c>
      <c r="H646" s="1">
        <v>0</v>
      </c>
      <c r="I646" s="5">
        <v>6400</v>
      </c>
      <c r="J646" s="5">
        <v>12800</v>
      </c>
      <c r="K646" s="5">
        <v>0</v>
      </c>
      <c r="L646" s="1" t="str">
        <f t="shared" si="99"/>
        <v xml:space="preserve"> </v>
      </c>
      <c r="M646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47" spans="1:13" x14ac:dyDescent="0.2">
      <c r="A647" s="3" t="str">
        <f>"1963"</f>
        <v>1963</v>
      </c>
      <c r="B647" s="4">
        <v>43634</v>
      </c>
      <c r="C647" s="11" t="s">
        <v>34</v>
      </c>
      <c r="D647" s="11">
        <v>940018</v>
      </c>
      <c r="E647" s="11" t="str">
        <f>"卖出"</f>
        <v>卖出</v>
      </c>
      <c r="F647" s="11" t="str">
        <f>"基金资金拨出"</f>
        <v>基金资金拨出</v>
      </c>
      <c r="G647" s="13">
        <v>0</v>
      </c>
      <c r="H647" s="1">
        <v>0</v>
      </c>
      <c r="I647" s="5">
        <v>-241.48</v>
      </c>
      <c r="J647" s="5">
        <v>12558.52</v>
      </c>
      <c r="K647" s="5">
        <v>0</v>
      </c>
      <c r="L647" s="1" t="str">
        <f t="shared" si="99"/>
        <v xml:space="preserve"> </v>
      </c>
      <c r="M647" s="1" t="str">
        <f>"122扣除金额 基金代码：940018,发生份额：241.48"</f>
        <v>122扣除金额 基金代码：940018,发生份额：241.48</v>
      </c>
    </row>
    <row r="648" spans="1:13" x14ac:dyDescent="0.2">
      <c r="A648" s="3" t="str">
        <f>"5927"</f>
        <v>5927</v>
      </c>
      <c r="B648" s="4">
        <v>43634</v>
      </c>
      <c r="C648" s="11" t="str">
        <f>"1000ETF"</f>
        <v>1000ETF</v>
      </c>
      <c r="D648" s="11" t="str">
        <f>"512100"</f>
        <v>512100</v>
      </c>
      <c r="E648" s="11" t="str">
        <f>"买入"</f>
        <v>买入</v>
      </c>
      <c r="F648" s="11" t="str">
        <f>"证券买入"</f>
        <v>证券买入</v>
      </c>
      <c r="G648" s="13">
        <v>0.625</v>
      </c>
      <c r="H648" s="1">
        <v>10200</v>
      </c>
      <c r="I648" s="5">
        <v>-6376.28</v>
      </c>
      <c r="J648" s="5">
        <v>6182.24</v>
      </c>
      <c r="K648" s="5">
        <v>1.28</v>
      </c>
      <c r="L648" s="1" t="str">
        <f>"A280737240"</f>
        <v>A280737240</v>
      </c>
      <c r="M648" s="1" t="str">
        <f>"证券买入"</f>
        <v>证券买入</v>
      </c>
    </row>
    <row r="649" spans="1:13" x14ac:dyDescent="0.2">
      <c r="A649" s="3" t="str">
        <f>"5929"</f>
        <v>5929</v>
      </c>
      <c r="B649" s="4">
        <v>43634</v>
      </c>
      <c r="C649" s="11" t="str">
        <f>"500ETF"</f>
        <v>500ETF</v>
      </c>
      <c r="D649" s="11" t="str">
        <f>"510500"</f>
        <v>510500</v>
      </c>
      <c r="E649" s="11" t="str">
        <f>"买入"</f>
        <v>买入</v>
      </c>
      <c r="F649" s="11" t="str">
        <f>"证券买入"</f>
        <v>证券买入</v>
      </c>
      <c r="G649" s="13">
        <v>5.15</v>
      </c>
      <c r="H649" s="1">
        <v>1200</v>
      </c>
      <c r="I649" s="5">
        <v>-6181.24</v>
      </c>
      <c r="J649" s="5">
        <v>1</v>
      </c>
      <c r="K649" s="5">
        <v>1.24</v>
      </c>
      <c r="L649" s="1" t="str">
        <f>"A280737240"</f>
        <v>A280737240</v>
      </c>
      <c r="M649" s="1" t="str">
        <f>"证券买入"</f>
        <v>证券买入</v>
      </c>
    </row>
    <row r="650" spans="1:13" x14ac:dyDescent="0.2">
      <c r="A650" s="3" t="str">
        <f>"1957"</f>
        <v>1957</v>
      </c>
      <c r="B650" s="4">
        <v>43635</v>
      </c>
      <c r="C650" s="11" t="s">
        <v>34</v>
      </c>
      <c r="D650" s="11">
        <v>940018</v>
      </c>
      <c r="E650" s="11" t="str">
        <f>"卖出"</f>
        <v>卖出</v>
      </c>
      <c r="F650" s="11" t="str">
        <f>"基金资金拨出"</f>
        <v>基金资金拨出</v>
      </c>
      <c r="G650" s="13">
        <v>0</v>
      </c>
      <c r="H650" s="1">
        <v>0</v>
      </c>
      <c r="I650" s="5">
        <v>-1</v>
      </c>
      <c r="J650" s="5">
        <v>0</v>
      </c>
      <c r="K650" s="5">
        <v>0</v>
      </c>
      <c r="L650" s="1" t="str">
        <f t="shared" ref="C650:L651" si="100">" "</f>
        <v xml:space="preserve"> </v>
      </c>
      <c r="M650" s="1" t="str">
        <f>"122扣除金额 基金代码：940018,发生份额：1"</f>
        <v>122扣除金额 基金代码：940018,发生份额：1</v>
      </c>
    </row>
    <row r="651" spans="1:13" x14ac:dyDescent="0.2">
      <c r="A651" s="3" t="str">
        <f>"903"</f>
        <v>903</v>
      </c>
      <c r="B651" s="4">
        <v>43647</v>
      </c>
      <c r="C651" s="11" t="str">
        <f t="shared" si="100"/>
        <v xml:space="preserve"> </v>
      </c>
      <c r="D651" s="11"/>
      <c r="E651" s="11" t="str">
        <f>"卖出"</f>
        <v>卖出</v>
      </c>
      <c r="F651" s="11" t="str">
        <f>"银行转存"</f>
        <v>银行转存</v>
      </c>
      <c r="G651" s="13">
        <v>0</v>
      </c>
      <c r="H651" s="1">
        <v>0</v>
      </c>
      <c r="I651" s="5">
        <v>6100</v>
      </c>
      <c r="J651" s="5">
        <v>6100</v>
      </c>
      <c r="K651" s="5">
        <v>0</v>
      </c>
      <c r="L651" s="1" t="str">
        <f t="shared" si="100"/>
        <v xml:space="preserve"> </v>
      </c>
      <c r="M651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52" spans="1:13" x14ac:dyDescent="0.2">
      <c r="A652" s="3" t="str">
        <f>"5542"</f>
        <v>5542</v>
      </c>
      <c r="B652" s="4">
        <v>43647</v>
      </c>
      <c r="C652" s="11" t="str">
        <f>"黄金ETF"</f>
        <v>黄金ETF</v>
      </c>
      <c r="D652" s="11" t="str">
        <f>"518880"</f>
        <v>518880</v>
      </c>
      <c r="E652" s="11" t="str">
        <f>"买入"</f>
        <v>买入</v>
      </c>
      <c r="F652" s="11" t="str">
        <f>"证券买入"</f>
        <v>证券买入</v>
      </c>
      <c r="G652" s="13">
        <v>3.052</v>
      </c>
      <c r="H652" s="1">
        <v>2100</v>
      </c>
      <c r="I652" s="5">
        <v>-6410.48</v>
      </c>
      <c r="J652" s="5">
        <v>-310.48</v>
      </c>
      <c r="K652" s="5">
        <v>1.28</v>
      </c>
      <c r="L652" s="1" t="str">
        <f>"A280737240"</f>
        <v>A280737240</v>
      </c>
      <c r="M652" s="1" t="str">
        <f>"证券买入"</f>
        <v>证券买入</v>
      </c>
    </row>
    <row r="653" spans="1:13" x14ac:dyDescent="0.2">
      <c r="A653" s="3" t="str">
        <f>"6958"</f>
        <v>6958</v>
      </c>
      <c r="B653" s="4">
        <v>43647</v>
      </c>
      <c r="C653" s="11" t="s">
        <v>34</v>
      </c>
      <c r="D653" s="11">
        <v>940018</v>
      </c>
      <c r="E653" s="11" t="str">
        <f>"卖出"</f>
        <v>卖出</v>
      </c>
      <c r="F653" s="11" t="str">
        <f>"基金资金拨出"</f>
        <v>基金资金拨出</v>
      </c>
      <c r="G653" s="13">
        <v>0</v>
      </c>
      <c r="H653" s="1">
        <v>0</v>
      </c>
      <c r="I653" s="5">
        <v>-114</v>
      </c>
      <c r="J653" s="5">
        <v>-424.48</v>
      </c>
      <c r="K653" s="5">
        <v>0</v>
      </c>
      <c r="L653" s="1" t="str">
        <f t="shared" ref="L653:L655" si="101">" "</f>
        <v xml:space="preserve"> </v>
      </c>
      <c r="M653" s="1" t="str">
        <f>"122扣除金额 基金代码：940018,发生份额：114"</f>
        <v>122扣除金额 基金代码：940018,发生份额：114</v>
      </c>
    </row>
    <row r="654" spans="1:13" x14ac:dyDescent="0.2">
      <c r="A654" s="3" t="str">
        <f>"6959"</f>
        <v>6959</v>
      </c>
      <c r="B654" s="4">
        <v>43647</v>
      </c>
      <c r="C654" s="11" t="s">
        <v>34</v>
      </c>
      <c r="D654" s="11">
        <v>940018</v>
      </c>
      <c r="E654" s="11" t="str">
        <f>"卖出"</f>
        <v>卖出</v>
      </c>
      <c r="F654" s="11" t="str">
        <f>"基金资金拨入"</f>
        <v>基金资金拨入</v>
      </c>
      <c r="G654" s="13">
        <v>0</v>
      </c>
      <c r="H654" s="1">
        <v>0</v>
      </c>
      <c r="I654" s="5">
        <v>425.48</v>
      </c>
      <c r="J654" s="5">
        <v>1</v>
      </c>
      <c r="K654" s="5">
        <v>0</v>
      </c>
      <c r="L654" s="1" t="str">
        <f t="shared" si="101"/>
        <v xml:space="preserve"> </v>
      </c>
      <c r="M654" s="1" t="str">
        <f>"124增加金额 基金代码：940018,发生份额：425.48"</f>
        <v>124增加金额 基金代码：940018,发生份额：425.48</v>
      </c>
    </row>
    <row r="655" spans="1:13" x14ac:dyDescent="0.2">
      <c r="A655" s="3" t="str">
        <f>"2381"</f>
        <v>2381</v>
      </c>
      <c r="B655" s="4">
        <v>43648</v>
      </c>
      <c r="C655" s="11" t="s">
        <v>34</v>
      </c>
      <c r="D655" s="11">
        <v>940018</v>
      </c>
      <c r="E655" s="11" t="str">
        <f>"卖出"</f>
        <v>卖出</v>
      </c>
      <c r="F655" s="11" t="str">
        <f>"基金资金拨出"</f>
        <v>基金资金拨出</v>
      </c>
      <c r="G655" s="13">
        <v>0</v>
      </c>
      <c r="H655" s="1">
        <v>0</v>
      </c>
      <c r="I655" s="5">
        <v>-1</v>
      </c>
      <c r="J655" s="5">
        <v>0</v>
      </c>
      <c r="K655" s="5">
        <v>0</v>
      </c>
      <c r="L655" s="1" t="str">
        <f t="shared" si="101"/>
        <v xml:space="preserve"> </v>
      </c>
      <c r="M655" s="1" t="str">
        <f>"122扣除金额 基金代码：940018,发生份额：1"</f>
        <v>122扣除金额 基金代码：940018,发生份额：1</v>
      </c>
    </row>
    <row r="656" spans="1:13" x14ac:dyDescent="0.2">
      <c r="A656" s="3" t="str">
        <f>"6670"</f>
        <v>6670</v>
      </c>
      <c r="B656" s="4">
        <v>43668</v>
      </c>
      <c r="C656" s="11" t="str">
        <f>"1000ETF"</f>
        <v>1000ETF</v>
      </c>
      <c r="D656" s="11" t="str">
        <f>"512100"</f>
        <v>512100</v>
      </c>
      <c r="E656" s="11" t="str">
        <f>"卖出"</f>
        <v>卖出</v>
      </c>
      <c r="F656" s="11" t="str">
        <f>"证券卖出"</f>
        <v>证券卖出</v>
      </c>
      <c r="G656" s="13">
        <v>0.63</v>
      </c>
      <c r="H656" s="1">
        <v>-64800</v>
      </c>
      <c r="I656" s="5">
        <v>40815.839999999997</v>
      </c>
      <c r="J656" s="5">
        <v>40815.839999999997</v>
      </c>
      <c r="K656" s="5">
        <v>8.16</v>
      </c>
      <c r="L656" s="1" t="str">
        <f>"A280737240"</f>
        <v>A280737240</v>
      </c>
      <c r="M656" s="1" t="str">
        <f>"证券卖出"</f>
        <v>证券卖出</v>
      </c>
    </row>
    <row r="657" spans="1:13" x14ac:dyDescent="0.2">
      <c r="A657" s="3" t="str">
        <f>"6671"</f>
        <v>6671</v>
      </c>
      <c r="B657" s="4">
        <v>43668</v>
      </c>
      <c r="C657" s="11" t="str">
        <f>"500ETF"</f>
        <v>500ETF</v>
      </c>
      <c r="D657" s="11" t="str">
        <f>"510500"</f>
        <v>510500</v>
      </c>
      <c r="E657" s="11" t="str">
        <f>"买入"</f>
        <v>买入</v>
      </c>
      <c r="F657" s="11" t="str">
        <f>"证券买入"</f>
        <v>证券买入</v>
      </c>
      <c r="G657" s="13">
        <v>5.1669999999999998</v>
      </c>
      <c r="H657" s="1">
        <v>7900</v>
      </c>
      <c r="I657" s="5">
        <v>-40827.46</v>
      </c>
      <c r="J657" s="5">
        <v>-11.62</v>
      </c>
      <c r="K657" s="5">
        <v>8.16</v>
      </c>
      <c r="L657" s="1" t="str">
        <f>"A280737240"</f>
        <v>A280737240</v>
      </c>
      <c r="M657" s="1" t="str">
        <f>"证券买入"</f>
        <v>证券买入</v>
      </c>
    </row>
    <row r="658" spans="1:13" x14ac:dyDescent="0.2">
      <c r="A658" s="3" t="str">
        <f>"8122"</f>
        <v>8122</v>
      </c>
      <c r="B658" s="4">
        <v>43668</v>
      </c>
      <c r="C658" s="11" t="s">
        <v>34</v>
      </c>
      <c r="D658" s="11">
        <v>940018</v>
      </c>
      <c r="E658" s="11" t="str">
        <f>"卖出"</f>
        <v>卖出</v>
      </c>
      <c r="F658" s="11" t="str">
        <f>"基金资金拨出"</f>
        <v>基金资金拨出</v>
      </c>
      <c r="G658" s="13">
        <v>0</v>
      </c>
      <c r="H658" s="1">
        <v>0</v>
      </c>
      <c r="I658" s="5">
        <v>-102.38</v>
      </c>
      <c r="J658" s="5">
        <v>-114</v>
      </c>
      <c r="K658" s="5">
        <v>0</v>
      </c>
      <c r="L658" s="1" t="str">
        <f t="shared" ref="L658:L660" si="102">" "</f>
        <v xml:space="preserve"> </v>
      </c>
      <c r="M658" s="1" t="str">
        <f>"122扣除金额 基金代码：940018,发生份额：102.38"</f>
        <v>122扣除金额 基金代码：940018,发生份额：102.38</v>
      </c>
    </row>
    <row r="659" spans="1:13" x14ac:dyDescent="0.2">
      <c r="A659" s="3" t="str">
        <f>"8123"</f>
        <v>8123</v>
      </c>
      <c r="B659" s="4">
        <v>43668</v>
      </c>
      <c r="C659" s="11" t="s">
        <v>34</v>
      </c>
      <c r="D659" s="11">
        <v>940018</v>
      </c>
      <c r="E659" s="11" t="str">
        <f>"卖出"</f>
        <v>卖出</v>
      </c>
      <c r="F659" s="11" t="str">
        <f>"基金资金拨入"</f>
        <v>基金资金拨入</v>
      </c>
      <c r="G659" s="13">
        <v>0</v>
      </c>
      <c r="H659" s="1">
        <v>0</v>
      </c>
      <c r="I659" s="5">
        <v>115</v>
      </c>
      <c r="J659" s="5">
        <v>1</v>
      </c>
      <c r="K659" s="5">
        <v>0</v>
      </c>
      <c r="L659" s="1" t="str">
        <f t="shared" si="102"/>
        <v xml:space="preserve"> </v>
      </c>
      <c r="M659" s="1" t="str">
        <f>"124增加金额 基金代码：940018,发生份额：115"</f>
        <v>124增加金额 基金代码：940018,发生份额：115</v>
      </c>
    </row>
    <row r="660" spans="1:13" x14ac:dyDescent="0.2">
      <c r="A660" s="3" t="str">
        <f>"13237"</f>
        <v>13237</v>
      </c>
      <c r="B660" s="4">
        <v>43669</v>
      </c>
      <c r="C660" s="11" t="s">
        <v>34</v>
      </c>
      <c r="D660" s="11">
        <v>940018</v>
      </c>
      <c r="E660" s="11" t="str">
        <f>"卖出"</f>
        <v>卖出</v>
      </c>
      <c r="F660" s="11" t="str">
        <f>"基金资金拨出"</f>
        <v>基金资金拨出</v>
      </c>
      <c r="G660" s="13">
        <v>0</v>
      </c>
      <c r="H660" s="1">
        <v>0</v>
      </c>
      <c r="I660" s="5">
        <v>-1</v>
      </c>
      <c r="J660" s="5">
        <v>0</v>
      </c>
      <c r="K660" s="5">
        <v>0</v>
      </c>
      <c r="L660" s="1" t="str">
        <f t="shared" si="102"/>
        <v xml:space="preserve"> </v>
      </c>
      <c r="M660" s="1" t="str">
        <f>"122扣除金额 基金代码：940018,发生份额：1"</f>
        <v>122扣除金额 基金代码：940018,发生份额：1</v>
      </c>
    </row>
    <row r="661" spans="1:13" x14ac:dyDescent="0.2">
      <c r="A661" s="6">
        <v>870</v>
      </c>
      <c r="B661" s="7">
        <v>43734</v>
      </c>
      <c r="C661" s="12" t="s">
        <v>2</v>
      </c>
      <c r="D661" s="11"/>
      <c r="E661" s="12" t="s">
        <v>4</v>
      </c>
      <c r="F661" s="12" t="s">
        <v>11</v>
      </c>
      <c r="G661" s="14">
        <v>0</v>
      </c>
      <c r="H661" s="2">
        <v>0</v>
      </c>
      <c r="I661" s="8">
        <v>3500</v>
      </c>
      <c r="J661" s="8">
        <v>3500</v>
      </c>
      <c r="K661" s="8">
        <v>0</v>
      </c>
      <c r="L661" s="2" t="s">
        <v>2</v>
      </c>
      <c r="M661" s="2" t="s">
        <v>12</v>
      </c>
    </row>
    <row r="662" spans="1:13" x14ac:dyDescent="0.2">
      <c r="A662" s="6">
        <v>7288</v>
      </c>
      <c r="B662" s="7">
        <v>43734</v>
      </c>
      <c r="C662" s="12" t="s">
        <v>13</v>
      </c>
      <c r="D662" s="12">
        <v>159902</v>
      </c>
      <c r="E662" s="12" t="s">
        <v>14</v>
      </c>
      <c r="F662" s="12" t="s">
        <v>15</v>
      </c>
      <c r="G662" s="14">
        <v>2.9489999999999998</v>
      </c>
      <c r="H662" s="2">
        <v>1200</v>
      </c>
      <c r="I662" s="8">
        <v>-3539.51</v>
      </c>
      <c r="J662" s="8">
        <v>-39.51</v>
      </c>
      <c r="K662" s="8">
        <v>0.71</v>
      </c>
      <c r="L662" s="2">
        <v>184500716</v>
      </c>
      <c r="M662" s="2" t="s">
        <v>15</v>
      </c>
    </row>
    <row r="663" spans="1:13" x14ac:dyDescent="0.2">
      <c r="A663" s="6">
        <v>10483</v>
      </c>
      <c r="B663" s="7">
        <v>43734</v>
      </c>
      <c r="C663" s="11" t="s">
        <v>34</v>
      </c>
      <c r="D663" s="11">
        <v>940018</v>
      </c>
      <c r="E663" s="12" t="s">
        <v>4</v>
      </c>
      <c r="F663" s="12" t="s">
        <v>7</v>
      </c>
      <c r="G663" s="14">
        <v>0</v>
      </c>
      <c r="H663" s="2">
        <v>0</v>
      </c>
      <c r="I663" s="8">
        <v>-63.67</v>
      </c>
      <c r="J663" s="8">
        <v>-103.18</v>
      </c>
      <c r="K663" s="8">
        <v>0</v>
      </c>
      <c r="L663" s="2" t="s">
        <v>2</v>
      </c>
      <c r="M663" s="2" t="s">
        <v>16</v>
      </c>
    </row>
    <row r="664" spans="1:13" x14ac:dyDescent="0.2">
      <c r="A664" s="6">
        <v>10485</v>
      </c>
      <c r="B664" s="7">
        <v>43734</v>
      </c>
      <c r="C664" s="11" t="s">
        <v>34</v>
      </c>
      <c r="D664" s="11">
        <v>940018</v>
      </c>
      <c r="E664" s="12" t="s">
        <v>4</v>
      </c>
      <c r="F664" s="12" t="s">
        <v>17</v>
      </c>
      <c r="G664" s="14">
        <v>0</v>
      </c>
      <c r="H664" s="2">
        <v>0</v>
      </c>
      <c r="I664" s="8">
        <v>104.18</v>
      </c>
      <c r="J664" s="8">
        <v>1</v>
      </c>
      <c r="K664" s="8">
        <v>0</v>
      </c>
      <c r="L664" s="2" t="s">
        <v>2</v>
      </c>
      <c r="M664" s="2" t="s">
        <v>18</v>
      </c>
    </row>
    <row r="665" spans="1:13" x14ac:dyDescent="0.2">
      <c r="A665" s="6">
        <v>8840</v>
      </c>
      <c r="B665" s="7">
        <v>43735</v>
      </c>
      <c r="C665" s="11" t="s">
        <v>34</v>
      </c>
      <c r="D665" s="11">
        <v>940018</v>
      </c>
      <c r="E665" s="12" t="s">
        <v>4</v>
      </c>
      <c r="F665" s="12" t="s">
        <v>7</v>
      </c>
      <c r="G665" s="14">
        <v>0</v>
      </c>
      <c r="H665" s="2">
        <v>0</v>
      </c>
      <c r="I665" s="8">
        <v>-1</v>
      </c>
      <c r="J665" s="8">
        <v>0</v>
      </c>
      <c r="K665" s="8">
        <v>0</v>
      </c>
      <c r="L665" s="2" t="s">
        <v>2</v>
      </c>
      <c r="M665" s="2" t="s">
        <v>19</v>
      </c>
    </row>
    <row r="666" spans="1:13" x14ac:dyDescent="0.2">
      <c r="A666" s="3" t="str">
        <f>"1775"</f>
        <v>1775</v>
      </c>
      <c r="B666" s="4">
        <v>43774</v>
      </c>
      <c r="C666" s="11" t="s">
        <v>34</v>
      </c>
      <c r="D666" s="11">
        <v>940018</v>
      </c>
      <c r="E666" s="11" t="str">
        <f t="shared" ref="E666:E672" si="103">"卖出"</f>
        <v>卖出</v>
      </c>
      <c r="F666" s="11" t="str">
        <f>"基金资金拨出"</f>
        <v>基金资金拨出</v>
      </c>
      <c r="G666" s="13">
        <v>0</v>
      </c>
      <c r="H666" s="1">
        <v>0</v>
      </c>
      <c r="I666" s="5">
        <v>-3662.71</v>
      </c>
      <c r="J666" s="5">
        <v>-3662.71</v>
      </c>
      <c r="K666" s="5">
        <v>0</v>
      </c>
      <c r="L666" s="1" t="str">
        <f>" "</f>
        <v xml:space="preserve"> </v>
      </c>
      <c r="M666" s="1" t="str">
        <f>"122扣除金额 基金代码：940018,发生份额：3662.71"</f>
        <v>122扣除金额 基金代码：940018,发生份额：3662.71</v>
      </c>
    </row>
    <row r="667" spans="1:13" x14ac:dyDescent="0.2">
      <c r="A667" s="3" t="str">
        <f>"7033"</f>
        <v>7033</v>
      </c>
      <c r="B667" s="4">
        <v>43774</v>
      </c>
      <c r="C667" s="11" t="str">
        <f>"中 小 板"</f>
        <v>中 小 板</v>
      </c>
      <c r="D667" s="11" t="str">
        <f>"159902"</f>
        <v>159902</v>
      </c>
      <c r="E667" s="11" t="str">
        <f t="shared" si="103"/>
        <v>卖出</v>
      </c>
      <c r="F667" s="11" t="str">
        <f>"证券卖出"</f>
        <v>证券卖出</v>
      </c>
      <c r="G667" s="13">
        <v>3.1080000000000001</v>
      </c>
      <c r="H667" s="1">
        <v>-1200</v>
      </c>
      <c r="I667" s="5">
        <v>3728.85</v>
      </c>
      <c r="J667" s="5">
        <v>66.14</v>
      </c>
      <c r="K667" s="5">
        <v>0.75</v>
      </c>
      <c r="L667" s="1" t="str">
        <f>"0184500716"</f>
        <v>0184500716</v>
      </c>
      <c r="M667" s="1" t="str">
        <f>"证券卖出"</f>
        <v>证券卖出</v>
      </c>
    </row>
    <row r="668" spans="1:13" x14ac:dyDescent="0.2">
      <c r="A668" s="3" t="str">
        <f>"254"</f>
        <v>254</v>
      </c>
      <c r="B668" s="4">
        <v>43775</v>
      </c>
      <c r="C668" s="11" t="str">
        <f t="shared" ref="C668:L672" si="104">" "</f>
        <v xml:space="preserve"> </v>
      </c>
      <c r="D668" s="11"/>
      <c r="E668" s="11" t="str">
        <f t="shared" si="103"/>
        <v>卖出</v>
      </c>
      <c r="F668" s="11" t="str">
        <f>"银行转取"</f>
        <v>银行转取</v>
      </c>
      <c r="G668" s="13">
        <v>0</v>
      </c>
      <c r="H668" s="1">
        <v>0</v>
      </c>
      <c r="I668" s="5">
        <v>-66.14</v>
      </c>
      <c r="J668" s="5">
        <v>0</v>
      </c>
      <c r="K668" s="5">
        <v>0</v>
      </c>
      <c r="L668" s="1" t="str">
        <f t="shared" si="104"/>
        <v xml:space="preserve"> </v>
      </c>
      <c r="M668" s="1" t="str">
        <f>"银行返回码[ ]返回信息[0000 交易成功]|转账成功 转账账号:6225881012906292 correct_balance=66.14"</f>
        <v>银行返回码[ ]返回信息[0000 交易成功]|转账成功 转账账号:6225881012906292 correct_balance=66.14</v>
      </c>
    </row>
    <row r="669" spans="1:13" x14ac:dyDescent="0.2">
      <c r="A669" s="3" t="str">
        <f>"368"</f>
        <v>368</v>
      </c>
      <c r="B669" s="4">
        <v>43775</v>
      </c>
      <c r="C669" s="11" t="s">
        <v>34</v>
      </c>
      <c r="D669" s="11">
        <v>940018</v>
      </c>
      <c r="E669" s="11" t="str">
        <f t="shared" si="103"/>
        <v>卖出</v>
      </c>
      <c r="F669" s="11" t="str">
        <f>"资管转让资金上账"</f>
        <v>资管转让资金上账</v>
      </c>
      <c r="G669" s="13">
        <v>0</v>
      </c>
      <c r="H669" s="1">
        <v>0</v>
      </c>
      <c r="I669" s="5">
        <v>3727</v>
      </c>
      <c r="J669" s="5">
        <v>3727</v>
      </c>
      <c r="K669" s="5">
        <v>0</v>
      </c>
      <c r="L669" s="1" t="str">
        <f t="shared" si="104"/>
        <v xml:space="preserve"> </v>
      </c>
      <c r="M669" s="1" t="str">
        <f>"快速取现退出资金拨入,产品代码940018,对方资产账户40000545correct_balance=0"</f>
        <v>快速取现退出资金拨入,产品代码940018,对方资产账户40000545correct_balance=0</v>
      </c>
    </row>
    <row r="670" spans="1:13" x14ac:dyDescent="0.2">
      <c r="A670" s="3" t="str">
        <f>"1004"</f>
        <v>1004</v>
      </c>
      <c r="B670" s="4">
        <v>43775</v>
      </c>
      <c r="C670" s="11" t="str">
        <f t="shared" si="104"/>
        <v xml:space="preserve"> </v>
      </c>
      <c r="D670" s="11"/>
      <c r="E670" s="11" t="str">
        <f t="shared" si="103"/>
        <v>卖出</v>
      </c>
      <c r="F670" s="11" t="str">
        <f>"银行转取"</f>
        <v>银行转取</v>
      </c>
      <c r="G670" s="13">
        <v>0</v>
      </c>
      <c r="H670" s="1">
        <v>0</v>
      </c>
      <c r="I670" s="5">
        <v>-3727</v>
      </c>
      <c r="J670" s="5">
        <v>0</v>
      </c>
      <c r="K670" s="5">
        <v>0</v>
      </c>
      <c r="L670" s="1" t="str">
        <f t="shared" si="104"/>
        <v xml:space="preserve"> </v>
      </c>
      <c r="M670" s="1" t="str">
        <f>"银行返回码[ ]返回信息[0000 交易成功]|转账成功 转账账号:6225881012906292 correct_balance=3727"</f>
        <v>银行返回码[ ]返回信息[0000 交易成功]|转账成功 转账账号:6225881012906292 correct_balance=3727</v>
      </c>
    </row>
    <row r="671" spans="1:13" x14ac:dyDescent="0.2">
      <c r="A671" s="3" t="str">
        <f>"455"</f>
        <v>455</v>
      </c>
      <c r="B671" s="4">
        <v>43780</v>
      </c>
      <c r="C671" s="11" t="str">
        <f t="shared" si="104"/>
        <v xml:space="preserve"> </v>
      </c>
      <c r="D671" s="11"/>
      <c r="E671" s="11" t="str">
        <f t="shared" si="103"/>
        <v>卖出</v>
      </c>
      <c r="F671" s="11" t="str">
        <f>"银行转存"</f>
        <v>银行转存</v>
      </c>
      <c r="G671" s="13">
        <v>0</v>
      </c>
      <c r="H671" s="1">
        <v>0</v>
      </c>
      <c r="I671" s="5">
        <v>3300</v>
      </c>
      <c r="J671" s="5">
        <v>3300</v>
      </c>
      <c r="K671" s="5">
        <v>0</v>
      </c>
      <c r="L671" s="1" t="str">
        <f t="shared" si="104"/>
        <v xml:space="preserve"> </v>
      </c>
      <c r="M671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72" spans="1:13" x14ac:dyDescent="0.2">
      <c r="A672" s="3" t="str">
        <f>"3822"</f>
        <v>3822</v>
      </c>
      <c r="B672" s="4">
        <v>43780</v>
      </c>
      <c r="C672" s="11" t="s">
        <v>34</v>
      </c>
      <c r="D672" s="11">
        <v>940018</v>
      </c>
      <c r="E672" s="11" t="str">
        <f t="shared" si="103"/>
        <v>卖出</v>
      </c>
      <c r="F672" s="11" t="str">
        <f>"基金资金拨出"</f>
        <v>基金资金拨出</v>
      </c>
      <c r="G672" s="13">
        <v>0</v>
      </c>
      <c r="H672" s="1">
        <v>0</v>
      </c>
      <c r="I672" s="5">
        <v>-129.77000000000001</v>
      </c>
      <c r="J672" s="5">
        <v>3170.23</v>
      </c>
      <c r="K672" s="5">
        <v>0</v>
      </c>
      <c r="L672" s="1" t="str">
        <f t="shared" si="104"/>
        <v xml:space="preserve"> </v>
      </c>
      <c r="M672" s="1" t="str">
        <f>"122扣除金额 基金代码：940018,发生份额：129.77"</f>
        <v>122扣除金额 基金代码：940018,发生份额：129.77</v>
      </c>
    </row>
    <row r="673" spans="1:13" x14ac:dyDescent="0.2">
      <c r="A673" s="3" t="str">
        <f>"4256"</f>
        <v>4256</v>
      </c>
      <c r="B673" s="4">
        <v>43780</v>
      </c>
      <c r="C673" s="11" t="str">
        <f>"500ETF"</f>
        <v>500ETF</v>
      </c>
      <c r="D673" s="11" t="str">
        <f>"510500"</f>
        <v>510500</v>
      </c>
      <c r="E673" s="11" t="str">
        <f>"买入"</f>
        <v>买入</v>
      </c>
      <c r="F673" s="11" t="str">
        <f>"证券买入"</f>
        <v>证券买入</v>
      </c>
      <c r="G673" s="13">
        <v>5.2809999999999997</v>
      </c>
      <c r="H673" s="1">
        <v>600</v>
      </c>
      <c r="I673" s="5">
        <v>-3169.23</v>
      </c>
      <c r="J673" s="5">
        <v>1</v>
      </c>
      <c r="K673" s="5">
        <v>0.63</v>
      </c>
      <c r="L673" s="1" t="str">
        <f>"A280737240"</f>
        <v>A280737240</v>
      </c>
      <c r="M673" s="1" t="str">
        <f>"证券买入"</f>
        <v>证券买入</v>
      </c>
    </row>
    <row r="674" spans="1:13" x14ac:dyDescent="0.2">
      <c r="A674" s="3" t="str">
        <f>"2028"</f>
        <v>2028</v>
      </c>
      <c r="B674" s="4">
        <v>43781</v>
      </c>
      <c r="C674" s="11" t="s">
        <v>34</v>
      </c>
      <c r="D674" s="11">
        <v>940018</v>
      </c>
      <c r="E674" s="11" t="str">
        <f t="shared" ref="E674:E681" si="105">"卖出"</f>
        <v>卖出</v>
      </c>
      <c r="F674" s="11" t="str">
        <f>"基金资金拨出"</f>
        <v>基金资金拨出</v>
      </c>
      <c r="G674" s="13">
        <v>0</v>
      </c>
      <c r="H674" s="1">
        <v>0</v>
      </c>
      <c r="I674" s="5">
        <v>-1</v>
      </c>
      <c r="J674" s="5">
        <v>0</v>
      </c>
      <c r="K674" s="5">
        <v>0</v>
      </c>
      <c r="L674" s="1" t="str">
        <f t="shared" ref="C674:L681" si="106">" "</f>
        <v xml:space="preserve"> </v>
      </c>
      <c r="M674" s="1" t="str">
        <f>"122扣除金额 基金代码：940018,发生份额：1"</f>
        <v>122扣除金额 基金代码：940018,发生份额：1</v>
      </c>
    </row>
    <row r="675" spans="1:13" x14ac:dyDescent="0.2">
      <c r="A675" s="3" t="str">
        <f>"388"</f>
        <v>388</v>
      </c>
      <c r="B675" s="4">
        <v>43789</v>
      </c>
      <c r="C675" s="11" t="str">
        <f t="shared" si="106"/>
        <v xml:space="preserve"> </v>
      </c>
      <c r="D675" s="11"/>
      <c r="E675" s="11" t="str">
        <f t="shared" si="105"/>
        <v>卖出</v>
      </c>
      <c r="F675" s="11" t="str">
        <f>"银行转存"</f>
        <v>银行转存</v>
      </c>
      <c r="G675" s="13">
        <v>0</v>
      </c>
      <c r="H675" s="1">
        <v>0</v>
      </c>
      <c r="I675" s="5">
        <v>32000</v>
      </c>
      <c r="J675" s="5">
        <v>32000</v>
      </c>
      <c r="K675" s="5">
        <v>0</v>
      </c>
      <c r="L675" s="1" t="str">
        <f t="shared" si="106"/>
        <v xml:space="preserve"> </v>
      </c>
      <c r="M675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76" spans="1:13" x14ac:dyDescent="0.2">
      <c r="A676" s="3" t="str">
        <f>"5749"</f>
        <v>5749</v>
      </c>
      <c r="B676" s="4">
        <v>43789</v>
      </c>
      <c r="C676" s="11" t="s">
        <v>34</v>
      </c>
      <c r="D676" s="11">
        <v>940018</v>
      </c>
      <c r="E676" s="11" t="str">
        <f t="shared" si="105"/>
        <v>卖出</v>
      </c>
      <c r="F676" s="11" t="str">
        <f>"基金资金拨出"</f>
        <v>基金资金拨出</v>
      </c>
      <c r="G676" s="13">
        <v>0</v>
      </c>
      <c r="H676" s="1">
        <v>0</v>
      </c>
      <c r="I676" s="5">
        <v>-32000</v>
      </c>
      <c r="J676" s="5">
        <v>0</v>
      </c>
      <c r="K676" s="5">
        <v>0</v>
      </c>
      <c r="L676" s="1" t="str">
        <f t="shared" si="106"/>
        <v xml:space="preserve"> </v>
      </c>
      <c r="M676" s="1" t="str">
        <f>"122扣除金额 基金代码：940018,发生份额：32000"</f>
        <v>122扣除金额 基金代码：940018,发生份额：32000</v>
      </c>
    </row>
    <row r="677" spans="1:13" x14ac:dyDescent="0.2">
      <c r="A677" s="3" t="str">
        <f>"421"</f>
        <v>421</v>
      </c>
      <c r="B677" s="4">
        <v>43790</v>
      </c>
      <c r="C677" s="11" t="s">
        <v>34</v>
      </c>
      <c r="D677" s="11">
        <v>940018</v>
      </c>
      <c r="E677" s="11" t="str">
        <f t="shared" si="105"/>
        <v>卖出</v>
      </c>
      <c r="F677" s="11" t="str">
        <f>"资管转让资金上账"</f>
        <v>资管转让资金上账</v>
      </c>
      <c r="G677" s="13">
        <v>0</v>
      </c>
      <c r="H677" s="1">
        <v>0</v>
      </c>
      <c r="I677" s="5">
        <v>32131</v>
      </c>
      <c r="J677" s="5">
        <v>32131</v>
      </c>
      <c r="K677" s="5">
        <v>0</v>
      </c>
      <c r="L677" s="1" t="str">
        <f t="shared" si="106"/>
        <v xml:space="preserve"> </v>
      </c>
      <c r="M677" s="1" t="str">
        <f>"快速取现退出资金拨入,产品代码940018,对方资产账户40000545correct_balance=0"</f>
        <v>快速取现退出资金拨入,产品代码940018,对方资产账户40000545correct_balance=0</v>
      </c>
    </row>
    <row r="678" spans="1:13" x14ac:dyDescent="0.2">
      <c r="A678" s="3" t="str">
        <f>"425"</f>
        <v>425</v>
      </c>
      <c r="B678" s="4">
        <v>43790</v>
      </c>
      <c r="C678" s="11" t="str">
        <f t="shared" si="106"/>
        <v xml:space="preserve"> </v>
      </c>
      <c r="D678" s="11"/>
      <c r="E678" s="11" t="str">
        <f t="shared" si="105"/>
        <v>卖出</v>
      </c>
      <c r="F678" s="11" t="str">
        <f>"银行转取"</f>
        <v>银行转取</v>
      </c>
      <c r="G678" s="13">
        <v>0</v>
      </c>
      <c r="H678" s="1">
        <v>0</v>
      </c>
      <c r="I678" s="5">
        <v>-32131</v>
      </c>
      <c r="J678" s="5">
        <v>0</v>
      </c>
      <c r="K678" s="5">
        <v>0</v>
      </c>
      <c r="L678" s="1" t="str">
        <f t="shared" si="106"/>
        <v xml:space="preserve"> </v>
      </c>
      <c r="M678" s="1" t="str">
        <f>"银行返回码[ ]返回信息[0000 交易成功]|转账成功 转账账号:6225881012906292 correct_balance=32131"</f>
        <v>银行返回码[ ]返回信息[0000 交易成功]|转账成功 转账账号:6225881012906292 correct_balance=32131</v>
      </c>
    </row>
    <row r="679" spans="1:13" x14ac:dyDescent="0.2">
      <c r="A679" s="3" t="str">
        <f>"720"</f>
        <v>720</v>
      </c>
      <c r="B679" s="4">
        <v>43794</v>
      </c>
      <c r="C679" s="11" t="str">
        <f t="shared" si="106"/>
        <v xml:space="preserve"> </v>
      </c>
      <c r="D679" s="11"/>
      <c r="E679" s="11" t="str">
        <f t="shared" si="105"/>
        <v>卖出</v>
      </c>
      <c r="F679" s="11" t="str">
        <f>"银行转存"</f>
        <v>银行转存</v>
      </c>
      <c r="G679" s="13">
        <v>0</v>
      </c>
      <c r="H679" s="1">
        <v>0</v>
      </c>
      <c r="I679" s="5">
        <v>3600</v>
      </c>
      <c r="J679" s="5">
        <v>3600</v>
      </c>
      <c r="K679" s="5">
        <v>0</v>
      </c>
      <c r="L679" s="1" t="str">
        <f t="shared" si="106"/>
        <v xml:space="preserve"> </v>
      </c>
      <c r="M679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80" spans="1:13" x14ac:dyDescent="0.2">
      <c r="A680" s="3" t="str">
        <f>"2105"</f>
        <v>2105</v>
      </c>
      <c r="B680" s="4">
        <v>43794</v>
      </c>
      <c r="C680" s="11" t="s">
        <v>34</v>
      </c>
      <c r="D680" s="11">
        <v>940018</v>
      </c>
      <c r="E680" s="11" t="str">
        <f t="shared" si="105"/>
        <v>卖出</v>
      </c>
      <c r="F680" s="11" t="str">
        <f>"基金资金拨出"</f>
        <v>基金资金拨出</v>
      </c>
      <c r="G680" s="13">
        <v>0</v>
      </c>
      <c r="H680" s="1">
        <v>0</v>
      </c>
      <c r="I680" s="5">
        <v>-30.49</v>
      </c>
      <c r="J680" s="5">
        <v>3569.51</v>
      </c>
      <c r="K680" s="5">
        <v>0</v>
      </c>
      <c r="L680" s="1" t="str">
        <f t="shared" si="106"/>
        <v xml:space="preserve"> </v>
      </c>
      <c r="M680" s="1" t="str">
        <f>"122扣除金额 基金代码：940018,发生份额：30.49"</f>
        <v>122扣除金额 基金代码：940018,发生份额：30.49</v>
      </c>
    </row>
    <row r="681" spans="1:13" x14ac:dyDescent="0.2">
      <c r="A681" s="3" t="str">
        <f>"699"</f>
        <v>699</v>
      </c>
      <c r="B681" s="4">
        <v>43797</v>
      </c>
      <c r="C681" s="11" t="str">
        <f t="shared" si="106"/>
        <v xml:space="preserve"> </v>
      </c>
      <c r="D681" s="11"/>
      <c r="E681" s="11" t="str">
        <f t="shared" si="105"/>
        <v>卖出</v>
      </c>
      <c r="F681" s="11" t="str">
        <f>"银行转取"</f>
        <v>银行转取</v>
      </c>
      <c r="G681" s="13">
        <v>0</v>
      </c>
      <c r="H681" s="1">
        <v>0</v>
      </c>
      <c r="I681" s="5">
        <v>-3569.51</v>
      </c>
      <c r="J681" s="5">
        <v>0</v>
      </c>
      <c r="K681" s="5">
        <v>0</v>
      </c>
      <c r="L681" s="1" t="str">
        <f t="shared" si="106"/>
        <v xml:space="preserve"> </v>
      </c>
      <c r="M681" s="1" t="str">
        <f>"银行返回码[ ]返回信息[0000 交易成功]|转账成功 转账账号:6225881012906292 correct_balance=3569.51"</f>
        <v>银行返回码[ ]返回信息[0000 交易成功]|转账成功 转账账号:6225881012906292 correct_balance=3569.51</v>
      </c>
    </row>
    <row r="682" spans="1:13" x14ac:dyDescent="0.2">
      <c r="A682" s="16">
        <v>6555</v>
      </c>
      <c r="B682" s="4">
        <v>43803</v>
      </c>
      <c r="C682" s="11" t="str">
        <f>"50ETF"</f>
        <v>50ETF</v>
      </c>
      <c r="D682" s="11" t="str">
        <f>"510050"</f>
        <v>510050</v>
      </c>
      <c r="E682" s="11" t="s">
        <v>71</v>
      </c>
      <c r="F682" s="11" t="s">
        <v>70</v>
      </c>
      <c r="G682" s="13">
        <v>2.9009999999999998</v>
      </c>
      <c r="H682" s="1">
        <v>0</v>
      </c>
      <c r="I682" s="5">
        <v>126.9</v>
      </c>
      <c r="J682" s="5">
        <v>126.9</v>
      </c>
      <c r="K682" s="5">
        <v>0</v>
      </c>
      <c r="L682" s="1" t="str">
        <f>"A280737240"</f>
        <v>A280737240</v>
      </c>
      <c r="M682" s="1" t="s">
        <v>72</v>
      </c>
    </row>
    <row r="683" spans="1:13" x14ac:dyDescent="0.2">
      <c r="A683" s="16">
        <v>7729</v>
      </c>
      <c r="B683" s="4">
        <v>43804</v>
      </c>
      <c r="C683" s="11" t="str">
        <f>" "</f>
        <v xml:space="preserve"> </v>
      </c>
      <c r="D683" s="11" t="str">
        <f>" "</f>
        <v xml:space="preserve"> </v>
      </c>
      <c r="E683" s="11" t="s">
        <v>71</v>
      </c>
      <c r="F683" s="11" t="s">
        <v>73</v>
      </c>
      <c r="G683" s="13">
        <v>0</v>
      </c>
      <c r="H683" s="1">
        <v>0</v>
      </c>
      <c r="I683" s="5">
        <v>-126.9</v>
      </c>
      <c r="J683" s="5">
        <v>0</v>
      </c>
      <c r="K683" s="5">
        <v>0</v>
      </c>
      <c r="L683" s="1" t="str">
        <f>" "</f>
        <v xml:space="preserve"> </v>
      </c>
      <c r="M683" s="1" t="s">
        <v>74</v>
      </c>
    </row>
    <row r="684" spans="1:13" x14ac:dyDescent="0.2">
      <c r="A684" s="16">
        <v>6197</v>
      </c>
      <c r="B684" s="4">
        <v>43812</v>
      </c>
      <c r="C684" s="11" t="str">
        <f>"300ETF"</f>
        <v>300ETF</v>
      </c>
      <c r="D684" s="11" t="str">
        <f>"510300"</f>
        <v>510300</v>
      </c>
      <c r="E684" s="11" t="s">
        <v>71</v>
      </c>
      <c r="F684" s="11" t="s">
        <v>70</v>
      </c>
      <c r="G684" s="13">
        <v>3.968</v>
      </c>
      <c r="H684" s="1">
        <v>0</v>
      </c>
      <c r="I684" s="5">
        <v>564.20000000000005</v>
      </c>
      <c r="J684" s="5">
        <v>564.20000000000005</v>
      </c>
      <c r="K684" s="5">
        <v>0</v>
      </c>
      <c r="L684" s="1" t="str">
        <f>"A280737240"</f>
        <v>A280737240</v>
      </c>
      <c r="M684" s="1" t="s">
        <v>75</v>
      </c>
    </row>
    <row r="685" spans="1:13" x14ac:dyDescent="0.2">
      <c r="A685" s="16">
        <v>2271</v>
      </c>
      <c r="B685" s="4">
        <v>43815</v>
      </c>
      <c r="C685" s="11" t="str">
        <f>" "</f>
        <v xml:space="preserve"> </v>
      </c>
      <c r="D685" s="11" t="str">
        <f>" "</f>
        <v xml:space="preserve"> </v>
      </c>
      <c r="E685" s="11" t="s">
        <v>71</v>
      </c>
      <c r="F685" s="11" t="s">
        <v>73</v>
      </c>
      <c r="G685" s="13">
        <v>0</v>
      </c>
      <c r="H685" s="1">
        <v>0</v>
      </c>
      <c r="I685" s="5">
        <v>-564.20000000000005</v>
      </c>
      <c r="J685" s="5">
        <v>0</v>
      </c>
      <c r="K685" s="5">
        <v>0</v>
      </c>
      <c r="L685" s="1" t="str">
        <f>" "</f>
        <v xml:space="preserve"> </v>
      </c>
      <c r="M685" s="1" t="s">
        <v>76</v>
      </c>
    </row>
    <row r="686" spans="1:13" x14ac:dyDescent="0.2">
      <c r="B686" s="4"/>
      <c r="L686" s="1"/>
    </row>
    <row r="687" spans="1:13" x14ac:dyDescent="0.2">
      <c r="B687" s="4"/>
    </row>
    <row r="688" spans="1:13" x14ac:dyDescent="0.2">
      <c r="B688" s="4"/>
    </row>
    <row r="689" spans="2:2" x14ac:dyDescent="0.2">
      <c r="B689" s="4"/>
    </row>
  </sheetData>
  <autoFilter ref="A1:M685" xr:uid="{F520BE3D-FEF2-4B4A-BF38-05C2D1F3DBB6}"/>
  <phoneticPr fontId="1" type="noConversion"/>
  <pageMargins left="0.7" right="0.7" top="0.75" bottom="0.75" header="0.3" footer="0.3"/>
  <ignoredErrors>
    <ignoredError sqref="C682 C684:D684 E64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201508-201612</vt:lpstr>
      <vt:lpstr>201701-201912</vt:lpstr>
      <vt:lpstr>华泰证券交易记录整合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kangliquan</dc:creator>
  <cp:lastModifiedBy>kangliquan</cp:lastModifiedBy>
  <dcterms:created xsi:type="dcterms:W3CDTF">2015-06-05T18:19:34Z</dcterms:created>
  <dcterms:modified xsi:type="dcterms:W3CDTF">2019-12-17T23:46:18Z</dcterms:modified>
</cp:coreProperties>
</file>