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2F81AB2E-5A7A-4EAF-AF59-CE5543E478E5}" xr6:coauthVersionLast="43" xr6:coauthVersionMax="43" xr10:uidLastSave="{00000000-0000-0000-0000-000000000000}"/>
  <bookViews>
    <workbookView xWindow="-120" yWindow="-120" windowWidth="38640" windowHeight="21240" tabRatio="711" activeTab="4" xr2:uid="{00000000-000D-0000-FFFF-FFFF00000000}"/>
  </bookViews>
  <sheets>
    <sheet name="养老金计划" sheetId="13" r:id="rId1"/>
    <sheet name="螺丝钉计划" sheetId="12" r:id="rId2"/>
    <sheet name="天天基金网" sheetId="14" r:id="rId3"/>
    <sheet name="持仓市值汇总" sheetId="15" r:id="rId4"/>
    <sheet name="资产配置情况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1" l="1"/>
  <c r="F35" i="11"/>
  <c r="F36" i="11"/>
  <c r="F37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L6" i="11" l="1"/>
  <c r="K6" i="11"/>
  <c r="L2" i="11" s="1"/>
  <c r="K14" i="12"/>
  <c r="K13" i="12"/>
  <c r="K12" i="12"/>
  <c r="K11" i="12"/>
  <c r="K10" i="12"/>
  <c r="K9" i="12"/>
  <c r="K8" i="12"/>
  <c r="K7" i="12"/>
  <c r="K6" i="12"/>
  <c r="K5" i="12"/>
  <c r="I7" i="12"/>
  <c r="I5" i="12"/>
  <c r="G133" i="12"/>
  <c r="G120" i="12"/>
  <c r="G107" i="12"/>
  <c r="G94" i="12"/>
  <c r="G81" i="12"/>
  <c r="G68" i="12"/>
  <c r="G42" i="12"/>
  <c r="G55" i="12"/>
  <c r="G29" i="12"/>
  <c r="G16" i="12"/>
  <c r="C133" i="12"/>
  <c r="C120" i="12"/>
  <c r="C107" i="12"/>
  <c r="C94" i="12"/>
  <c r="C81" i="12"/>
  <c r="C68" i="12"/>
  <c r="C55" i="12"/>
  <c r="C42" i="12"/>
  <c r="C29" i="12"/>
  <c r="C16" i="12"/>
  <c r="K2" i="11" l="1"/>
  <c r="C34" i="13"/>
  <c r="C35" i="13" s="1"/>
  <c r="D34" i="13"/>
  <c r="D35" i="13" s="1"/>
  <c r="E34" i="13"/>
  <c r="E35" i="13" s="1"/>
  <c r="F34" i="13"/>
  <c r="F35" i="13" s="1"/>
  <c r="G34" i="13"/>
  <c r="G35" i="13" s="1"/>
  <c r="H34" i="13"/>
  <c r="H35" i="13" s="1"/>
  <c r="I34" i="13"/>
  <c r="I35" i="13" s="1"/>
  <c r="J34" i="13"/>
  <c r="J35" i="13" s="1"/>
  <c r="K34" i="13"/>
  <c r="K35" i="13" s="1"/>
  <c r="L34" i="13"/>
  <c r="L35" i="13" s="1"/>
  <c r="M34" i="13"/>
  <c r="M35" i="13" s="1"/>
  <c r="N34" i="13"/>
  <c r="N35" i="13" s="1"/>
  <c r="O34" i="13"/>
  <c r="O35" i="13" s="1"/>
  <c r="P34" i="13"/>
  <c r="P35" i="13" s="1"/>
  <c r="Q34" i="13"/>
  <c r="Q35" i="13" s="1"/>
  <c r="R34" i="13"/>
  <c r="R35" i="13" s="1"/>
  <c r="S34" i="13"/>
  <c r="S35" i="13" s="1"/>
  <c r="T34" i="13"/>
  <c r="T35" i="13" s="1"/>
  <c r="U34" i="13"/>
  <c r="U35" i="13" s="1"/>
  <c r="V34" i="13"/>
  <c r="V35" i="13" s="1"/>
  <c r="B34" i="13"/>
  <c r="W34" i="13" l="1"/>
  <c r="G37" i="11" s="1"/>
  <c r="B35" i="13"/>
  <c r="W35" i="13" s="1"/>
  <c r="L14" i="11" l="1"/>
  <c r="L13" i="11" l="1"/>
  <c r="L12" i="11" l="1"/>
  <c r="F38" i="11"/>
  <c r="E39" i="11" l="1"/>
  <c r="E27" i="11"/>
  <c r="E17" i="11"/>
  <c r="C17" i="11" s="1"/>
  <c r="E10" i="11"/>
  <c r="E5" i="11"/>
  <c r="E14" i="11"/>
  <c r="C14" i="11" s="1"/>
  <c r="E12" i="11"/>
  <c r="C12" i="11" s="1"/>
  <c r="E29" i="11"/>
  <c r="C29" i="11" s="1"/>
  <c r="E7" i="11"/>
  <c r="E3" i="11"/>
  <c r="E30" i="11"/>
  <c r="C30" i="11" s="1"/>
  <c r="E26" i="11"/>
  <c r="E37" i="11"/>
  <c r="E36" i="11"/>
  <c r="E35" i="11"/>
  <c r="E19" i="11"/>
  <c r="C27" i="11" s="1"/>
  <c r="E31" i="11"/>
  <c r="C31" i="11" s="1"/>
  <c r="E18" i="11"/>
  <c r="C18" i="11" s="1"/>
  <c r="E15" i="11"/>
  <c r="C15" i="11" s="1"/>
  <c r="E33" i="11"/>
  <c r="C33" i="11" s="1"/>
  <c r="E11" i="11"/>
  <c r="C11" i="11" s="1"/>
  <c r="E8" i="11"/>
  <c r="C8" i="11" s="1"/>
  <c r="E13" i="11"/>
  <c r="C13" i="11" s="1"/>
  <c r="E2" i="11"/>
  <c r="E9" i="11"/>
  <c r="E34" i="11"/>
  <c r="E16" i="11"/>
  <c r="C16" i="11" s="1"/>
  <c r="E32" i="11"/>
  <c r="B32" i="11" s="1"/>
  <c r="E24" i="11"/>
  <c r="E23" i="11"/>
  <c r="E20" i="11"/>
  <c r="C21" i="11" s="1"/>
  <c r="E28" i="11"/>
  <c r="L4" i="11"/>
  <c r="E4" i="11"/>
  <c r="E6" i="11"/>
  <c r="E21" i="11"/>
  <c r="E25" i="11"/>
  <c r="C25" i="11" s="1"/>
  <c r="E22" i="11"/>
  <c r="C37" i="11"/>
  <c r="B37" i="11"/>
  <c r="A37" i="11"/>
  <c r="C23" i="11" l="1"/>
  <c r="C19" i="11"/>
  <c r="C3" i="11"/>
  <c r="B11" i="11"/>
  <c r="B33" i="11"/>
  <c r="A32" i="11"/>
  <c r="C32" i="11"/>
  <c r="B29" i="11"/>
  <c r="A29" i="11"/>
  <c r="A34" i="11"/>
  <c r="C9" i="11"/>
  <c r="A31" i="11"/>
  <c r="B31" i="11"/>
  <c r="B30" i="11"/>
  <c r="E38" i="11"/>
  <c r="B2" i="11"/>
  <c r="C34" i="11"/>
  <c r="B12" i="11"/>
  <c r="C2" i="11"/>
  <c r="B34" i="11"/>
  <c r="B5" i="11"/>
  <c r="C5" i="11"/>
  <c r="B19" i="11"/>
  <c r="A2" i="11"/>
</calcChain>
</file>

<file path=xl/sharedStrings.xml><?xml version="1.0" encoding="utf-8"?>
<sst xmlns="http://schemas.openxmlformats.org/spreadsheetml/2006/main" count="514" uniqueCount="138">
  <si>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</si>
  <si>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</si>
  <si>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</si>
  <si>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</si>
  <si>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</si>
  <si>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</si>
  <si>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</si>
  <si>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</si>
  <si>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</si>
  <si>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</si>
  <si>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</si>
  <si>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</si>
  <si>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</si>
  <si>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</si>
  <si>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</si>
  <si>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</si>
  <si>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</si>
  <si>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</si>
  <si>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</si>
  <si>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</si>
  <si>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</si>
  <si>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</si>
  <si>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</si>
  <si>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</si>
  <si>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</si>
  <si>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</si>
  <si>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</si>
  <si>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</si>
  <si>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</si>
  <si>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</si>
  <si>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</si>
  <si>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</si>
  <si>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</si>
  <si>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</si>
  <si>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</si>
  <si>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</si>
  <si>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</si>
  <si>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</si>
  <si>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</si>
  <si>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</si>
  <si>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</si>
  <si>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</si>
  <si>
    <t>华夏沪深300</t>
    <phoneticPr fontId="2" type="noConversion"/>
  </si>
  <si>
    <t>广发中证500C</t>
    <phoneticPr fontId="2" type="noConversion"/>
  </si>
  <si>
    <t>广发中证500A</t>
    <phoneticPr fontId="2" type="noConversion"/>
  </si>
  <si>
    <t>日期</t>
    <phoneticPr fontId="2" type="noConversion"/>
  </si>
  <si>
    <t>中证500</t>
    <phoneticPr fontId="2" type="noConversion"/>
  </si>
  <si>
    <t>中证红利</t>
    <phoneticPr fontId="2" type="noConversion"/>
  </si>
  <si>
    <t>养老产业</t>
    <phoneticPr fontId="2" type="noConversion"/>
  </si>
  <si>
    <t>全指医药</t>
    <phoneticPr fontId="2" type="noConversion"/>
  </si>
  <si>
    <t>沪深300</t>
    <phoneticPr fontId="2" type="noConversion"/>
  </si>
  <si>
    <t>中证传媒</t>
    <phoneticPr fontId="2" type="noConversion"/>
  </si>
  <si>
    <t>中证环保</t>
    <phoneticPr fontId="2" type="noConversion"/>
  </si>
  <si>
    <t>创业板</t>
    <phoneticPr fontId="2" type="noConversion"/>
  </si>
  <si>
    <t>上证50</t>
    <phoneticPr fontId="2" type="noConversion"/>
  </si>
  <si>
    <t>中证1000</t>
    <phoneticPr fontId="2" type="noConversion"/>
  </si>
  <si>
    <t>金融地产</t>
    <phoneticPr fontId="2" type="noConversion"/>
  </si>
  <si>
    <t>证券公司</t>
    <phoneticPr fontId="2" type="noConversion"/>
  </si>
  <si>
    <t>恒生</t>
    <phoneticPr fontId="2" type="noConversion"/>
  </si>
  <si>
    <t>全指消费</t>
    <phoneticPr fontId="2" type="noConversion"/>
  </si>
  <si>
    <t>德国30</t>
    <phoneticPr fontId="2" type="noConversion"/>
  </si>
  <si>
    <t>黄金</t>
    <phoneticPr fontId="2" type="noConversion"/>
  </si>
  <si>
    <t>总计</t>
    <phoneticPr fontId="2" type="noConversion"/>
  </si>
  <si>
    <t>海外互联</t>
    <phoneticPr fontId="2" type="noConversion"/>
  </si>
  <si>
    <t>现金剩余</t>
    <phoneticPr fontId="2" type="noConversion"/>
  </si>
  <si>
    <t>华宝香港中小</t>
  </si>
  <si>
    <t>景顺长城中证500低波动</t>
  </si>
  <si>
    <t>大成中证红利指数</t>
  </si>
  <si>
    <t>银河沪深300价值指数</t>
  </si>
  <si>
    <t>嘉实深证基本面120联接</t>
  </si>
  <si>
    <t>华宝红利基金</t>
  </si>
  <si>
    <t>天弘中证医药100A</t>
  </si>
  <si>
    <t>华夏上证50AH优选指数</t>
  </si>
  <si>
    <t>建信深证基本面60ETF联接A</t>
  </si>
  <si>
    <t>申万菱信沪深300价值指数</t>
  </si>
  <si>
    <t>持有收益(元)</t>
  </si>
  <si>
    <t>持有收益率</t>
  </si>
  <si>
    <t>持仓份额(份)</t>
  </si>
  <si>
    <t>持仓配比</t>
  </si>
  <si>
    <t>老妈总金额</t>
    <phoneticPr fontId="2" type="noConversion"/>
  </si>
  <si>
    <t>老妈持有收益</t>
    <phoneticPr fontId="2" type="noConversion"/>
  </si>
  <si>
    <t>老爸总金额</t>
    <phoneticPr fontId="2" type="noConversion"/>
  </si>
  <si>
    <t>老爸持有收益</t>
    <phoneticPr fontId="2" type="noConversion"/>
  </si>
  <si>
    <t>说明：再蛋卷网页版，把组合文案复制，拷贝到记事本去除格式。然后粘贴到下面对应的列。按总金额和持仓配比算出每个品种的额度。</t>
    <phoneticPr fontId="2" type="noConversion"/>
  </si>
  <si>
    <t>★有时候两个蛋卷组合的品种顺序还是稍微有点差别，这个需要粘贴之和自行对比</t>
    <phoneticPr fontId="2" type="noConversion"/>
  </si>
  <si>
    <t>金额总和</t>
    <phoneticPr fontId="2" type="noConversion"/>
  </si>
  <si>
    <t>持有收益总额</t>
    <phoneticPr fontId="2" type="noConversion"/>
  </si>
  <si>
    <t>螺丝钉计划</t>
    <phoneticPr fontId="2" type="noConversion"/>
  </si>
  <si>
    <t>螺丝钉收益</t>
    <phoneticPr fontId="2" type="noConversion"/>
  </si>
  <si>
    <t>养老金收益</t>
    <phoneticPr fontId="2" type="noConversion"/>
  </si>
  <si>
    <t>父母蛋卷</t>
    <rPh sb="0" eb="1">
      <t>tian't'j'j</t>
    </rPh>
    <phoneticPr fontId="2" type="noConversion"/>
  </si>
  <si>
    <t>基金代码</t>
  </si>
  <si>
    <t>基金简称</t>
  </si>
  <si>
    <t>基金类型</t>
  </si>
  <si>
    <t>净值日期</t>
  </si>
  <si>
    <t>单位净值</t>
  </si>
  <si>
    <t>持有份额</t>
  </si>
  <si>
    <t>参考市值</t>
  </si>
  <si>
    <t>关联银行卡</t>
  </si>
  <si>
    <t>工银货币</t>
  </si>
  <si>
    <t>货币型</t>
  </si>
  <si>
    <t>活期宝</t>
  </si>
  <si>
    <t>光大货币</t>
  </si>
  <si>
    <t>南方天天利货币Ｂ</t>
  </si>
  <si>
    <t>汇添富和聚宝货币</t>
  </si>
  <si>
    <t>富国富钱包货币</t>
  </si>
  <si>
    <t>华夏沪深300ETF联接A</t>
  </si>
  <si>
    <t>指数型</t>
  </si>
  <si>
    <t>指数宝</t>
  </si>
  <si>
    <t>广发养老指数A</t>
  </si>
  <si>
    <t>易方达创业板ETF联接A</t>
  </si>
  <si>
    <t>交银中证海外中国互联网指数</t>
  </si>
  <si>
    <t>QDII</t>
  </si>
  <si>
    <t>华夏恒生ETF联接A</t>
  </si>
  <si>
    <t>中国工商银行 | 0930</t>
  </si>
  <si>
    <t>华安黄金易ETF联接A</t>
  </si>
  <si>
    <t>华安德国30(DAX)联接</t>
  </si>
  <si>
    <t>华夏上证50ETF联接A</t>
  </si>
  <si>
    <t>广发中证环保ETF联接A</t>
  </si>
  <si>
    <t>广发医药卫生联接A</t>
  </si>
  <si>
    <t>广发中证全指金融地产联接A</t>
  </si>
  <si>
    <t>广发中证500ETF联接C</t>
  </si>
  <si>
    <t>广发创业板ETF联接A</t>
  </si>
  <si>
    <t>广发中证传媒ETF联接A</t>
  </si>
  <si>
    <t>富国中证红利指数增强</t>
  </si>
  <si>
    <t>富国沪深300指数增强</t>
  </si>
  <si>
    <t>易方达安心回报债券A</t>
  </si>
  <si>
    <t>债券型</t>
  </si>
  <si>
    <t>富国中证500指数(LOF)</t>
  </si>
  <si>
    <t>华宝标普油气上游股票</t>
  </si>
  <si>
    <t>华宝中证1000指数分级</t>
  </si>
  <si>
    <t>广发中证500ETF联接A</t>
  </si>
  <si>
    <t>兴全可转债混合</t>
  </si>
  <si>
    <t>混合型</t>
  </si>
  <si>
    <t>易方达证券公司分级</t>
  </si>
  <si>
    <t>长信可转债债券A</t>
  </si>
  <si>
    <t>工银货币</t>
    <phoneticPr fontId="2" type="noConversion"/>
  </si>
  <si>
    <t>代码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</si>
</sst>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000000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14" fontId="0" fillId="0" borderId="2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10" fontId="0" fillId="5" borderId="1" xfId="1" applyNumberFormat="1" applyFont="1" applyFill="1" applyBorder="1" applyAlignment="1">
      <alignment horizontal="right" vertical="center"/>
    </xf>
    <xf numFmtId="10" fontId="0" fillId="6" borderId="1" xfId="1" applyNumberFormat="1" applyFont="1" applyFill="1" applyBorder="1" applyAlignment="1">
      <alignment horizontal="right" vertical="center"/>
    </xf>
    <xf numFmtId="10" fontId="0" fillId="7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10" borderId="1" xfId="0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0" fillId="11" borderId="0" xfId="0" applyFill="1">
      <alignment vertical="center"/>
    </xf>
    <xf numFmtId="178" fontId="0" fillId="11" borderId="0" xfId="0" applyNumberFormat="1" applyFill="1">
      <alignment vertical="center"/>
    </xf>
    <xf numFmtId="2" fontId="0" fillId="11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0" fillId="0" borderId="0" xfId="0" applyFill="1" applyAlignment="1">
      <alignment vertical="center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4-49C2-A4D3-A8345C29E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4-49C2-A4D3-A8345C29EC0E}"/>
              </c:ext>
            </c:extLst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资产配置情况!$K$12:$K$14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资产配置情况!$L$12:$L$14</c:f>
              <c:numCache>
                <c:formatCode>0.00%</c:formatCode>
                <c:ptCount val="3"/>
                <c:pt idx="0">
                  <c:v>7.8961334060227775E-2</c:v>
                </c:pt>
                <c:pt idx="1">
                  <c:v>5.1676211833254181E-3</c:v>
                </c:pt>
                <c:pt idx="2">
                  <c:v>0.92303791070244801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14</xdr:row>
      <xdr:rowOff>52387</xdr:rowOff>
    </xdr:from>
    <xdr:to>
      <xdr:col>11</xdr:col>
      <xdr:colOff>933450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6E9C-3B94-4D0A-A08C-6223D188A932}">
  <sheetPr codeName="Sheet1"/>
  <dimension ref="A1:W35"/>
  <sheetViews>
    <sheetView workbookViewId="0">
      <pane ySplit="1" topLeftCell="A2" activePane="bottomLeft" state="frozen"/>
      <selection pane="bottomLeft" activeCell="E46" sqref="E46"/>
    </sheetView>
  </sheetViews>
  <sheetFormatPr defaultColWidth="9.625" defaultRowHeight="14.25"/>
  <cols>
    <col min="1" max="1" width="11.125" bestFit="1" customWidth="1"/>
  </cols>
  <sheetData>
    <row r="1" spans="1:23">
      <c r="A1" s="47" t="s">
        <v>45</v>
      </c>
      <c r="B1" s="38" t="s">
        <v>54</v>
      </c>
      <c r="C1" s="38" t="s">
        <v>50</v>
      </c>
      <c r="D1" s="39" t="s">
        <v>46</v>
      </c>
      <c r="E1" s="39" t="s">
        <v>55</v>
      </c>
      <c r="F1" s="39" t="s">
        <v>53</v>
      </c>
      <c r="G1" s="40" t="s">
        <v>47</v>
      </c>
      <c r="H1" s="41" t="s">
        <v>48</v>
      </c>
      <c r="I1" s="41" t="s">
        <v>49</v>
      </c>
      <c r="J1" s="41" t="s">
        <v>51</v>
      </c>
      <c r="K1" s="41" t="s">
        <v>52</v>
      </c>
      <c r="L1" s="41" t="s">
        <v>59</v>
      </c>
      <c r="M1" s="41" t="s">
        <v>56</v>
      </c>
      <c r="N1" s="41" t="s">
        <v>57</v>
      </c>
      <c r="O1" s="42" t="s">
        <v>58</v>
      </c>
      <c r="P1" s="42" t="s">
        <v>63</v>
      </c>
      <c r="Q1" s="42" t="s">
        <v>60</v>
      </c>
      <c r="R1" s="43" t="s">
        <v>17</v>
      </c>
      <c r="S1" s="43" t="s">
        <v>61</v>
      </c>
      <c r="T1" s="44" t="s">
        <v>18</v>
      </c>
      <c r="U1" s="45" t="s">
        <v>19</v>
      </c>
      <c r="V1" s="45" t="s">
        <v>20</v>
      </c>
      <c r="W1" s="47" t="s">
        <v>64</v>
      </c>
    </row>
    <row r="2" spans="1:23">
      <c r="A2" s="37">
        <v>43245</v>
      </c>
      <c r="B2" s="29"/>
      <c r="C2" s="29"/>
      <c r="D2" s="30">
        <v>400</v>
      </c>
      <c r="E2" s="30">
        <v>400</v>
      </c>
      <c r="F2" s="30"/>
      <c r="G2" s="31"/>
      <c r="H2" s="32"/>
      <c r="I2" s="32"/>
      <c r="J2" s="32">
        <v>400</v>
      </c>
      <c r="K2" s="32">
        <v>800</v>
      </c>
      <c r="L2" s="32"/>
      <c r="M2" s="32"/>
      <c r="N2" s="32"/>
      <c r="O2" s="33"/>
      <c r="P2" s="33"/>
      <c r="Q2" s="33"/>
      <c r="R2" s="34"/>
      <c r="S2" s="34"/>
      <c r="T2" s="35"/>
      <c r="U2" s="36"/>
      <c r="V2" s="36"/>
      <c r="W2" s="46"/>
    </row>
    <row r="3" spans="1:23">
      <c r="A3" s="37">
        <v>43250</v>
      </c>
      <c r="B3" s="29"/>
      <c r="C3" s="29"/>
      <c r="D3" s="30">
        <v>2000</v>
      </c>
      <c r="E3" s="30"/>
      <c r="F3" s="30"/>
      <c r="G3" s="31"/>
      <c r="H3" s="32"/>
      <c r="I3" s="32"/>
      <c r="J3" s="32"/>
      <c r="K3" s="32"/>
      <c r="L3" s="32"/>
      <c r="M3" s="32"/>
      <c r="N3" s="32"/>
      <c r="O3" s="33"/>
      <c r="P3" s="33"/>
      <c r="Q3" s="33"/>
      <c r="R3" s="34"/>
      <c r="S3" s="34"/>
      <c r="T3" s="35"/>
      <c r="U3" s="36"/>
      <c r="V3" s="36"/>
      <c r="W3" s="46"/>
    </row>
    <row r="4" spans="1:23">
      <c r="A4" s="37">
        <v>43270</v>
      </c>
      <c r="B4" s="29"/>
      <c r="C4" s="29"/>
      <c r="D4" s="30">
        <v>1200</v>
      </c>
      <c r="E4" s="30"/>
      <c r="F4" s="30"/>
      <c r="G4" s="31"/>
      <c r="H4" s="32"/>
      <c r="I4" s="32"/>
      <c r="J4" s="32"/>
      <c r="K4" s="32"/>
      <c r="L4" s="32"/>
      <c r="M4" s="32"/>
      <c r="N4" s="32">
        <v>400</v>
      </c>
      <c r="O4" s="33"/>
      <c r="P4" s="33"/>
      <c r="Q4" s="33"/>
      <c r="R4" s="34"/>
      <c r="S4" s="34"/>
      <c r="T4" s="35">
        <v>400</v>
      </c>
      <c r="U4" s="36"/>
      <c r="V4" s="36"/>
      <c r="W4" s="46"/>
    </row>
    <row r="5" spans="1:23">
      <c r="A5" s="37">
        <v>43286</v>
      </c>
      <c r="B5" s="29">
        <v>400</v>
      </c>
      <c r="C5" s="29">
        <v>400</v>
      </c>
      <c r="D5" s="30"/>
      <c r="E5" s="30"/>
      <c r="F5" s="30"/>
      <c r="G5" s="31">
        <v>800</v>
      </c>
      <c r="H5" s="32"/>
      <c r="I5" s="32"/>
      <c r="J5" s="32"/>
      <c r="K5" s="32"/>
      <c r="L5" s="32"/>
      <c r="M5" s="32">
        <v>400</v>
      </c>
      <c r="N5" s="32"/>
      <c r="O5" s="33"/>
      <c r="P5" s="33"/>
      <c r="Q5" s="33"/>
      <c r="R5" s="34"/>
      <c r="S5" s="34"/>
      <c r="T5" s="35"/>
      <c r="U5" s="36"/>
      <c r="V5" s="36"/>
      <c r="W5" s="46"/>
    </row>
    <row r="6" spans="1:23">
      <c r="A6" s="37">
        <v>43318</v>
      </c>
      <c r="B6" s="29"/>
      <c r="C6" s="29">
        <v>400</v>
      </c>
      <c r="D6" s="30">
        <v>800</v>
      </c>
      <c r="E6" s="30"/>
      <c r="F6" s="30"/>
      <c r="G6" s="31">
        <v>800</v>
      </c>
      <c r="H6" s="32"/>
      <c r="I6" s="32">
        <v>400</v>
      </c>
      <c r="J6" s="32"/>
      <c r="K6" s="32"/>
      <c r="L6" s="32"/>
      <c r="M6" s="32"/>
      <c r="N6" s="32"/>
      <c r="O6" s="33"/>
      <c r="P6" s="33"/>
      <c r="Q6" s="33"/>
      <c r="R6" s="34"/>
      <c r="S6" s="34"/>
      <c r="T6" s="35"/>
      <c r="U6" s="36"/>
      <c r="V6" s="36"/>
      <c r="W6" s="46"/>
    </row>
    <row r="7" spans="1:23">
      <c r="A7" s="37">
        <v>43329</v>
      </c>
      <c r="B7" s="29"/>
      <c r="C7" s="29"/>
      <c r="D7" s="30"/>
      <c r="E7" s="30"/>
      <c r="F7" s="30"/>
      <c r="G7" s="31"/>
      <c r="H7" s="32"/>
      <c r="I7" s="32">
        <v>800</v>
      </c>
      <c r="J7" s="32"/>
      <c r="K7" s="32"/>
      <c r="L7" s="32"/>
      <c r="M7" s="32"/>
      <c r="N7" s="32"/>
      <c r="O7" s="33"/>
      <c r="P7" s="33"/>
      <c r="Q7" s="33"/>
      <c r="R7" s="34"/>
      <c r="S7" s="34"/>
      <c r="T7" s="35"/>
      <c r="U7" s="36"/>
      <c r="V7" s="36"/>
      <c r="W7" s="46"/>
    </row>
    <row r="8" spans="1:23">
      <c r="A8" s="37">
        <v>43332</v>
      </c>
      <c r="B8" s="29"/>
      <c r="C8" s="29"/>
      <c r="D8" s="30"/>
      <c r="E8" s="30"/>
      <c r="F8" s="30"/>
      <c r="G8" s="31"/>
      <c r="H8" s="32">
        <v>800</v>
      </c>
      <c r="I8" s="32"/>
      <c r="J8" s="32"/>
      <c r="K8" s="32"/>
      <c r="L8" s="32"/>
      <c r="M8" s="32"/>
      <c r="N8" s="32"/>
      <c r="O8" s="33"/>
      <c r="P8" s="33"/>
      <c r="Q8" s="33"/>
      <c r="R8" s="34"/>
      <c r="S8" s="34"/>
      <c r="T8" s="35"/>
      <c r="U8" s="36"/>
      <c r="V8" s="36"/>
      <c r="W8" s="46"/>
    </row>
    <row r="9" spans="1:23">
      <c r="A9" s="37">
        <v>43346</v>
      </c>
      <c r="B9" s="29"/>
      <c r="C9" s="29">
        <v>400</v>
      </c>
      <c r="D9" s="30">
        <v>400</v>
      </c>
      <c r="E9" s="30"/>
      <c r="F9" s="30"/>
      <c r="G9" s="31"/>
      <c r="H9" s="32"/>
      <c r="I9" s="32"/>
      <c r="J9" s="32"/>
      <c r="K9" s="32"/>
      <c r="L9" s="32"/>
      <c r="M9" s="32"/>
      <c r="N9" s="32"/>
      <c r="O9" s="33"/>
      <c r="P9" s="33"/>
      <c r="Q9" s="33"/>
      <c r="R9" s="34"/>
      <c r="S9" s="34"/>
      <c r="T9" s="35"/>
      <c r="U9" s="36"/>
      <c r="V9" s="36"/>
      <c r="W9" s="46"/>
    </row>
    <row r="10" spans="1:23">
      <c r="A10" s="37">
        <v>43353</v>
      </c>
      <c r="B10" s="29"/>
      <c r="C10" s="29"/>
      <c r="D10" s="30">
        <v>800</v>
      </c>
      <c r="E10" s="30"/>
      <c r="F10" s="30"/>
      <c r="G10" s="31"/>
      <c r="H10" s="32"/>
      <c r="I10" s="32"/>
      <c r="J10" s="32">
        <v>400</v>
      </c>
      <c r="K10" s="32"/>
      <c r="L10" s="32"/>
      <c r="M10" s="32"/>
      <c r="N10" s="32"/>
      <c r="O10" s="33"/>
      <c r="P10" s="33"/>
      <c r="Q10" s="33"/>
      <c r="R10" s="34"/>
      <c r="S10" s="34"/>
      <c r="T10" s="35"/>
      <c r="U10" s="36"/>
      <c r="V10" s="36"/>
      <c r="W10" s="46"/>
    </row>
    <row r="11" spans="1:23">
      <c r="A11" s="37">
        <v>43371</v>
      </c>
      <c r="B11" s="29"/>
      <c r="C11" s="29">
        <v>400</v>
      </c>
      <c r="D11" s="30"/>
      <c r="E11" s="30"/>
      <c r="F11" s="30">
        <v>400</v>
      </c>
      <c r="G11" s="31">
        <v>400</v>
      </c>
      <c r="H11" s="32">
        <v>400</v>
      </c>
      <c r="I11" s="32"/>
      <c r="J11" s="32"/>
      <c r="K11" s="32"/>
      <c r="L11" s="32"/>
      <c r="M11" s="32">
        <v>400</v>
      </c>
      <c r="N11" s="32"/>
      <c r="O11" s="33"/>
      <c r="P11" s="33"/>
      <c r="Q11" s="33"/>
      <c r="R11" s="34"/>
      <c r="S11" s="34"/>
      <c r="T11" s="35">
        <v>400</v>
      </c>
      <c r="U11" s="36"/>
      <c r="V11" s="36"/>
      <c r="W11" s="46"/>
    </row>
    <row r="12" spans="1:23">
      <c r="A12" s="37">
        <v>43384</v>
      </c>
      <c r="B12" s="29"/>
      <c r="C12" s="29"/>
      <c r="D12" s="30">
        <v>800</v>
      </c>
      <c r="E12" s="30"/>
      <c r="F12" s="30"/>
      <c r="G12" s="31">
        <v>800</v>
      </c>
      <c r="H12" s="32">
        <v>400</v>
      </c>
      <c r="I12" s="32">
        <v>400</v>
      </c>
      <c r="J12" s="32"/>
      <c r="K12" s="32"/>
      <c r="L12" s="32"/>
      <c r="M12" s="32"/>
      <c r="N12" s="32"/>
      <c r="O12" s="33"/>
      <c r="P12" s="33"/>
      <c r="Q12" s="33"/>
      <c r="R12" s="34"/>
      <c r="S12" s="34"/>
      <c r="T12" s="35"/>
      <c r="U12" s="36"/>
      <c r="V12" s="36"/>
      <c r="W12" s="46"/>
    </row>
    <row r="13" spans="1:23">
      <c r="A13" s="37">
        <v>43403</v>
      </c>
      <c r="B13" s="29"/>
      <c r="C13" s="29">
        <v>800</v>
      </c>
      <c r="D13" s="30">
        <v>800</v>
      </c>
      <c r="E13" s="30"/>
      <c r="F13" s="30">
        <v>400</v>
      </c>
      <c r="G13" s="31">
        <v>800</v>
      </c>
      <c r="H13" s="32">
        <v>400</v>
      </c>
      <c r="I13" s="32"/>
      <c r="J13" s="32"/>
      <c r="K13" s="32"/>
      <c r="L13" s="32">
        <v>400</v>
      </c>
      <c r="M13" s="32"/>
      <c r="N13" s="32"/>
      <c r="O13" s="33"/>
      <c r="P13" s="33"/>
      <c r="Q13" s="33"/>
      <c r="R13" s="34"/>
      <c r="S13" s="34"/>
      <c r="T13" s="35">
        <v>400</v>
      </c>
      <c r="U13" s="36"/>
      <c r="V13" s="36"/>
      <c r="W13" s="46"/>
    </row>
    <row r="14" spans="1:23">
      <c r="A14" s="37">
        <v>43419</v>
      </c>
      <c r="B14" s="29"/>
      <c r="C14" s="29"/>
      <c r="D14" s="30"/>
      <c r="E14" s="30"/>
      <c r="F14" s="30"/>
      <c r="G14" s="31">
        <v>400</v>
      </c>
      <c r="H14" s="32"/>
      <c r="I14" s="32"/>
      <c r="J14" s="32"/>
      <c r="K14" s="32"/>
      <c r="L14" s="32"/>
      <c r="M14" s="32"/>
      <c r="N14" s="32"/>
      <c r="O14" s="33"/>
      <c r="P14" s="33">
        <v>800</v>
      </c>
      <c r="Q14" s="33"/>
      <c r="R14" s="34"/>
      <c r="S14" s="34"/>
      <c r="T14" s="35"/>
      <c r="U14" s="36"/>
      <c r="V14" s="36"/>
      <c r="W14" s="46"/>
    </row>
    <row r="15" spans="1:23">
      <c r="A15" s="37">
        <v>43434</v>
      </c>
      <c r="B15" s="29"/>
      <c r="C15" s="29"/>
      <c r="D15" s="30">
        <v>2000</v>
      </c>
      <c r="E15" s="30"/>
      <c r="F15" s="30"/>
      <c r="G15" s="31">
        <v>800</v>
      </c>
      <c r="H15" s="32">
        <v>800</v>
      </c>
      <c r="I15" s="32">
        <v>800</v>
      </c>
      <c r="J15" s="32"/>
      <c r="K15" s="32"/>
      <c r="L15" s="32"/>
      <c r="M15" s="32"/>
      <c r="N15" s="32"/>
      <c r="O15" s="33">
        <v>400</v>
      </c>
      <c r="P15" s="33"/>
      <c r="Q15" s="33">
        <v>400</v>
      </c>
      <c r="R15" s="34">
        <v>400</v>
      </c>
      <c r="S15" s="34"/>
      <c r="T15" s="35">
        <v>400</v>
      </c>
      <c r="U15" s="36"/>
      <c r="V15" s="36"/>
      <c r="W15" s="46"/>
    </row>
    <row r="16" spans="1:23">
      <c r="A16" s="37">
        <v>43448</v>
      </c>
      <c r="B16" s="29"/>
      <c r="C16" s="29">
        <v>400</v>
      </c>
      <c r="D16" s="30"/>
      <c r="E16" s="30"/>
      <c r="F16" s="30"/>
      <c r="G16" s="31">
        <v>1200</v>
      </c>
      <c r="H16" s="32">
        <v>2000</v>
      </c>
      <c r="I16" s="32">
        <v>2400</v>
      </c>
      <c r="J16" s="32"/>
      <c r="K16" s="32"/>
      <c r="L16" s="32"/>
      <c r="M16" s="32"/>
      <c r="N16" s="32"/>
      <c r="O16" s="33"/>
      <c r="P16" s="33"/>
      <c r="Q16" s="33"/>
      <c r="R16" s="34"/>
      <c r="S16" s="34"/>
      <c r="T16" s="35"/>
      <c r="U16" s="36"/>
      <c r="V16" s="36"/>
      <c r="W16" s="46"/>
    </row>
    <row r="17" spans="1:23">
      <c r="A17" s="37">
        <v>43461</v>
      </c>
      <c r="B17" s="29"/>
      <c r="C17" s="29"/>
      <c r="D17" s="30">
        <v>1000</v>
      </c>
      <c r="E17" s="30"/>
      <c r="F17" s="30"/>
      <c r="G17" s="31">
        <v>400</v>
      </c>
      <c r="H17" s="32">
        <v>400</v>
      </c>
      <c r="I17" s="32"/>
      <c r="J17" s="32">
        <v>400</v>
      </c>
      <c r="K17" s="32">
        <v>400</v>
      </c>
      <c r="L17" s="32"/>
      <c r="M17" s="32"/>
      <c r="N17" s="32"/>
      <c r="O17" s="33"/>
      <c r="P17" s="33"/>
      <c r="Q17" s="33"/>
      <c r="R17" s="34">
        <v>400</v>
      </c>
      <c r="S17" s="34"/>
      <c r="T17" s="35"/>
      <c r="U17" s="36"/>
      <c r="V17" s="36"/>
      <c r="W17" s="46"/>
    </row>
    <row r="18" spans="1:23">
      <c r="A18" s="37">
        <v>43480</v>
      </c>
      <c r="B18" s="29"/>
      <c r="C18" s="29"/>
      <c r="D18" s="30">
        <v>400</v>
      </c>
      <c r="E18" s="30"/>
      <c r="F18" s="30">
        <v>400</v>
      </c>
      <c r="G18" s="31">
        <v>400</v>
      </c>
      <c r="H18" s="32"/>
      <c r="I18" s="32"/>
      <c r="J18" s="32">
        <v>400</v>
      </c>
      <c r="K18" s="32">
        <v>1200</v>
      </c>
      <c r="L18" s="32"/>
      <c r="M18" s="32"/>
      <c r="N18" s="32"/>
      <c r="O18" s="33"/>
      <c r="P18" s="33"/>
      <c r="Q18" s="33"/>
      <c r="R18" s="34"/>
      <c r="S18" s="34"/>
      <c r="T18" s="35"/>
      <c r="U18" s="36">
        <v>400</v>
      </c>
      <c r="V18" s="36"/>
      <c r="W18" s="46"/>
    </row>
    <row r="19" spans="1:23">
      <c r="A19" s="37">
        <v>43496</v>
      </c>
      <c r="B19" s="29"/>
      <c r="C19" s="29">
        <v>800</v>
      </c>
      <c r="D19" s="30">
        <v>1600</v>
      </c>
      <c r="E19" s="30">
        <v>400</v>
      </c>
      <c r="F19" s="30">
        <v>800</v>
      </c>
      <c r="G19" s="31"/>
      <c r="H19" s="32"/>
      <c r="I19" s="32"/>
      <c r="J19" s="32">
        <v>800</v>
      </c>
      <c r="K19" s="32">
        <v>800</v>
      </c>
      <c r="L19" s="32"/>
      <c r="M19" s="32"/>
      <c r="N19" s="32"/>
      <c r="O19" s="33"/>
      <c r="P19" s="33"/>
      <c r="Q19" s="33">
        <v>800</v>
      </c>
      <c r="R19" s="34"/>
      <c r="S19" s="34"/>
      <c r="T19" s="35"/>
      <c r="U19" s="36"/>
      <c r="V19" s="36">
        <v>400</v>
      </c>
      <c r="W19" s="46"/>
    </row>
    <row r="20" spans="1:23">
      <c r="A20" s="37">
        <v>43524</v>
      </c>
      <c r="B20" s="29"/>
      <c r="C20" s="29"/>
      <c r="D20" s="30"/>
      <c r="E20" s="30"/>
      <c r="F20" s="30"/>
      <c r="G20" s="31"/>
      <c r="H20" s="32"/>
      <c r="I20" s="32"/>
      <c r="J20" s="32"/>
      <c r="K20" s="32"/>
      <c r="L20" s="32"/>
      <c r="M20" s="32"/>
      <c r="N20" s="32"/>
      <c r="O20" s="33"/>
      <c r="P20" s="33"/>
      <c r="Q20" s="33">
        <v>400</v>
      </c>
      <c r="R20" s="34"/>
      <c r="S20" s="34"/>
      <c r="T20" s="35"/>
      <c r="U20" s="36"/>
      <c r="V20" s="36"/>
      <c r="W20" s="46"/>
    </row>
    <row r="21" spans="1:23">
      <c r="A21" s="37">
        <v>43552</v>
      </c>
      <c r="B21" s="29"/>
      <c r="C21" s="29"/>
      <c r="D21" s="30"/>
      <c r="E21" s="30"/>
      <c r="F21" s="30"/>
      <c r="G21" s="31"/>
      <c r="H21" s="32"/>
      <c r="I21" s="32"/>
      <c r="J21" s="32"/>
      <c r="K21" s="32"/>
      <c r="L21" s="32"/>
      <c r="M21" s="32"/>
      <c r="N21" s="32"/>
      <c r="O21" s="33"/>
      <c r="P21" s="33"/>
      <c r="Q21" s="33">
        <v>400</v>
      </c>
      <c r="R21" s="34">
        <v>400</v>
      </c>
      <c r="S21" s="34">
        <v>400</v>
      </c>
      <c r="T21" s="35"/>
      <c r="U21" s="36"/>
      <c r="V21" s="36"/>
      <c r="W21" s="46"/>
    </row>
    <row r="22" spans="1:23">
      <c r="A22" s="37">
        <v>43581</v>
      </c>
      <c r="B22" s="29"/>
      <c r="C22" s="29"/>
      <c r="D22" s="30"/>
      <c r="E22" s="30"/>
      <c r="F22" s="30"/>
      <c r="G22" s="31"/>
      <c r="H22" s="32"/>
      <c r="I22" s="32"/>
      <c r="J22" s="32">
        <v>800</v>
      </c>
      <c r="K22" s="32"/>
      <c r="L22" s="32"/>
      <c r="M22" s="32"/>
      <c r="N22" s="32"/>
      <c r="O22" s="33"/>
      <c r="P22" s="33"/>
      <c r="Q22" s="33"/>
      <c r="R22" s="34"/>
      <c r="S22" s="34"/>
      <c r="T22" s="35"/>
      <c r="U22" s="36"/>
      <c r="V22" s="36"/>
      <c r="W22" s="46"/>
    </row>
    <row r="23" spans="1:23">
      <c r="A23" s="37">
        <v>43584</v>
      </c>
      <c r="B23" s="29"/>
      <c r="C23" s="29"/>
      <c r="D23" s="30"/>
      <c r="E23" s="30">
        <v>400</v>
      </c>
      <c r="F23" s="30"/>
      <c r="G23" s="31"/>
      <c r="H23" s="32"/>
      <c r="I23" s="32"/>
      <c r="J23" s="32"/>
      <c r="K23" s="32"/>
      <c r="L23" s="32"/>
      <c r="M23" s="32"/>
      <c r="N23" s="32"/>
      <c r="O23" s="33"/>
      <c r="P23" s="33"/>
      <c r="Q23" s="33"/>
      <c r="R23" s="34"/>
      <c r="S23" s="34"/>
      <c r="T23" s="35"/>
      <c r="U23" s="36"/>
      <c r="V23" s="36"/>
      <c r="W23" s="46"/>
    </row>
    <row r="24" spans="1:23">
      <c r="A24" s="37">
        <v>43600</v>
      </c>
      <c r="B24" s="29">
        <v>400</v>
      </c>
      <c r="C24" s="29">
        <v>400</v>
      </c>
      <c r="D24" s="30"/>
      <c r="E24" s="30"/>
      <c r="F24" s="30"/>
      <c r="G24" s="31"/>
      <c r="H24" s="32"/>
      <c r="I24" s="32"/>
      <c r="J24" s="32"/>
      <c r="K24" s="32"/>
      <c r="L24" s="32">
        <v>-400</v>
      </c>
      <c r="M24" s="32"/>
      <c r="N24" s="32"/>
      <c r="O24" s="33"/>
      <c r="P24" s="33"/>
      <c r="Q24" s="33"/>
      <c r="R24" s="34"/>
      <c r="S24" s="34"/>
      <c r="T24" s="35"/>
      <c r="U24" s="36"/>
      <c r="V24" s="36">
        <v>400</v>
      </c>
      <c r="W24" s="46"/>
    </row>
    <row r="25" spans="1:23">
      <c r="A25" s="37">
        <v>43601</v>
      </c>
      <c r="B25" s="29">
        <v>400</v>
      </c>
      <c r="C25" s="29"/>
      <c r="D25" s="30"/>
      <c r="E25" s="30"/>
      <c r="F25" s="30"/>
      <c r="G25" s="31">
        <v>1600</v>
      </c>
      <c r="H25" s="32"/>
      <c r="I25" s="32"/>
      <c r="J25" s="32"/>
      <c r="K25" s="32"/>
      <c r="L25" s="32"/>
      <c r="M25" s="32"/>
      <c r="N25" s="32"/>
      <c r="O25" s="33"/>
      <c r="P25" s="33"/>
      <c r="Q25" s="33"/>
      <c r="R25" s="34"/>
      <c r="S25" s="34"/>
      <c r="T25" s="35"/>
      <c r="U25" s="36"/>
      <c r="V25" s="36"/>
      <c r="W25" s="46"/>
    </row>
    <row r="26" spans="1:23">
      <c r="A26" s="37">
        <v>43615</v>
      </c>
      <c r="B26" s="29"/>
      <c r="C26" s="29"/>
      <c r="D26" s="30"/>
      <c r="E26" s="30"/>
      <c r="F26" s="30"/>
      <c r="G26" s="31"/>
      <c r="H26" s="32"/>
      <c r="I26" s="32"/>
      <c r="J26" s="32"/>
      <c r="K26" s="32"/>
      <c r="L26" s="32"/>
      <c r="M26" s="32"/>
      <c r="N26" s="32"/>
      <c r="O26" s="33"/>
      <c r="P26" s="33">
        <v>800</v>
      </c>
      <c r="Q26" s="33"/>
      <c r="R26" s="34"/>
      <c r="S26" s="34"/>
      <c r="T26" s="35"/>
      <c r="U26" s="36"/>
      <c r="V26" s="36">
        <v>800</v>
      </c>
      <c r="W26" s="46"/>
    </row>
    <row r="27" spans="1:23">
      <c r="A27" s="37">
        <v>43634</v>
      </c>
      <c r="B27" s="29"/>
      <c r="C27" s="29"/>
      <c r="D27" s="30">
        <v>800</v>
      </c>
      <c r="E27" s="30"/>
      <c r="F27" s="30"/>
      <c r="G27" s="31"/>
      <c r="H27" s="32"/>
      <c r="I27" s="32"/>
      <c r="J27" s="32"/>
      <c r="K27" s="32"/>
      <c r="L27" s="32"/>
      <c r="M27" s="32"/>
      <c r="N27" s="32"/>
      <c r="O27" s="33"/>
      <c r="P27" s="33"/>
      <c r="Q27" s="33"/>
      <c r="R27" s="34"/>
      <c r="S27" s="34"/>
      <c r="T27" s="35"/>
      <c r="U27" s="36"/>
      <c r="V27" s="36">
        <v>400</v>
      </c>
      <c r="W27" s="46"/>
    </row>
    <row r="28" spans="1:23">
      <c r="A28" s="37">
        <v>43647</v>
      </c>
      <c r="B28" s="29"/>
      <c r="C28" s="29"/>
      <c r="D28" s="30"/>
      <c r="E28" s="30"/>
      <c r="F28" s="30"/>
      <c r="G28" s="31"/>
      <c r="H28" s="32"/>
      <c r="I28" s="32"/>
      <c r="J28" s="32"/>
      <c r="K28" s="32"/>
      <c r="L28" s="32"/>
      <c r="M28" s="32"/>
      <c r="N28" s="32"/>
      <c r="O28" s="33"/>
      <c r="P28" s="33"/>
      <c r="Q28" s="33"/>
      <c r="R28" s="34"/>
      <c r="S28" s="34">
        <v>400</v>
      </c>
      <c r="T28" s="35"/>
      <c r="U28" s="36"/>
      <c r="V28" s="36"/>
      <c r="W28" s="46"/>
    </row>
    <row r="34" spans="1:23">
      <c r="A34" s="18" t="s">
        <v>62</v>
      </c>
      <c r="B34" s="29">
        <f>SUM(B2:B33)</f>
        <v>1200</v>
      </c>
      <c r="C34" s="29">
        <f t="shared" ref="C34:V34" si="0">SUM(C2:C33)</f>
        <v>4000</v>
      </c>
      <c r="D34" s="30">
        <f t="shared" si="0"/>
        <v>13000</v>
      </c>
      <c r="E34" s="30">
        <f t="shared" si="0"/>
        <v>1200</v>
      </c>
      <c r="F34" s="30">
        <f t="shared" si="0"/>
        <v>2000</v>
      </c>
      <c r="G34" s="31">
        <f t="shared" si="0"/>
        <v>8400</v>
      </c>
      <c r="H34" s="32">
        <f t="shared" si="0"/>
        <v>5200</v>
      </c>
      <c r="I34" s="32">
        <f t="shared" si="0"/>
        <v>4800</v>
      </c>
      <c r="J34" s="32">
        <f t="shared" si="0"/>
        <v>3200</v>
      </c>
      <c r="K34" s="32">
        <f t="shared" si="0"/>
        <v>3200</v>
      </c>
      <c r="L34" s="32">
        <f t="shared" si="0"/>
        <v>0</v>
      </c>
      <c r="M34" s="32">
        <f t="shared" si="0"/>
        <v>800</v>
      </c>
      <c r="N34" s="32">
        <f t="shared" si="0"/>
        <v>400</v>
      </c>
      <c r="O34" s="33">
        <f t="shared" si="0"/>
        <v>400</v>
      </c>
      <c r="P34" s="33">
        <f t="shared" si="0"/>
        <v>1600</v>
      </c>
      <c r="Q34" s="33">
        <f t="shared" si="0"/>
        <v>2000</v>
      </c>
      <c r="R34" s="34">
        <f t="shared" si="0"/>
        <v>1200</v>
      </c>
      <c r="S34" s="34">
        <f t="shared" si="0"/>
        <v>800</v>
      </c>
      <c r="T34" s="35">
        <f t="shared" si="0"/>
        <v>1600</v>
      </c>
      <c r="U34" s="36">
        <f t="shared" si="0"/>
        <v>400</v>
      </c>
      <c r="V34" s="36">
        <f t="shared" si="0"/>
        <v>2000</v>
      </c>
      <c r="W34">
        <f>72000-SUM(B34:V34)</f>
        <v>14600</v>
      </c>
    </row>
    <row r="35" spans="1:23">
      <c r="B35" s="48">
        <f>B34/400*0.0055</f>
        <v>1.6500000000000001E-2</v>
      </c>
      <c r="C35" s="48">
        <f t="shared" ref="C35:V35" si="1">C34/400*0.0055</f>
        <v>5.4999999999999993E-2</v>
      </c>
      <c r="D35" s="49">
        <f t="shared" si="1"/>
        <v>0.17874999999999999</v>
      </c>
      <c r="E35" s="49">
        <f t="shared" si="1"/>
        <v>1.6500000000000001E-2</v>
      </c>
      <c r="F35" s="49">
        <f t="shared" si="1"/>
        <v>2.7499999999999997E-2</v>
      </c>
      <c r="G35" s="50">
        <f t="shared" si="1"/>
        <v>0.11549999999999999</v>
      </c>
      <c r="H35" s="51">
        <f t="shared" si="1"/>
        <v>7.1499999999999994E-2</v>
      </c>
      <c r="I35" s="51">
        <f t="shared" si="1"/>
        <v>6.6000000000000003E-2</v>
      </c>
      <c r="J35" s="51">
        <f t="shared" si="1"/>
        <v>4.3999999999999997E-2</v>
      </c>
      <c r="K35" s="51">
        <f t="shared" si="1"/>
        <v>4.3999999999999997E-2</v>
      </c>
      <c r="L35" s="51">
        <f t="shared" si="1"/>
        <v>0</v>
      </c>
      <c r="M35" s="51">
        <f t="shared" si="1"/>
        <v>1.0999999999999999E-2</v>
      </c>
      <c r="N35" s="51">
        <f t="shared" si="1"/>
        <v>5.4999999999999997E-3</v>
      </c>
      <c r="O35" s="52">
        <f t="shared" si="1"/>
        <v>5.4999999999999997E-3</v>
      </c>
      <c r="P35" s="52">
        <f t="shared" si="1"/>
        <v>2.1999999999999999E-2</v>
      </c>
      <c r="Q35" s="52">
        <f t="shared" si="1"/>
        <v>2.7499999999999997E-2</v>
      </c>
      <c r="R35" s="53">
        <f t="shared" si="1"/>
        <v>1.6500000000000001E-2</v>
      </c>
      <c r="S35" s="53">
        <f t="shared" si="1"/>
        <v>1.0999999999999999E-2</v>
      </c>
      <c r="T35" s="54">
        <f t="shared" si="1"/>
        <v>2.1999999999999999E-2</v>
      </c>
      <c r="U35" s="55">
        <f t="shared" si="1"/>
        <v>5.4999999999999997E-3</v>
      </c>
      <c r="V35" s="55">
        <f t="shared" si="1"/>
        <v>2.7499999999999997E-2</v>
      </c>
      <c r="W35" s="27">
        <f>1-SUM(B35:V35)</f>
        <v>0.2107500000000001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7746-1CE3-4988-9372-456F36636C1E}">
  <sheetPr codeName="Sheet2"/>
  <dimension ref="A1:AB133"/>
  <sheetViews>
    <sheetView zoomScaleNormal="100" workbookViewId="0">
      <selection activeCell="K20" sqref="K20"/>
    </sheetView>
  </sheetViews>
  <sheetFormatPr defaultRowHeight="14.25"/>
  <cols>
    <col min="1" max="1" width="13" bestFit="1" customWidth="1"/>
    <col min="2" max="2" width="26.125" bestFit="1" customWidth="1"/>
    <col min="3" max="3" width="11" bestFit="1" customWidth="1"/>
    <col min="4" max="4" width="9" bestFit="1" customWidth="1"/>
    <col min="5" max="5" width="13" bestFit="1" customWidth="1"/>
    <col min="6" max="6" width="26.125" bestFit="1" customWidth="1"/>
    <col min="7" max="7" width="11" bestFit="1" customWidth="1"/>
    <col min="8" max="8" width="9" bestFit="1" customWidth="1"/>
    <col min="9" max="9" width="13" bestFit="1" customWidth="1"/>
    <col min="10" max="10" width="26.125" bestFit="1" customWidth="1"/>
    <col min="11" max="11" width="10" bestFit="1" customWidth="1"/>
    <col min="12" max="17" width="11.125" bestFit="1" customWidth="1"/>
    <col min="18" max="27" width="10" bestFit="1" customWidth="1"/>
  </cols>
  <sheetData>
    <row r="1" spans="1:28">
      <c r="B1" t="s">
        <v>83</v>
      </c>
    </row>
    <row r="2" spans="1:28">
      <c r="B2" t="s">
        <v>84</v>
      </c>
    </row>
    <row r="4" spans="1:28">
      <c r="A4" t="s">
        <v>79</v>
      </c>
      <c r="E4" t="s">
        <v>81</v>
      </c>
      <c r="H4" s="18"/>
      <c r="I4" s="18" t="s">
        <v>85</v>
      </c>
      <c r="J4" s="1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>
      <c r="A5" s="58">
        <v>3484.3</v>
      </c>
      <c r="B5" t="s">
        <v>65</v>
      </c>
      <c r="E5" s="58">
        <v>3017.98</v>
      </c>
      <c r="F5" t="s">
        <v>65</v>
      </c>
      <c r="I5">
        <f>A5+E5</f>
        <v>6502.2800000000007</v>
      </c>
      <c r="J5" t="s">
        <v>65</v>
      </c>
      <c r="K5" s="59">
        <f>C16+G16</f>
        <v>1282.1589719999999</v>
      </c>
    </row>
    <row r="6" spans="1:28">
      <c r="A6" t="s">
        <v>80</v>
      </c>
      <c r="B6" t="s">
        <v>75</v>
      </c>
      <c r="E6" t="s">
        <v>82</v>
      </c>
      <c r="F6" t="s">
        <v>75</v>
      </c>
      <c r="I6" t="s">
        <v>86</v>
      </c>
      <c r="J6" t="s">
        <v>66</v>
      </c>
      <c r="K6" s="59">
        <f>C29+G29</f>
        <v>834.33054800000014</v>
      </c>
    </row>
    <row r="7" spans="1:28">
      <c r="A7" s="58">
        <v>72.790000000000006</v>
      </c>
      <c r="B7">
        <v>13.09</v>
      </c>
      <c r="C7" s="56"/>
      <c r="E7" s="58">
        <v>74.3</v>
      </c>
      <c r="F7">
        <v>14.49</v>
      </c>
      <c r="G7" s="56"/>
      <c r="I7">
        <f>A7+E7</f>
        <v>147.09</v>
      </c>
      <c r="J7" t="s">
        <v>67</v>
      </c>
      <c r="K7" s="59">
        <f>C42+G42</f>
        <v>1188.5858720000001</v>
      </c>
    </row>
    <row r="8" spans="1:28">
      <c r="J8" t="s">
        <v>68</v>
      </c>
      <c r="K8" s="59">
        <f>C55+G55</f>
        <v>1093.7117880000001</v>
      </c>
    </row>
    <row r="9" spans="1:28">
      <c r="B9" t="s">
        <v>76</v>
      </c>
      <c r="F9" t="s">
        <v>76</v>
      </c>
      <c r="J9" t="s">
        <v>69</v>
      </c>
      <c r="K9" s="59">
        <f>C68+G68</f>
        <v>939.71411599999999</v>
      </c>
    </row>
    <row r="10" spans="1:28">
      <c r="B10" s="28">
        <v>2.0500000000000001E-2</v>
      </c>
      <c r="F10" s="28">
        <v>2.69E-2</v>
      </c>
      <c r="J10" t="s">
        <v>70</v>
      </c>
      <c r="K10" s="59">
        <f>C81+G81</f>
        <v>436.25111600000002</v>
      </c>
    </row>
    <row r="11" spans="1:28">
      <c r="B11" s="28"/>
      <c r="J11" t="s">
        <v>71</v>
      </c>
      <c r="K11" s="59">
        <f>C94+G94</f>
        <v>235.12213000000003</v>
      </c>
    </row>
    <row r="12" spans="1:28">
      <c r="B12" t="s">
        <v>77</v>
      </c>
      <c r="F12" t="s">
        <v>77</v>
      </c>
      <c r="J12" t="s">
        <v>72</v>
      </c>
      <c r="K12" s="59">
        <f>C107+G107</f>
        <v>268.89416799999998</v>
      </c>
    </row>
    <row r="13" spans="1:28">
      <c r="B13">
        <v>501.65</v>
      </c>
      <c r="F13">
        <v>429.2</v>
      </c>
      <c r="J13" t="s">
        <v>73</v>
      </c>
      <c r="K13" s="59">
        <f>C120+G120</f>
        <v>152.01083599999998</v>
      </c>
    </row>
    <row r="14" spans="1:28">
      <c r="J14" t="s">
        <v>74</v>
      </c>
      <c r="K14" s="59">
        <f>C133+G133</f>
        <v>71.500454000000005</v>
      </c>
    </row>
    <row r="15" spans="1:28">
      <c r="B15" t="s">
        <v>78</v>
      </c>
      <c r="F15" t="s">
        <v>78</v>
      </c>
    </row>
    <row r="16" spans="1:28">
      <c r="B16" s="28">
        <v>0.1983</v>
      </c>
      <c r="C16" s="57">
        <f>$A$5*B16</f>
        <v>690.93669</v>
      </c>
      <c r="F16" s="28">
        <v>0.19589999999999999</v>
      </c>
      <c r="G16" s="57">
        <f>$E$5*F16</f>
        <v>591.22228199999995</v>
      </c>
    </row>
    <row r="18" spans="2:7">
      <c r="B18" t="s">
        <v>66</v>
      </c>
      <c r="F18" t="s">
        <v>66</v>
      </c>
    </row>
    <row r="19" spans="2:7">
      <c r="B19" t="s">
        <v>75</v>
      </c>
      <c r="F19" t="s">
        <v>75</v>
      </c>
    </row>
    <row r="20" spans="2:7">
      <c r="B20">
        <v>2.41</v>
      </c>
      <c r="C20" s="56"/>
      <c r="F20">
        <v>4.75</v>
      </c>
      <c r="G20" s="56"/>
    </row>
    <row r="22" spans="2:7">
      <c r="B22" t="s">
        <v>76</v>
      </c>
      <c r="F22" t="s">
        <v>76</v>
      </c>
    </row>
    <row r="23" spans="2:7">
      <c r="B23" s="28">
        <v>6.0000000000000001E-3</v>
      </c>
      <c r="F23" s="28">
        <v>1.35E-2</v>
      </c>
    </row>
    <row r="25" spans="2:7">
      <c r="B25" t="s">
        <v>77</v>
      </c>
      <c r="F25" t="s">
        <v>77</v>
      </c>
    </row>
    <row r="26" spans="2:7">
      <c r="B26">
        <v>462.44</v>
      </c>
      <c r="F26">
        <v>417.04</v>
      </c>
    </row>
    <row r="28" spans="2:7">
      <c r="B28" t="s">
        <v>78</v>
      </c>
      <c r="F28" t="s">
        <v>78</v>
      </c>
    </row>
    <row r="29" spans="2:7">
      <c r="B29" s="28">
        <v>0.12590000000000001</v>
      </c>
      <c r="C29" s="57">
        <f>$A$5*B29</f>
        <v>438.67337000000009</v>
      </c>
      <c r="F29" s="28">
        <v>0.13109999999999999</v>
      </c>
      <c r="G29" s="57">
        <f>$E$5*F29</f>
        <v>395.65717799999999</v>
      </c>
    </row>
    <row r="31" spans="2:7">
      <c r="B31" t="s">
        <v>67</v>
      </c>
      <c r="F31" t="s">
        <v>67</v>
      </c>
    </row>
    <row r="32" spans="2:7">
      <c r="B32" t="s">
        <v>75</v>
      </c>
      <c r="F32" t="s">
        <v>75</v>
      </c>
    </row>
    <row r="33" spans="2:7">
      <c r="B33">
        <v>-3.05</v>
      </c>
      <c r="C33" s="56"/>
      <c r="F33">
        <v>0.34</v>
      </c>
      <c r="G33" s="56"/>
    </row>
    <row r="35" spans="2:7">
      <c r="B35" t="s">
        <v>76</v>
      </c>
      <c r="F35" t="s">
        <v>76</v>
      </c>
    </row>
    <row r="36" spans="2:7">
      <c r="B36" s="28">
        <v>-4.8999999999999998E-3</v>
      </c>
      <c r="F36" s="28">
        <v>6.9999999999999999E-4</v>
      </c>
    </row>
    <row r="38" spans="2:7">
      <c r="B38" t="s">
        <v>77</v>
      </c>
      <c r="F38" t="s">
        <v>77</v>
      </c>
    </row>
    <row r="39" spans="2:7">
      <c r="B39">
        <v>393.87</v>
      </c>
      <c r="F39">
        <v>311.54000000000002</v>
      </c>
    </row>
    <row r="41" spans="2:7">
      <c r="B41" t="s">
        <v>78</v>
      </c>
      <c r="F41" t="s">
        <v>78</v>
      </c>
    </row>
    <row r="42" spans="2:7">
      <c r="B42" s="28">
        <v>0.1905</v>
      </c>
      <c r="C42" s="57">
        <f>$A$5*B42</f>
        <v>663.75915000000009</v>
      </c>
      <c r="F42" s="28">
        <v>0.1739</v>
      </c>
      <c r="G42" s="57">
        <f>$E$5*F42</f>
        <v>524.82672200000002</v>
      </c>
    </row>
    <row r="44" spans="2:7">
      <c r="B44" t="s">
        <v>68</v>
      </c>
      <c r="F44" t="s">
        <v>68</v>
      </c>
    </row>
    <row r="45" spans="2:7">
      <c r="B45" t="s">
        <v>75</v>
      </c>
      <c r="F45" t="s">
        <v>75</v>
      </c>
    </row>
    <row r="46" spans="2:7">
      <c r="B46">
        <v>22.83</v>
      </c>
      <c r="C46" s="56"/>
      <c r="F46">
        <v>21.78</v>
      </c>
      <c r="G46" s="56"/>
    </row>
    <row r="48" spans="2:7">
      <c r="B48" t="s">
        <v>76</v>
      </c>
      <c r="F48" t="s">
        <v>76</v>
      </c>
    </row>
    <row r="49" spans="2:7">
      <c r="B49" s="28">
        <v>4.65E-2</v>
      </c>
      <c r="F49" s="28">
        <v>4.58E-2</v>
      </c>
    </row>
    <row r="51" spans="2:7">
      <c r="B51" t="s">
        <v>77</v>
      </c>
      <c r="F51" t="s">
        <v>77</v>
      </c>
    </row>
    <row r="52" spans="2:7">
      <c r="B52">
        <v>327.74</v>
      </c>
      <c r="F52">
        <v>318.33</v>
      </c>
    </row>
    <row r="54" spans="2:7">
      <c r="B54" t="s">
        <v>78</v>
      </c>
      <c r="F54" t="s">
        <v>78</v>
      </c>
    </row>
    <row r="55" spans="2:7">
      <c r="B55" s="28">
        <v>0.15920000000000001</v>
      </c>
      <c r="C55" s="57">
        <f>$A$5*B55</f>
        <v>554.70056000000011</v>
      </c>
      <c r="F55" s="28">
        <v>0.17860000000000001</v>
      </c>
      <c r="G55" s="57">
        <f>$E$5*F55</f>
        <v>539.01122800000007</v>
      </c>
    </row>
    <row r="57" spans="2:7">
      <c r="B57" t="s">
        <v>69</v>
      </c>
      <c r="F57" t="s">
        <v>69</v>
      </c>
    </row>
    <row r="58" spans="2:7">
      <c r="B58" t="s">
        <v>75</v>
      </c>
      <c r="F58" t="s">
        <v>75</v>
      </c>
    </row>
    <row r="59" spans="2:7">
      <c r="B59">
        <v>21.9</v>
      </c>
      <c r="C59" s="56"/>
      <c r="F59">
        <v>20.66</v>
      </c>
      <c r="G59" s="56"/>
    </row>
    <row r="61" spans="2:7">
      <c r="B61" t="s">
        <v>76</v>
      </c>
      <c r="F61" t="s">
        <v>76</v>
      </c>
    </row>
    <row r="62" spans="2:7">
      <c r="B62" s="28">
        <v>5.0099999999999999E-2</v>
      </c>
      <c r="F62" s="28">
        <v>5.33E-2</v>
      </c>
    </row>
    <row r="64" spans="2:7">
      <c r="B64" t="s">
        <v>77</v>
      </c>
      <c r="F64" t="s">
        <v>77</v>
      </c>
    </row>
    <row r="65" spans="2:7">
      <c r="B65">
        <v>267.23</v>
      </c>
      <c r="F65">
        <v>239.72</v>
      </c>
    </row>
    <row r="67" spans="2:7">
      <c r="B67" t="s">
        <v>78</v>
      </c>
      <c r="F67" t="s">
        <v>78</v>
      </c>
    </row>
    <row r="68" spans="2:7">
      <c r="B68" s="28">
        <v>0.14219999999999999</v>
      </c>
      <c r="C68" s="57">
        <f>$A$5*B68</f>
        <v>495.46746000000002</v>
      </c>
      <c r="F68" s="28">
        <v>0.1472</v>
      </c>
      <c r="G68" s="57">
        <f>$E$5*F68</f>
        <v>444.24665599999997</v>
      </c>
    </row>
    <row r="70" spans="2:7">
      <c r="B70" t="s">
        <v>70</v>
      </c>
      <c r="F70" t="s">
        <v>70</v>
      </c>
    </row>
    <row r="71" spans="2:7">
      <c r="B71" t="s">
        <v>75</v>
      </c>
      <c r="F71" t="s">
        <v>75</v>
      </c>
    </row>
    <row r="72" spans="2:7">
      <c r="B72">
        <v>0.77</v>
      </c>
      <c r="C72" s="56"/>
      <c r="F72">
        <v>0.57999999999999996</v>
      </c>
      <c r="G72" s="56"/>
    </row>
    <row r="74" spans="2:7">
      <c r="B74" t="s">
        <v>76</v>
      </c>
      <c r="F74" t="s">
        <v>76</v>
      </c>
    </row>
    <row r="75" spans="2:7">
      <c r="B75" s="28">
        <v>3.3999999999999998E-3</v>
      </c>
      <c r="F75" s="28">
        <v>2.7000000000000001E-3</v>
      </c>
    </row>
    <row r="77" spans="2:7">
      <c r="B77" t="s">
        <v>77</v>
      </c>
      <c r="F77" t="s">
        <v>77</v>
      </c>
    </row>
    <row r="78" spans="2:7">
      <c r="B78">
        <v>227.52</v>
      </c>
      <c r="F78">
        <v>214.89</v>
      </c>
    </row>
    <row r="80" spans="2:7">
      <c r="B80" t="s">
        <v>78</v>
      </c>
      <c r="F80" t="s">
        <v>78</v>
      </c>
    </row>
    <row r="81" spans="2:7">
      <c r="B81" s="28">
        <v>6.4399999999999999E-2</v>
      </c>
      <c r="C81" s="57">
        <f>$A$5*B81</f>
        <v>224.38892000000001</v>
      </c>
      <c r="F81" s="28">
        <v>7.0199999999999999E-2</v>
      </c>
      <c r="G81" s="57">
        <f>$E$5*F81</f>
        <v>211.86219599999998</v>
      </c>
    </row>
    <row r="83" spans="2:7">
      <c r="B83" t="s">
        <v>71</v>
      </c>
      <c r="F83" t="s">
        <v>71</v>
      </c>
    </row>
    <row r="84" spans="2:7">
      <c r="B84" t="s">
        <v>75</v>
      </c>
      <c r="F84" t="s">
        <v>75</v>
      </c>
    </row>
    <row r="85" spans="2:7">
      <c r="B85">
        <v>9.36</v>
      </c>
      <c r="C85" s="56"/>
      <c r="F85">
        <v>9.36</v>
      </c>
      <c r="G85" s="56"/>
    </row>
    <row r="87" spans="2:7">
      <c r="B87" t="s">
        <v>76</v>
      </c>
      <c r="F87" t="s">
        <v>76</v>
      </c>
    </row>
    <row r="88" spans="2:7">
      <c r="B88" s="28">
        <v>8.6499999999999994E-2</v>
      </c>
      <c r="F88" s="28">
        <v>8.6499999999999994E-2</v>
      </c>
    </row>
    <row r="90" spans="2:7">
      <c r="B90" t="s">
        <v>77</v>
      </c>
      <c r="F90" t="s">
        <v>77</v>
      </c>
    </row>
    <row r="91" spans="2:7">
      <c r="B91">
        <v>162.5</v>
      </c>
      <c r="F91">
        <v>162.5</v>
      </c>
    </row>
    <row r="93" spans="2:7">
      <c r="B93" t="s">
        <v>78</v>
      </c>
      <c r="F93" t="s">
        <v>78</v>
      </c>
    </row>
    <row r="94" spans="2:7">
      <c r="B94" s="28">
        <v>3.3700000000000001E-2</v>
      </c>
      <c r="C94" s="57">
        <f>$A$5*B94</f>
        <v>117.42091000000001</v>
      </c>
      <c r="F94" s="28">
        <v>3.9E-2</v>
      </c>
      <c r="G94" s="57">
        <f>$E$5*F94</f>
        <v>117.70122000000001</v>
      </c>
    </row>
    <row r="96" spans="2:7">
      <c r="B96" t="s">
        <v>72</v>
      </c>
      <c r="F96" t="s">
        <v>72</v>
      </c>
    </row>
    <row r="97" spans="2:7">
      <c r="B97" t="s">
        <v>75</v>
      </c>
      <c r="F97" t="s">
        <v>75</v>
      </c>
    </row>
    <row r="98" spans="2:7">
      <c r="B98">
        <v>4.71</v>
      </c>
      <c r="C98" s="56"/>
      <c r="F98">
        <v>1.74</v>
      </c>
      <c r="G98" s="56"/>
    </row>
    <row r="100" spans="2:7">
      <c r="B100" t="s">
        <v>76</v>
      </c>
      <c r="F100" t="s">
        <v>76</v>
      </c>
    </row>
    <row r="101" spans="2:7">
      <c r="B101" s="28">
        <v>2.58E-2</v>
      </c>
      <c r="F101" s="28">
        <v>2.1700000000000001E-2</v>
      </c>
    </row>
    <row r="103" spans="2:7">
      <c r="B103" t="s">
        <v>77</v>
      </c>
      <c r="F103" t="s">
        <v>77</v>
      </c>
    </row>
    <row r="104" spans="2:7">
      <c r="B104">
        <v>142.1</v>
      </c>
      <c r="F104">
        <v>62.09</v>
      </c>
    </row>
    <row r="106" spans="2:7">
      <c r="B106" t="s">
        <v>78</v>
      </c>
      <c r="F106" t="s">
        <v>78</v>
      </c>
    </row>
    <row r="107" spans="2:7">
      <c r="B107" s="28">
        <v>5.3699999999999998E-2</v>
      </c>
      <c r="C107" s="57">
        <f>$A$5*B107</f>
        <v>187.10691</v>
      </c>
      <c r="F107" s="28">
        <v>2.7099999999999999E-2</v>
      </c>
      <c r="G107" s="57">
        <f>$E$5*F107</f>
        <v>81.787257999999994</v>
      </c>
    </row>
    <row r="109" spans="2:7">
      <c r="B109" t="s">
        <v>73</v>
      </c>
      <c r="F109" t="s">
        <v>73</v>
      </c>
    </row>
    <row r="110" spans="2:7">
      <c r="B110" t="s">
        <v>75</v>
      </c>
      <c r="F110" t="s">
        <v>75</v>
      </c>
    </row>
    <row r="111" spans="2:7">
      <c r="B111">
        <v>1.69</v>
      </c>
      <c r="C111" s="56"/>
      <c r="F111">
        <v>1.69</v>
      </c>
      <c r="G111" s="56"/>
    </row>
    <row r="113" spans="2:7">
      <c r="B113" t="s">
        <v>76</v>
      </c>
      <c r="F113" t="s">
        <v>76</v>
      </c>
    </row>
    <row r="114" spans="2:7">
      <c r="B114" s="28">
        <v>4.36E-2</v>
      </c>
      <c r="F114" s="28">
        <v>4.36E-2</v>
      </c>
    </row>
    <row r="116" spans="2:7">
      <c r="B116" t="s">
        <v>77</v>
      </c>
      <c r="F116" t="s">
        <v>77</v>
      </c>
    </row>
    <row r="117" spans="2:7">
      <c r="B117">
        <v>35.32</v>
      </c>
      <c r="F117">
        <v>35.32</v>
      </c>
    </row>
    <row r="119" spans="2:7">
      <c r="B119" t="s">
        <v>78</v>
      </c>
      <c r="F119" t="s">
        <v>78</v>
      </c>
    </row>
    <row r="120" spans="2:7">
      <c r="B120" s="28">
        <v>2.18E-2</v>
      </c>
      <c r="C120" s="57">
        <f>$A$5*B120</f>
        <v>75.957740000000001</v>
      </c>
      <c r="F120" s="28">
        <v>2.52E-2</v>
      </c>
      <c r="G120" s="57">
        <f>$E$5*F120</f>
        <v>76.053095999999996</v>
      </c>
    </row>
    <row r="122" spans="2:7">
      <c r="B122" t="s">
        <v>74</v>
      </c>
      <c r="F122" t="s">
        <v>74</v>
      </c>
    </row>
    <row r="123" spans="2:7">
      <c r="B123" t="s">
        <v>75</v>
      </c>
      <c r="F123" t="s">
        <v>75</v>
      </c>
    </row>
    <row r="124" spans="2:7">
      <c r="B124">
        <v>-1.36</v>
      </c>
      <c r="C124" s="56"/>
      <c r="F124">
        <v>-1.36</v>
      </c>
      <c r="G124" s="56"/>
    </row>
    <row r="126" spans="2:7">
      <c r="B126" t="s">
        <v>76</v>
      </c>
      <c r="F126" t="s">
        <v>76</v>
      </c>
    </row>
    <row r="127" spans="2:7">
      <c r="B127" s="28">
        <v>-3.4200000000000001E-2</v>
      </c>
      <c r="F127" s="28">
        <v>-3.4200000000000001E-2</v>
      </c>
    </row>
    <row r="129" spans="2:7">
      <c r="B129" t="s">
        <v>77</v>
      </c>
      <c r="F129" t="s">
        <v>77</v>
      </c>
    </row>
    <row r="130" spans="2:7">
      <c r="B130">
        <v>22.5</v>
      </c>
      <c r="F130">
        <v>22.5</v>
      </c>
    </row>
    <row r="132" spans="2:7">
      <c r="B132" t="s">
        <v>78</v>
      </c>
      <c r="F132" t="s">
        <v>78</v>
      </c>
    </row>
    <row r="133" spans="2:7">
      <c r="B133" s="28">
        <v>1.03E-2</v>
      </c>
      <c r="C133" s="57">
        <f>$A$5*B133</f>
        <v>35.888290000000005</v>
      </c>
      <c r="F133" s="28">
        <v>1.18E-2</v>
      </c>
      <c r="G133" s="57">
        <f>$E$5*F133</f>
        <v>35.612164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DECB-F06F-40A7-BDC5-792900BEB875}">
  <sheetPr codeName="Sheet3"/>
  <dimension ref="A1:H30"/>
  <sheetViews>
    <sheetView workbookViewId="0">
      <selection activeCell="E52" sqref="E52"/>
    </sheetView>
  </sheetViews>
  <sheetFormatPr defaultRowHeight="14.25"/>
  <cols>
    <col min="2" max="2" width="27.625" bestFit="1" customWidth="1"/>
    <col min="6" max="7" width="10.5" bestFit="1" customWidth="1"/>
    <col min="8" max="8" width="19" bestFit="1" customWidth="1"/>
  </cols>
  <sheetData>
    <row r="1" spans="1:8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>
      <c r="A2">
        <v>482002</v>
      </c>
      <c r="B2" t="s">
        <v>99</v>
      </c>
      <c r="C2" t="s">
        <v>100</v>
      </c>
      <c r="D2" s="61">
        <v>43651</v>
      </c>
      <c r="E2">
        <v>1</v>
      </c>
      <c r="F2">
        <v>1815.03</v>
      </c>
      <c r="G2">
        <v>1815.03</v>
      </c>
      <c r="H2" t="s">
        <v>101</v>
      </c>
    </row>
    <row r="3" spans="1:8">
      <c r="A3">
        <v>360003</v>
      </c>
      <c r="B3" t="s">
        <v>102</v>
      </c>
      <c r="C3" t="s">
        <v>100</v>
      </c>
      <c r="D3" s="61">
        <v>43651</v>
      </c>
      <c r="E3">
        <v>1</v>
      </c>
      <c r="F3">
        <v>2306.5100000000002</v>
      </c>
      <c r="G3">
        <v>2306.5100000000002</v>
      </c>
      <c r="H3" t="s">
        <v>101</v>
      </c>
    </row>
    <row r="4" spans="1:8">
      <c r="A4">
        <v>3474</v>
      </c>
      <c r="B4" t="s">
        <v>103</v>
      </c>
      <c r="C4" t="s">
        <v>100</v>
      </c>
      <c r="D4" s="61">
        <v>43651</v>
      </c>
      <c r="E4">
        <v>1</v>
      </c>
      <c r="F4">
        <v>610620.16000000003</v>
      </c>
      <c r="G4">
        <v>610620.16000000003</v>
      </c>
      <c r="H4" t="s">
        <v>101</v>
      </c>
    </row>
    <row r="5" spans="1:8">
      <c r="A5">
        <v>600</v>
      </c>
      <c r="B5" t="s">
        <v>104</v>
      </c>
      <c r="C5" t="s">
        <v>100</v>
      </c>
      <c r="D5" s="61">
        <v>43651</v>
      </c>
      <c r="E5">
        <v>1</v>
      </c>
      <c r="F5">
        <v>400.29</v>
      </c>
      <c r="G5">
        <v>400.29</v>
      </c>
      <c r="H5" t="s">
        <v>101</v>
      </c>
    </row>
    <row r="6" spans="1:8">
      <c r="A6">
        <v>638</v>
      </c>
      <c r="B6" t="s">
        <v>105</v>
      </c>
      <c r="C6" t="s">
        <v>100</v>
      </c>
      <c r="D6" s="61">
        <v>43651</v>
      </c>
      <c r="E6">
        <v>1</v>
      </c>
      <c r="F6">
        <v>7.0000000000000007E-2</v>
      </c>
      <c r="G6">
        <v>7.0000000000000007E-2</v>
      </c>
      <c r="H6" t="s">
        <v>101</v>
      </c>
    </row>
    <row r="7" spans="1:8">
      <c r="A7">
        <v>51</v>
      </c>
      <c r="B7" t="s">
        <v>106</v>
      </c>
      <c r="C7" t="s">
        <v>107</v>
      </c>
      <c r="D7" s="61">
        <v>43651</v>
      </c>
      <c r="E7">
        <v>1.2929999999999999</v>
      </c>
      <c r="F7">
        <v>325.61</v>
      </c>
      <c r="G7">
        <v>421.01</v>
      </c>
      <c r="H7" t="s">
        <v>108</v>
      </c>
    </row>
    <row r="8" spans="1:8">
      <c r="A8">
        <v>968</v>
      </c>
      <c r="B8" t="s">
        <v>109</v>
      </c>
      <c r="C8" t="s">
        <v>107</v>
      </c>
      <c r="D8" s="61">
        <v>43651</v>
      </c>
      <c r="E8">
        <v>0.94020000000000004</v>
      </c>
      <c r="F8">
        <v>6096.21</v>
      </c>
      <c r="G8">
        <v>5731.65</v>
      </c>
      <c r="H8" t="s">
        <v>108</v>
      </c>
    </row>
    <row r="9" spans="1:8">
      <c r="A9">
        <v>110026</v>
      </c>
      <c r="B9" t="s">
        <v>110</v>
      </c>
      <c r="C9" t="s">
        <v>107</v>
      </c>
      <c r="D9" s="61">
        <v>43651</v>
      </c>
      <c r="E9">
        <v>1.6105</v>
      </c>
      <c r="F9">
        <v>1213.0899999999999</v>
      </c>
      <c r="G9">
        <v>1953.68</v>
      </c>
      <c r="H9" t="s">
        <v>108</v>
      </c>
    </row>
    <row r="10" spans="1:8">
      <c r="A10">
        <v>164906</v>
      </c>
      <c r="B10" t="s">
        <v>111</v>
      </c>
      <c r="C10" t="s">
        <v>112</v>
      </c>
      <c r="D10" s="61">
        <v>43650</v>
      </c>
      <c r="E10">
        <v>1.2170000000000001</v>
      </c>
      <c r="F10">
        <v>1407.29</v>
      </c>
      <c r="G10">
        <v>1712.67</v>
      </c>
      <c r="H10" t="s">
        <v>108</v>
      </c>
    </row>
    <row r="11" spans="1:8">
      <c r="A11">
        <v>71</v>
      </c>
      <c r="B11" t="s">
        <v>113</v>
      </c>
      <c r="C11" t="s">
        <v>112</v>
      </c>
      <c r="D11" s="61">
        <v>43651</v>
      </c>
      <c r="E11">
        <v>1.5793999999999999</v>
      </c>
      <c r="F11">
        <v>275.49</v>
      </c>
      <c r="G11">
        <v>435.1</v>
      </c>
      <c r="H11" t="s">
        <v>114</v>
      </c>
    </row>
    <row r="12" spans="1:8">
      <c r="A12">
        <v>216</v>
      </c>
      <c r="B12" t="s">
        <v>115</v>
      </c>
      <c r="C12" t="s">
        <v>107</v>
      </c>
      <c r="D12" s="61">
        <v>43651</v>
      </c>
      <c r="E12">
        <v>1.1592</v>
      </c>
      <c r="F12">
        <v>733.79</v>
      </c>
      <c r="G12">
        <v>850.6</v>
      </c>
      <c r="H12" t="s">
        <v>114</v>
      </c>
    </row>
    <row r="13" spans="1:8">
      <c r="A13">
        <v>614</v>
      </c>
      <c r="B13" t="s">
        <v>116</v>
      </c>
      <c r="C13" t="s">
        <v>112</v>
      </c>
      <c r="D13" s="61">
        <v>43649</v>
      </c>
      <c r="E13">
        <v>1.1579999999999999</v>
      </c>
      <c r="F13">
        <v>1884.74</v>
      </c>
      <c r="G13">
        <v>2182.52</v>
      </c>
      <c r="H13" t="s">
        <v>114</v>
      </c>
    </row>
    <row r="14" spans="1:8">
      <c r="A14">
        <v>1051</v>
      </c>
      <c r="B14" t="s">
        <v>117</v>
      </c>
      <c r="C14" t="s">
        <v>107</v>
      </c>
      <c r="D14" s="61">
        <v>43651</v>
      </c>
      <c r="E14">
        <v>1.0089999999999999</v>
      </c>
      <c r="F14">
        <v>1338.46</v>
      </c>
      <c r="G14">
        <v>1350.5</v>
      </c>
      <c r="H14" t="s">
        <v>114</v>
      </c>
    </row>
    <row r="15" spans="1:8">
      <c r="A15">
        <v>1064</v>
      </c>
      <c r="B15" t="s">
        <v>118</v>
      </c>
      <c r="C15" t="s">
        <v>107</v>
      </c>
      <c r="D15" s="61">
        <v>43651</v>
      </c>
      <c r="E15">
        <v>0.56530000000000002</v>
      </c>
      <c r="F15">
        <v>5949.77</v>
      </c>
      <c r="G15">
        <v>3363.4</v>
      </c>
      <c r="H15" t="s">
        <v>114</v>
      </c>
    </row>
    <row r="16" spans="1:8">
      <c r="A16">
        <v>1180</v>
      </c>
      <c r="B16" t="s">
        <v>119</v>
      </c>
      <c r="C16" t="s">
        <v>107</v>
      </c>
      <c r="D16" s="61">
        <v>43651</v>
      </c>
      <c r="E16">
        <v>0.79020000000000001</v>
      </c>
      <c r="F16">
        <v>6750.28</v>
      </c>
      <c r="G16">
        <v>5334.07</v>
      </c>
      <c r="H16" t="s">
        <v>114</v>
      </c>
    </row>
    <row r="17" spans="1:8">
      <c r="A17">
        <v>1469</v>
      </c>
      <c r="B17" t="s">
        <v>120</v>
      </c>
      <c r="C17" t="s">
        <v>107</v>
      </c>
      <c r="D17" s="61">
        <v>43651</v>
      </c>
      <c r="E17">
        <v>1.0913999999999999</v>
      </c>
      <c r="F17">
        <v>900.35</v>
      </c>
      <c r="G17">
        <v>982.64</v>
      </c>
      <c r="H17" t="s">
        <v>114</v>
      </c>
    </row>
    <row r="18" spans="1:8">
      <c r="A18">
        <v>2903</v>
      </c>
      <c r="B18" t="s">
        <v>121</v>
      </c>
      <c r="C18" t="s">
        <v>107</v>
      </c>
      <c r="D18" s="61">
        <v>43651</v>
      </c>
      <c r="E18">
        <v>0.88219999999999998</v>
      </c>
      <c r="F18">
        <v>475.96</v>
      </c>
      <c r="G18">
        <v>419.89</v>
      </c>
      <c r="H18" t="s">
        <v>114</v>
      </c>
    </row>
    <row r="19" spans="1:8">
      <c r="A19">
        <v>3765</v>
      </c>
      <c r="B19" t="s">
        <v>122</v>
      </c>
      <c r="C19" t="s">
        <v>107</v>
      </c>
      <c r="D19" s="61">
        <v>43651</v>
      </c>
      <c r="E19">
        <v>0.87970000000000004</v>
      </c>
      <c r="F19">
        <v>492.57</v>
      </c>
      <c r="G19">
        <v>433.31</v>
      </c>
      <c r="H19" t="s">
        <v>114</v>
      </c>
    </row>
    <row r="20" spans="1:8">
      <c r="A20">
        <v>4752</v>
      </c>
      <c r="B20" t="s">
        <v>123</v>
      </c>
      <c r="C20" t="s">
        <v>107</v>
      </c>
      <c r="D20" s="61">
        <v>43651</v>
      </c>
      <c r="E20">
        <v>0.73819999999999997</v>
      </c>
      <c r="F20">
        <v>4423.4799999999996</v>
      </c>
      <c r="G20">
        <v>3265.41</v>
      </c>
      <c r="H20" t="s">
        <v>114</v>
      </c>
    </row>
    <row r="21" spans="1:8">
      <c r="A21">
        <v>100032</v>
      </c>
      <c r="B21" t="s">
        <v>124</v>
      </c>
      <c r="C21" t="s">
        <v>107</v>
      </c>
      <c r="D21" s="61">
        <v>43651</v>
      </c>
      <c r="E21">
        <v>1.137</v>
      </c>
      <c r="F21">
        <v>8318.43</v>
      </c>
      <c r="G21">
        <v>9458.0499999999993</v>
      </c>
      <c r="H21" t="s">
        <v>114</v>
      </c>
    </row>
    <row r="22" spans="1:8">
      <c r="A22">
        <v>100038</v>
      </c>
      <c r="B22" t="s">
        <v>125</v>
      </c>
      <c r="C22" t="s">
        <v>107</v>
      </c>
      <c r="D22" s="61">
        <v>43651</v>
      </c>
      <c r="E22">
        <v>1.786</v>
      </c>
      <c r="F22">
        <v>2463.04</v>
      </c>
      <c r="G22">
        <v>4398.9799999999996</v>
      </c>
      <c r="H22" t="s">
        <v>114</v>
      </c>
    </row>
    <row r="23" spans="1:8">
      <c r="A23">
        <v>110027</v>
      </c>
      <c r="B23" t="s">
        <v>126</v>
      </c>
      <c r="C23" t="s">
        <v>127</v>
      </c>
      <c r="D23" s="61">
        <v>43651</v>
      </c>
      <c r="E23">
        <v>1.6359999999999999</v>
      </c>
      <c r="F23">
        <v>1257.72</v>
      </c>
      <c r="G23">
        <v>2057.62</v>
      </c>
      <c r="H23" t="s">
        <v>114</v>
      </c>
    </row>
    <row r="24" spans="1:8">
      <c r="A24">
        <v>161017</v>
      </c>
      <c r="B24" t="s">
        <v>128</v>
      </c>
      <c r="C24" t="s">
        <v>107</v>
      </c>
      <c r="D24" s="61">
        <v>43651</v>
      </c>
      <c r="E24">
        <v>1.7689999999999999</v>
      </c>
      <c r="F24">
        <v>1838.18</v>
      </c>
      <c r="G24">
        <v>3251.74</v>
      </c>
      <c r="H24" t="s">
        <v>114</v>
      </c>
    </row>
    <row r="25" spans="1:8">
      <c r="A25">
        <v>162411</v>
      </c>
      <c r="B25" t="s">
        <v>129</v>
      </c>
      <c r="C25" t="s">
        <v>112</v>
      </c>
      <c r="D25" s="61">
        <v>43650</v>
      </c>
      <c r="E25">
        <v>0.45300000000000001</v>
      </c>
      <c r="F25">
        <v>2329.2199999999998</v>
      </c>
      <c r="G25">
        <v>1055.1300000000001</v>
      </c>
      <c r="H25" t="s">
        <v>114</v>
      </c>
    </row>
    <row r="26" spans="1:8">
      <c r="A26">
        <v>162413</v>
      </c>
      <c r="B26" t="s">
        <v>130</v>
      </c>
      <c r="C26" t="s">
        <v>107</v>
      </c>
      <c r="D26" s="61">
        <v>43651</v>
      </c>
      <c r="E26">
        <v>0.82279999999999998</v>
      </c>
      <c r="F26">
        <v>1495.03</v>
      </c>
      <c r="G26">
        <v>1230.1099999999999</v>
      </c>
      <c r="H26" t="s">
        <v>114</v>
      </c>
    </row>
    <row r="27" spans="1:8">
      <c r="A27">
        <v>162711</v>
      </c>
      <c r="B27" t="s">
        <v>131</v>
      </c>
      <c r="C27" t="s">
        <v>107</v>
      </c>
      <c r="D27" s="61">
        <v>43651</v>
      </c>
      <c r="E27">
        <v>1.1032</v>
      </c>
      <c r="F27">
        <v>9331.14</v>
      </c>
      <c r="G27">
        <v>10294.11</v>
      </c>
      <c r="H27" t="s">
        <v>114</v>
      </c>
    </row>
    <row r="28" spans="1:8">
      <c r="A28">
        <v>340001</v>
      </c>
      <c r="B28" t="s">
        <v>132</v>
      </c>
      <c r="C28" t="s">
        <v>133</v>
      </c>
      <c r="D28" s="61">
        <v>43651</v>
      </c>
      <c r="E28">
        <v>1.0942000000000001</v>
      </c>
      <c r="F28">
        <v>1630.08</v>
      </c>
      <c r="G28">
        <v>1783.63</v>
      </c>
      <c r="H28" t="s">
        <v>114</v>
      </c>
    </row>
    <row r="29" spans="1:8">
      <c r="A29">
        <v>502010</v>
      </c>
      <c r="B29" t="s">
        <v>134</v>
      </c>
      <c r="C29" t="s">
        <v>107</v>
      </c>
      <c r="D29" s="61">
        <v>43651</v>
      </c>
      <c r="E29">
        <v>1.0469999999999999</v>
      </c>
      <c r="F29">
        <v>485.72</v>
      </c>
      <c r="G29">
        <v>508.54</v>
      </c>
      <c r="H29" t="s">
        <v>114</v>
      </c>
    </row>
    <row r="30" spans="1:8">
      <c r="A30">
        <v>519977</v>
      </c>
      <c r="B30" t="s">
        <v>135</v>
      </c>
      <c r="C30" t="s">
        <v>127</v>
      </c>
      <c r="D30" s="61">
        <v>43651</v>
      </c>
      <c r="E30">
        <v>1.3106</v>
      </c>
      <c r="F30">
        <v>333.04</v>
      </c>
      <c r="G30">
        <v>436.48</v>
      </c>
      <c r="H30" t="s">
        <v>114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1D4C-62FA-4C34-9719-B8D4E616594B}">
  <sheetPr codeName="Sheet4"/>
  <dimension ref="A1:C29"/>
  <sheetViews>
    <sheetView workbookViewId="0">
      <selection activeCell="A13" sqref="A13"/>
    </sheetView>
  </sheetViews>
  <sheetFormatPr defaultRowHeight="14.25"/>
  <cols>
    <col min="2" max="2" width="27.625" bestFit="1" customWidth="1"/>
    <col min="3" max="3" width="9.875" bestFit="1" customWidth="1"/>
  </cols>
  <sheetData>
    <row r="1" spans="1:3">
      <c r="A1" s="63">
        <v>482002</v>
      </c>
      <c r="B1" s="62" t="s">
        <v>136</v>
      </c>
      <c r="C1" s="64">
        <v>1815.03</v>
      </c>
    </row>
    <row r="2" spans="1:3">
      <c r="A2" s="63">
        <v>360003</v>
      </c>
      <c r="B2" s="62" t="s">
        <v>102</v>
      </c>
      <c r="C2" s="64">
        <v>2306.5100000000002</v>
      </c>
    </row>
    <row r="3" spans="1:3">
      <c r="A3" s="63">
        <v>3474</v>
      </c>
      <c r="B3" s="62" t="s">
        <v>103</v>
      </c>
      <c r="C3" s="64">
        <v>610620.16000000003</v>
      </c>
    </row>
    <row r="4" spans="1:3">
      <c r="A4" s="63">
        <v>600</v>
      </c>
      <c r="B4" s="62" t="s">
        <v>104</v>
      </c>
      <c r="C4" s="64">
        <v>400.29</v>
      </c>
    </row>
    <row r="5" spans="1:3">
      <c r="A5" s="63">
        <v>638</v>
      </c>
      <c r="B5" s="62" t="s">
        <v>105</v>
      </c>
      <c r="C5" s="64">
        <v>7.0000000000000007E-2</v>
      </c>
    </row>
    <row r="6" spans="1:3">
      <c r="A6" s="63">
        <v>51</v>
      </c>
      <c r="B6" s="62" t="s">
        <v>106</v>
      </c>
      <c r="C6" s="64">
        <v>421.01</v>
      </c>
    </row>
    <row r="7" spans="1:3">
      <c r="A7" s="63">
        <v>968</v>
      </c>
      <c r="B7" s="62" t="s">
        <v>109</v>
      </c>
      <c r="C7" s="64">
        <v>5731.65</v>
      </c>
    </row>
    <row r="8" spans="1:3">
      <c r="A8" s="63">
        <v>110026</v>
      </c>
      <c r="B8" s="62" t="s">
        <v>110</v>
      </c>
      <c r="C8" s="64">
        <v>1953.68</v>
      </c>
    </row>
    <row r="9" spans="1:3">
      <c r="A9" s="63">
        <v>164906</v>
      </c>
      <c r="B9" s="62" t="s">
        <v>111</v>
      </c>
      <c r="C9" s="64">
        <v>1712.67</v>
      </c>
    </row>
    <row r="10" spans="1:3">
      <c r="A10" s="63">
        <v>71</v>
      </c>
      <c r="B10" s="62" t="s">
        <v>113</v>
      </c>
      <c r="C10" s="64">
        <v>435.1</v>
      </c>
    </row>
    <row r="11" spans="1:3">
      <c r="A11" s="63">
        <v>216</v>
      </c>
      <c r="B11" s="62" t="s">
        <v>115</v>
      </c>
      <c r="C11" s="64">
        <v>850.6</v>
      </c>
    </row>
    <row r="12" spans="1:3">
      <c r="A12" s="63">
        <v>614</v>
      </c>
      <c r="B12" s="62" t="s">
        <v>116</v>
      </c>
      <c r="C12" s="64">
        <v>2182.52</v>
      </c>
    </row>
    <row r="13" spans="1:3">
      <c r="A13" s="63">
        <v>1051</v>
      </c>
      <c r="B13" s="62" t="s">
        <v>117</v>
      </c>
      <c r="C13" s="64">
        <v>1350.5</v>
      </c>
    </row>
    <row r="14" spans="1:3">
      <c r="A14" s="63">
        <v>1064</v>
      </c>
      <c r="B14" s="62" t="s">
        <v>118</v>
      </c>
      <c r="C14" s="64">
        <v>3363.4</v>
      </c>
    </row>
    <row r="15" spans="1:3">
      <c r="A15" s="63">
        <v>1180</v>
      </c>
      <c r="B15" s="62" t="s">
        <v>119</v>
      </c>
      <c r="C15" s="64">
        <v>5334.07</v>
      </c>
    </row>
    <row r="16" spans="1:3">
      <c r="A16" s="63">
        <v>1469</v>
      </c>
      <c r="B16" s="62" t="s">
        <v>120</v>
      </c>
      <c r="C16" s="64">
        <v>982.64</v>
      </c>
    </row>
    <row r="17" spans="1:3">
      <c r="A17" s="63">
        <v>2903</v>
      </c>
      <c r="B17" s="62" t="s">
        <v>121</v>
      </c>
      <c r="C17" s="64">
        <v>419.89</v>
      </c>
    </row>
    <row r="18" spans="1:3">
      <c r="A18" s="63">
        <v>3765</v>
      </c>
      <c r="B18" s="62" t="s">
        <v>122</v>
      </c>
      <c r="C18" s="64">
        <v>433.31</v>
      </c>
    </row>
    <row r="19" spans="1:3">
      <c r="A19" s="63">
        <v>4752</v>
      </c>
      <c r="B19" s="62" t="s">
        <v>123</v>
      </c>
      <c r="C19" s="64">
        <v>3265.41</v>
      </c>
    </row>
    <row r="20" spans="1:3">
      <c r="A20" s="63">
        <v>100032</v>
      </c>
      <c r="B20" s="62" t="s">
        <v>124</v>
      </c>
      <c r="C20" s="64">
        <v>9458.0499999999993</v>
      </c>
    </row>
    <row r="21" spans="1:3">
      <c r="A21" s="63">
        <v>100038</v>
      </c>
      <c r="B21" s="62" t="s">
        <v>125</v>
      </c>
      <c r="C21" s="64">
        <v>4398.9799999999996</v>
      </c>
    </row>
    <row r="22" spans="1:3">
      <c r="A22" s="63">
        <v>110027</v>
      </c>
      <c r="B22" s="62" t="s">
        <v>126</v>
      </c>
      <c r="C22" s="64">
        <v>2057.62</v>
      </c>
    </row>
    <row r="23" spans="1:3">
      <c r="A23" s="63">
        <v>161017</v>
      </c>
      <c r="B23" s="62" t="s">
        <v>128</v>
      </c>
      <c r="C23" s="64">
        <v>3251.74</v>
      </c>
    </row>
    <row r="24" spans="1:3">
      <c r="A24" s="63">
        <v>162411</v>
      </c>
      <c r="B24" s="62" t="s">
        <v>129</v>
      </c>
      <c r="C24" s="64">
        <v>1055.1300000000001</v>
      </c>
    </row>
    <row r="25" spans="1:3">
      <c r="A25" s="63">
        <v>162413</v>
      </c>
      <c r="B25" s="62" t="s">
        <v>130</v>
      </c>
      <c r="C25" s="64">
        <v>1230.1099999999999</v>
      </c>
    </row>
    <row r="26" spans="1:3">
      <c r="A26" s="63">
        <v>162711</v>
      </c>
      <c r="B26" s="62" t="s">
        <v>131</v>
      </c>
      <c r="C26" s="64">
        <v>10294.11</v>
      </c>
    </row>
    <row r="27" spans="1:3">
      <c r="A27" s="63">
        <v>340001</v>
      </c>
      <c r="B27" s="62" t="s">
        <v>132</v>
      </c>
      <c r="C27" s="64">
        <v>1783.63</v>
      </c>
    </row>
    <row r="28" spans="1:3">
      <c r="A28" s="63">
        <v>502010</v>
      </c>
      <c r="B28" s="62" t="s">
        <v>134</v>
      </c>
      <c r="C28" s="64">
        <v>508.54</v>
      </c>
    </row>
    <row r="29" spans="1:3">
      <c r="A29" s="63">
        <v>519977</v>
      </c>
      <c r="B29" s="62" t="s">
        <v>135</v>
      </c>
      <c r="C29" s="64">
        <v>436.48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P101"/>
  <sheetViews>
    <sheetView tabSelected="1" zoomScaleNormal="100" workbookViewId="0">
      <pane ySplit="1" topLeftCell="A2" activePane="bottomLeft" state="frozen"/>
      <selection pane="bottomLeft" activeCell="I25" sqref="I25"/>
    </sheetView>
  </sheetViews>
  <sheetFormatPr defaultColWidth="21.125" defaultRowHeight="14.25"/>
  <cols>
    <col min="1" max="1" width="15.125" style="9" bestFit="1" customWidth="1"/>
    <col min="2" max="3" width="17.375" style="9" bestFit="1" customWidth="1"/>
    <col min="4" max="4" width="24" style="9" customWidth="1"/>
    <col min="5" max="5" width="9" style="9" bestFit="1" customWidth="1"/>
    <col min="6" max="6" width="8.875" style="9" bestFit="1" customWidth="1"/>
    <col min="7" max="7" width="9.375" style="9" bestFit="1" customWidth="1"/>
    <col min="8" max="9" width="9" style="9" bestFit="1" customWidth="1"/>
    <col min="10" max="10" width="21.125" style="9"/>
    <col min="11" max="12" width="15.125" style="9" bestFit="1" customWidth="1"/>
    <col min="13" max="16384" width="21.1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90</v>
      </c>
      <c r="I1" s="8" t="s">
        <v>137</v>
      </c>
      <c r="K1" s="18" t="s">
        <v>35</v>
      </c>
      <c r="L1" s="18" t="s">
        <v>36</v>
      </c>
      <c r="M1" s="17"/>
      <c r="N1" s="8"/>
    </row>
    <row r="2" spans="1:15">
      <c r="A2" s="60" t="str">
        <f>"A股"&amp;" , "&amp;TEXT(SUM(E2:E28),"0.00%")</f>
        <v>A股 , 70.22%</v>
      </c>
      <c r="B2" s="60" t="str">
        <f>"大盘股"&amp;" , "&amp;TEXT(SUM(E2:E4),"0.00%")</f>
        <v>大盘股 , 7.36%</v>
      </c>
      <c r="C2" s="20" t="str">
        <f>"上证50"&amp;" , "&amp;TEXT(SUM(E2:E2),"0.00%")</f>
        <v>上证50 , 1.61%</v>
      </c>
      <c r="D2" s="10" t="s">
        <v>22</v>
      </c>
      <c r="E2" s="11">
        <f t="shared" ref="E2:E28" si="0">F2/$F$38</f>
        <v>1.6133827825397302E-2</v>
      </c>
      <c r="F2" s="2">
        <f>SUM(G2:H2)</f>
        <v>1362.55</v>
      </c>
      <c r="G2" s="2">
        <v>1362.55</v>
      </c>
      <c r="H2" s="2"/>
      <c r="I2" s="65">
        <v>1051</v>
      </c>
      <c r="K2" s="18">
        <f>K4+K6</f>
        <v>78502.28</v>
      </c>
      <c r="L2" s="18">
        <f>$K$4+$K$6+$K$8+$K$10</f>
        <v>830308.54</v>
      </c>
      <c r="M2" s="17"/>
      <c r="N2" s="8"/>
    </row>
    <row r="3" spans="1:15">
      <c r="A3" s="60"/>
      <c r="B3" s="60"/>
      <c r="C3" s="60" t="str">
        <f>"沪深300"&amp;" , "&amp;TEXT(SUM(E3:E4),"0.00%")</f>
        <v>沪深300 , 5.74%</v>
      </c>
      <c r="D3" s="10" t="s">
        <v>24</v>
      </c>
      <c r="E3" s="11">
        <f t="shared" si="0"/>
        <v>5.2408801630350804E-2</v>
      </c>
      <c r="F3" s="2">
        <f t="shared" ref="F3:F37" si="1">SUM(G3:H3)</f>
        <v>4426.08</v>
      </c>
      <c r="G3" s="2">
        <v>4426.08</v>
      </c>
      <c r="I3" s="65">
        <v>100038</v>
      </c>
      <c r="K3" s="18" t="s">
        <v>23</v>
      </c>
      <c r="L3" s="18" t="s">
        <v>89</v>
      </c>
      <c r="M3" s="8"/>
      <c r="N3" s="1"/>
    </row>
    <row r="4" spans="1:15">
      <c r="A4" s="60"/>
      <c r="B4" s="60"/>
      <c r="C4" s="60"/>
      <c r="D4" s="21" t="s">
        <v>42</v>
      </c>
      <c r="E4" s="11">
        <f t="shared" si="0"/>
        <v>5.0314382001158285E-3</v>
      </c>
      <c r="F4" s="2">
        <f t="shared" si="1"/>
        <v>424.92</v>
      </c>
      <c r="G4" s="2">
        <v>424.92</v>
      </c>
      <c r="I4" s="65">
        <v>51</v>
      </c>
      <c r="K4" s="18">
        <v>72000</v>
      </c>
      <c r="L4" s="18">
        <f>F38-SUM(F19:F28)-K4</f>
        <v>5950.7099999999919</v>
      </c>
      <c r="M4" s="8"/>
      <c r="N4" s="1"/>
    </row>
    <row r="5" spans="1:15">
      <c r="A5" s="60"/>
      <c r="B5" s="60" t="str">
        <f>"中小盘股"&amp;" , "&amp;TEXT(SUM(E5:E10),"0.00%")</f>
        <v>中小盘股 , 20.97%</v>
      </c>
      <c r="C5" s="60" t="str">
        <f>"中证500"&amp;" , "&amp;TEXT(SUM(E5:E7),"0.00%")</f>
        <v>中证500 , 16.64%</v>
      </c>
      <c r="D5" s="10" t="s">
        <v>44</v>
      </c>
      <c r="E5" s="11">
        <f t="shared" si="0"/>
        <v>0.12275338031252654</v>
      </c>
      <c r="F5" s="2">
        <f t="shared" si="1"/>
        <v>10366.89</v>
      </c>
      <c r="G5" s="2">
        <v>10366.89</v>
      </c>
      <c r="H5" s="2"/>
      <c r="I5" s="65">
        <v>162711</v>
      </c>
      <c r="K5" s="18" t="s">
        <v>87</v>
      </c>
      <c r="L5" s="18" t="s">
        <v>88</v>
      </c>
    </row>
    <row r="6" spans="1:15">
      <c r="A6" s="60"/>
      <c r="B6" s="60"/>
      <c r="C6" s="60"/>
      <c r="D6" s="22" t="s">
        <v>43</v>
      </c>
      <c r="E6" s="11">
        <f t="shared" si="0"/>
        <v>5.0068091135672052E-3</v>
      </c>
      <c r="F6" s="2">
        <f t="shared" si="1"/>
        <v>422.84</v>
      </c>
      <c r="G6" s="2">
        <v>422.84</v>
      </c>
      <c r="H6" s="2"/>
      <c r="I6" s="65">
        <v>2903</v>
      </c>
      <c r="K6" s="18">
        <f>螺丝钉计划!I5</f>
        <v>6502.2800000000007</v>
      </c>
      <c r="L6" s="18">
        <f>螺丝钉计划!I7</f>
        <v>147.09</v>
      </c>
      <c r="N6" s="12"/>
      <c r="O6" s="12"/>
    </row>
    <row r="7" spans="1:15">
      <c r="A7" s="60"/>
      <c r="B7" s="60"/>
      <c r="C7" s="60"/>
      <c r="D7" s="10" t="s">
        <v>25</v>
      </c>
      <c r="E7" s="11">
        <f t="shared" si="0"/>
        <v>3.859058157680386E-2</v>
      </c>
      <c r="F7" s="2">
        <f t="shared" si="1"/>
        <v>3259.09</v>
      </c>
      <c r="G7" s="2">
        <v>3259.09</v>
      </c>
      <c r="H7" s="2"/>
      <c r="I7" s="65">
        <v>161017</v>
      </c>
      <c r="K7" s="18" t="s">
        <v>32</v>
      </c>
      <c r="L7" s="18" t="s">
        <v>34</v>
      </c>
      <c r="O7" s="13"/>
    </row>
    <row r="8" spans="1:15">
      <c r="A8" s="60"/>
      <c r="B8" s="60"/>
      <c r="C8" s="20" t="str">
        <f>"中证1000"&amp;" , "&amp;TEXT(SUM(E8:E8),"0.00%")</f>
        <v>中证1000 , 1.47%</v>
      </c>
      <c r="D8" s="10" t="s">
        <v>26</v>
      </c>
      <c r="E8" s="11">
        <f t="shared" si="0"/>
        <v>1.4700130806499571E-2</v>
      </c>
      <c r="F8" s="2">
        <f t="shared" si="1"/>
        <v>1241.47</v>
      </c>
      <c r="G8" s="2">
        <v>1241.47</v>
      </c>
      <c r="I8" s="65">
        <v>162413</v>
      </c>
      <c r="K8" s="18">
        <v>615045.06999999995</v>
      </c>
      <c r="L8" s="24">
        <v>22981.68</v>
      </c>
      <c r="N8" s="12"/>
      <c r="O8" s="12"/>
    </row>
    <row r="9" spans="1:15">
      <c r="A9" s="60"/>
      <c r="B9" s="60"/>
      <c r="C9" s="60" t="str">
        <f>"创业板"&amp;" , "&amp;TEXT(SUM(E9:E10),"0.00%")</f>
        <v>创业板 , 2.86%</v>
      </c>
      <c r="D9" s="10" t="s">
        <v>27</v>
      </c>
      <c r="E9" s="11">
        <f t="shared" si="0"/>
        <v>5.1966188526895267E-3</v>
      </c>
      <c r="F9" s="2">
        <f t="shared" si="1"/>
        <v>438.87</v>
      </c>
      <c r="G9" s="2">
        <v>438.87</v>
      </c>
      <c r="H9" s="14"/>
      <c r="I9" s="65">
        <v>3765</v>
      </c>
      <c r="K9" s="18" t="s">
        <v>33</v>
      </c>
      <c r="L9" s="18" t="s">
        <v>34</v>
      </c>
      <c r="O9" s="13"/>
    </row>
    <row r="10" spans="1:15">
      <c r="A10" s="60"/>
      <c r="B10" s="60"/>
      <c r="C10" s="60"/>
      <c r="D10" s="10" t="s">
        <v>9</v>
      </c>
      <c r="E10" s="11">
        <f t="shared" si="0"/>
        <v>2.3447837666848742E-2</v>
      </c>
      <c r="F10" s="2">
        <f t="shared" si="1"/>
        <v>1980.24</v>
      </c>
      <c r="G10" s="2">
        <v>1980.24</v>
      </c>
      <c r="H10" s="2"/>
      <c r="I10" s="65">
        <v>110026</v>
      </c>
      <c r="K10" s="18">
        <v>136761.19</v>
      </c>
      <c r="L10" s="24">
        <v>3527.49</v>
      </c>
      <c r="N10" s="12"/>
      <c r="O10" s="12"/>
    </row>
    <row r="11" spans="1:15">
      <c r="A11" s="60"/>
      <c r="B11" s="22" t="str">
        <f>"红利价值"&amp;" , "&amp;TEXT(SUM(E11:E11),"0.00%")</f>
        <v>红利价值 , 11.20%</v>
      </c>
      <c r="C11" s="20" t="str">
        <f>"中证红利"&amp;" , "&amp;TEXT(SUM(E11:E11),"0.00%")</f>
        <v>中证红利 , 11.20%</v>
      </c>
      <c r="D11" s="10" t="s">
        <v>10</v>
      </c>
      <c r="E11" s="11">
        <f t="shared" si="0"/>
        <v>0.11199189039961759</v>
      </c>
      <c r="F11" s="2">
        <f t="shared" si="1"/>
        <v>9458.0499999999993</v>
      </c>
      <c r="G11" s="2">
        <v>9458.0499999999993</v>
      </c>
      <c r="H11" s="2"/>
      <c r="I11" s="65">
        <v>100032</v>
      </c>
      <c r="K11" s="18" t="s">
        <v>41</v>
      </c>
      <c r="L11" s="18" t="s">
        <v>40</v>
      </c>
      <c r="O11" s="13"/>
    </row>
    <row r="12" spans="1:15">
      <c r="A12" s="60"/>
      <c r="B12" s="60" t="str">
        <f>"行业股"&amp;" , "&amp;TEXT(SUM(E12:E18),"0.00%")</f>
        <v>行业股 , 22.99%</v>
      </c>
      <c r="C12" s="20" t="str">
        <f>"养老产业"&amp;" , "&amp;TEXT(SUM(E12:E12),"0.00%")</f>
        <v>养老产业 , 6.90%</v>
      </c>
      <c r="D12" s="10" t="s">
        <v>11</v>
      </c>
      <c r="E12" s="11">
        <f t="shared" si="0"/>
        <v>6.8972335970579612E-2</v>
      </c>
      <c r="F12" s="2">
        <f t="shared" si="1"/>
        <v>5824.92</v>
      </c>
      <c r="G12" s="2">
        <v>5824.92</v>
      </c>
      <c r="I12" s="65">
        <v>968</v>
      </c>
      <c r="K12" s="18" t="s">
        <v>37</v>
      </c>
      <c r="L12" s="1">
        <f>SUM($F$2:$F$33)/($K$2+$K$8+K$10)</f>
        <v>7.8961334060227775E-2</v>
      </c>
      <c r="N12" s="12"/>
      <c r="O12" s="12"/>
    </row>
    <row r="13" spans="1:15">
      <c r="A13" s="60"/>
      <c r="B13" s="60"/>
      <c r="C13" s="20" t="str">
        <f>"全指医药"&amp;" , "&amp;TEXT(SUM(E13:E13),"0.00%")</f>
        <v>全指医药 , 6.39%</v>
      </c>
      <c r="D13" s="20" t="s">
        <v>7</v>
      </c>
      <c r="E13" s="11">
        <f t="shared" si="0"/>
        <v>6.3855524831033225E-2</v>
      </c>
      <c r="F13" s="2">
        <f t="shared" si="1"/>
        <v>5392.79</v>
      </c>
      <c r="G13" s="2">
        <v>5392.79</v>
      </c>
      <c r="H13" s="2"/>
      <c r="I13" s="65">
        <v>1180</v>
      </c>
      <c r="K13" s="18" t="s">
        <v>39</v>
      </c>
      <c r="L13" s="1">
        <f>SUM($F$34:$F$36)/($K$2+$K$8+K$10)</f>
        <v>5.1676211833254181E-3</v>
      </c>
      <c r="O13" s="13"/>
    </row>
    <row r="14" spans="1:15">
      <c r="A14" s="60"/>
      <c r="B14" s="60"/>
      <c r="C14" s="20" t="str">
        <f>"中证传媒"&amp;" , "&amp;TEXT(SUM(E14:E14),"0.00%")</f>
        <v>中证传媒 , 3.92%</v>
      </c>
      <c r="D14" s="10" t="s">
        <v>28</v>
      </c>
      <c r="E14" s="11">
        <f t="shared" si="0"/>
        <v>3.9189139425377363E-2</v>
      </c>
      <c r="F14" s="2">
        <f t="shared" si="1"/>
        <v>3309.64</v>
      </c>
      <c r="G14" s="2">
        <v>3309.64</v>
      </c>
      <c r="H14" s="2"/>
      <c r="I14" s="65">
        <v>4752</v>
      </c>
      <c r="K14" s="18" t="s">
        <v>38</v>
      </c>
      <c r="L14" s="1">
        <f>(F37+SUM($K$8:$K$10))/($K$2+$K$8+K$10)</f>
        <v>0.92303791070244801</v>
      </c>
      <c r="N14" s="12"/>
      <c r="O14" s="12"/>
    </row>
    <row r="15" spans="1:15">
      <c r="A15" s="60"/>
      <c r="B15" s="60"/>
      <c r="C15" s="20" t="str">
        <f>"中证环保"&amp;" , "&amp;TEXT(SUM(E15:E15),"0.00%")</f>
        <v>中证环保 , 4.00%</v>
      </c>
      <c r="D15" s="10" t="s">
        <v>29</v>
      </c>
      <c r="E15" s="11">
        <f t="shared" si="0"/>
        <v>3.996661337863823E-2</v>
      </c>
      <c r="F15" s="2">
        <f t="shared" si="1"/>
        <v>3375.3</v>
      </c>
      <c r="G15" s="2">
        <v>3375.3</v>
      </c>
      <c r="I15" s="65">
        <v>1064</v>
      </c>
      <c r="K15" s="19"/>
      <c r="L15" s="19"/>
      <c r="O15" s="13"/>
    </row>
    <row r="16" spans="1:15">
      <c r="A16" s="60"/>
      <c r="B16" s="60"/>
      <c r="C16" s="20" t="str">
        <f>"全指消费"&amp;" , "&amp;TEXT(SUM(E16:E16),"0.00%")</f>
        <v>全指消费 , 0.00%</v>
      </c>
      <c r="D16" s="10" t="s">
        <v>12</v>
      </c>
      <c r="E16" s="11">
        <f t="shared" si="0"/>
        <v>0</v>
      </c>
      <c r="F16" s="2">
        <f t="shared" si="1"/>
        <v>0</v>
      </c>
      <c r="G16" s="2">
        <v>0</v>
      </c>
      <c r="H16" s="2"/>
      <c r="I16" s="66">
        <v>110027</v>
      </c>
      <c r="K16" s="19"/>
      <c r="L16" s="19"/>
      <c r="M16" s="2"/>
      <c r="N16" s="12"/>
      <c r="O16" s="12"/>
    </row>
    <row r="17" spans="1:15" s="19" customFormat="1">
      <c r="A17" s="60"/>
      <c r="B17" s="60"/>
      <c r="C17" s="20" t="str">
        <f>"金融地产"&amp;" , "&amp;TEXT(SUM(E17:E17),"0.00%")</f>
        <v>金融地产 , 1.17%</v>
      </c>
      <c r="D17" s="10" t="s">
        <v>13</v>
      </c>
      <c r="E17" s="11">
        <f t="shared" si="0"/>
        <v>1.1701421110134764E-2</v>
      </c>
      <c r="F17" s="2">
        <f t="shared" si="1"/>
        <v>988.22</v>
      </c>
      <c r="G17" s="2">
        <v>988.22</v>
      </c>
      <c r="H17" s="14"/>
      <c r="I17" s="65">
        <v>1469</v>
      </c>
      <c r="M17" s="9"/>
      <c r="N17" s="12"/>
      <c r="O17" s="12"/>
    </row>
    <row r="18" spans="1:15">
      <c r="A18" s="60"/>
      <c r="B18" s="60"/>
      <c r="C18" s="20" t="str">
        <f>"证券公司"&amp;" , "&amp;TEXT(SUM(E18:E18),"0.00%")</f>
        <v>证券公司 , 0.63%</v>
      </c>
      <c r="D18" s="10" t="s">
        <v>30</v>
      </c>
      <c r="E18" s="11">
        <f t="shared" si="0"/>
        <v>6.2568536649797715E-3</v>
      </c>
      <c r="F18" s="2">
        <f t="shared" si="1"/>
        <v>528.41</v>
      </c>
      <c r="G18" s="2">
        <v>528.41</v>
      </c>
      <c r="H18" s="19"/>
      <c r="I18" s="65">
        <v>502010</v>
      </c>
      <c r="K18" s="19"/>
      <c r="L18" s="19"/>
      <c r="N18" s="12"/>
      <c r="O18" s="13"/>
    </row>
    <row r="19" spans="1:15">
      <c r="A19" s="60"/>
      <c r="B19" s="60" t="str">
        <f>"螺丝钉定投"&amp;" , "&amp;TEXT(SUM(E19:E28),"0.00%")</f>
        <v>螺丝钉定投 , 7.70%</v>
      </c>
      <c r="C19" s="60" t="str">
        <f>"大盘股"&amp;" , "&amp;TEXT(E26+E27+E28+E22,"0.00%")</f>
        <v>大盘股 , 1.88%</v>
      </c>
      <c r="D19" s="20" t="s">
        <v>65</v>
      </c>
      <c r="E19" s="11">
        <f t="shared" si="0"/>
        <v>1.5181925139654618E-2</v>
      </c>
      <c r="F19" s="2">
        <f t="shared" si="1"/>
        <v>1282.1589719999999</v>
      </c>
      <c r="G19" s="2"/>
      <c r="H19" s="2">
        <v>1282.1589719999999</v>
      </c>
      <c r="I19" s="14"/>
      <c r="K19" s="19"/>
      <c r="L19" s="19"/>
      <c r="M19" s="19"/>
      <c r="N19" s="12"/>
    </row>
    <row r="20" spans="1:15">
      <c r="A20" s="60"/>
      <c r="B20" s="60"/>
      <c r="C20" s="60"/>
      <c r="D20" s="20" t="s">
        <v>66</v>
      </c>
      <c r="E20" s="11">
        <f t="shared" si="0"/>
        <v>9.8792304215635264E-3</v>
      </c>
      <c r="F20" s="2">
        <f t="shared" si="1"/>
        <v>834.33054800000014</v>
      </c>
      <c r="G20" s="2"/>
      <c r="H20" s="2">
        <v>834.33054800000014</v>
      </c>
      <c r="I20" s="14"/>
      <c r="K20" s="20"/>
      <c r="L20" s="2"/>
      <c r="N20" s="12"/>
      <c r="O20" s="13"/>
    </row>
    <row r="21" spans="1:15">
      <c r="A21" s="60"/>
      <c r="B21" s="60"/>
      <c r="C21" s="60" t="str">
        <f>"中盘股"&amp;" , "&amp;TEXT(E20+E23,"0.00%")</f>
        <v>中盘股 , 2.10%</v>
      </c>
      <c r="D21" s="20" t="s">
        <v>67</v>
      </c>
      <c r="E21" s="11">
        <f t="shared" si="0"/>
        <v>1.4073934765364735E-2</v>
      </c>
      <c r="F21" s="2">
        <f t="shared" si="1"/>
        <v>1188.5858720000001</v>
      </c>
      <c r="G21" s="2"/>
      <c r="H21" s="2">
        <v>1188.5858720000001</v>
      </c>
      <c r="I21" s="14"/>
      <c r="N21" s="12"/>
    </row>
    <row r="22" spans="1:15">
      <c r="A22" s="60"/>
      <c r="B22" s="60"/>
      <c r="C22" s="60"/>
      <c r="D22" s="21" t="s">
        <v>68</v>
      </c>
      <c r="E22" s="11">
        <f t="shared" si="0"/>
        <v>1.2950539560529476E-2</v>
      </c>
      <c r="F22" s="2">
        <f t="shared" si="1"/>
        <v>1093.7117880000001</v>
      </c>
      <c r="G22" s="2"/>
      <c r="H22" s="2">
        <v>1093.7117880000001</v>
      </c>
      <c r="I22" s="14"/>
      <c r="O22" s="13"/>
    </row>
    <row r="23" spans="1:15">
      <c r="A23" s="60"/>
      <c r="B23" s="60"/>
      <c r="C23" s="60" t="str">
        <f>"中证红利"&amp;" , "&amp;TEXT(E21+E24,"0.00%")</f>
        <v>中证红利 , 1.92%</v>
      </c>
      <c r="D23" s="20" t="s">
        <v>69</v>
      </c>
      <c r="E23" s="11">
        <f t="shared" si="0"/>
        <v>1.1127067449003287E-2</v>
      </c>
      <c r="F23" s="2">
        <f t="shared" si="1"/>
        <v>939.71411599999999</v>
      </c>
      <c r="G23" s="2"/>
      <c r="H23" s="2">
        <v>939.71411599999999</v>
      </c>
      <c r="I23" s="14"/>
      <c r="M23" s="2"/>
      <c r="N23" s="12"/>
      <c r="O23" s="12"/>
    </row>
    <row r="24" spans="1:15">
      <c r="A24" s="60"/>
      <c r="B24" s="60"/>
      <c r="C24" s="60"/>
      <c r="D24" s="20" t="s">
        <v>70</v>
      </c>
      <c r="E24" s="11">
        <f t="shared" si="0"/>
        <v>5.1656088908160628E-3</v>
      </c>
      <c r="F24" s="2">
        <f t="shared" si="1"/>
        <v>436.25111600000002</v>
      </c>
      <c r="G24" s="2"/>
      <c r="H24" s="2">
        <v>436.25111600000002</v>
      </c>
      <c r="I24" s="14"/>
      <c r="O24" s="13"/>
    </row>
    <row r="25" spans="1:15">
      <c r="A25" s="60"/>
      <c r="B25" s="60"/>
      <c r="C25" s="60" t="str">
        <f>"医药"&amp;" , "&amp;TEXT(E25,"0.00%")</f>
        <v>医药 , 0.28%</v>
      </c>
      <c r="D25" s="20" t="s">
        <v>71</v>
      </c>
      <c r="E25" s="11">
        <f t="shared" si="0"/>
        <v>2.7840592736858702E-3</v>
      </c>
      <c r="F25" s="2">
        <f t="shared" si="1"/>
        <v>235.12213000000003</v>
      </c>
      <c r="G25" s="2"/>
      <c r="H25" s="2">
        <v>235.12213000000003</v>
      </c>
      <c r="I25" s="14"/>
      <c r="N25" s="12"/>
      <c r="O25" s="12"/>
    </row>
    <row r="26" spans="1:15">
      <c r="A26" s="60"/>
      <c r="B26" s="60"/>
      <c r="C26" s="60"/>
      <c r="D26" s="20" t="s">
        <v>72</v>
      </c>
      <c r="E26" s="11">
        <f t="shared" si="0"/>
        <v>3.1839508346596136E-3</v>
      </c>
      <c r="F26" s="2">
        <f t="shared" si="1"/>
        <v>268.89416799999998</v>
      </c>
      <c r="G26" s="2"/>
      <c r="H26" s="2">
        <v>268.89416799999998</v>
      </c>
      <c r="I26" s="14"/>
      <c r="O26" s="13"/>
    </row>
    <row r="27" spans="1:15">
      <c r="A27" s="60"/>
      <c r="B27" s="60"/>
      <c r="C27" s="60" t="str">
        <f>"海外新兴"&amp;" , "&amp;TEXT(E19,"0.00%")</f>
        <v>海外新兴 , 1.52%</v>
      </c>
      <c r="D27" s="23" t="s">
        <v>73</v>
      </c>
      <c r="E27" s="11">
        <f t="shared" si="0"/>
        <v>1.7999461712368029E-3</v>
      </c>
      <c r="F27" s="2">
        <f t="shared" si="1"/>
        <v>152.01083599999998</v>
      </c>
      <c r="G27" s="2"/>
      <c r="H27" s="2">
        <v>152.01083599999998</v>
      </c>
      <c r="I27" s="14"/>
      <c r="J27" s="11"/>
      <c r="N27" s="12"/>
      <c r="O27" s="12"/>
    </row>
    <row r="28" spans="1:15">
      <c r="A28" s="60"/>
      <c r="B28" s="60"/>
      <c r="C28" s="60"/>
      <c r="D28" s="20" t="s">
        <v>74</v>
      </c>
      <c r="E28" s="11">
        <f t="shared" si="0"/>
        <v>8.4663022588069427E-4</v>
      </c>
      <c r="F28" s="2">
        <f t="shared" si="1"/>
        <v>71.500454000000005</v>
      </c>
      <c r="G28" s="2"/>
      <c r="H28" s="2">
        <v>71.500454000000005</v>
      </c>
      <c r="I28" s="14"/>
      <c r="J28" s="11"/>
      <c r="O28" s="13"/>
    </row>
    <row r="29" spans="1:15">
      <c r="A29" s="60" t="str">
        <f>"海外新兴"&amp;" , "&amp;TEXT(SUM(E29:E30),"0.00%")</f>
        <v>海外新兴 , 2.54%</v>
      </c>
      <c r="B29" s="20" t="str">
        <f>"香港"&amp;" , "&amp;TEXT(SUM(E29:E29),"0.00%")</f>
        <v>香港 , 0.51%</v>
      </c>
      <c r="C29" s="20" t="str">
        <f>"恒生"&amp;" , "&amp;TEXT(SUM(E29:E29),"0.00%")</f>
        <v>恒生 , 0.51%</v>
      </c>
      <c r="D29" s="10" t="s">
        <v>14</v>
      </c>
      <c r="E29" s="11">
        <f t="shared" ref="E29:E37" si="2">F29/$F$38</f>
        <v>5.1415586351649606E-3</v>
      </c>
      <c r="F29" s="2">
        <f t="shared" si="1"/>
        <v>434.22</v>
      </c>
      <c r="G29" s="2">
        <v>434.22</v>
      </c>
      <c r="H29" s="14"/>
      <c r="I29" s="65">
        <v>71</v>
      </c>
      <c r="N29" s="12"/>
      <c r="O29" s="12"/>
    </row>
    <row r="30" spans="1:15">
      <c r="A30" s="60"/>
      <c r="B30" s="20" t="str">
        <f>"海外互联"&amp;" , "&amp;TEXT(SUM(E30:E30),"0.00%")</f>
        <v>海外互联 , 2.02%</v>
      </c>
      <c r="C30" s="20" t="str">
        <f>"海外互联网"&amp;" , "&amp;TEXT(SUM(E30:E30),"0.00%")</f>
        <v>海外互联网 , 2.02%</v>
      </c>
      <c r="D30" s="10" t="s">
        <v>15</v>
      </c>
      <c r="E30" s="11">
        <f t="shared" si="2"/>
        <v>2.0246174824597684E-2</v>
      </c>
      <c r="F30" s="2">
        <f t="shared" si="1"/>
        <v>1709.85</v>
      </c>
      <c r="G30" s="2">
        <v>1709.85</v>
      </c>
      <c r="H30" s="14"/>
      <c r="I30" s="65">
        <v>164906</v>
      </c>
      <c r="J30" s="19"/>
      <c r="K30" s="13"/>
      <c r="L30" s="19"/>
      <c r="M30" s="19"/>
      <c r="O30" s="13"/>
    </row>
    <row r="31" spans="1:15">
      <c r="A31" s="22" t="str">
        <f>"海外成熟"&amp;" , "&amp;TEXT(SUM(E31:E31),"0.00%")</f>
        <v>海外成熟 , 2.59%</v>
      </c>
      <c r="B31" s="20" t="str">
        <f>"海外成熟"&amp;" , "&amp;TEXT(SUM(E31:E31),"0.00%")</f>
        <v>海外成熟 , 2.59%</v>
      </c>
      <c r="C31" s="20" t="str">
        <f>"德国30"&amp;" , "&amp;TEXT(SUM(E31:E31),"0.00%")</f>
        <v>德国30 , 2.59%</v>
      </c>
      <c r="D31" s="10" t="s">
        <v>16</v>
      </c>
      <c r="E31" s="11">
        <f t="shared" si="2"/>
        <v>2.5865395647922E-2</v>
      </c>
      <c r="F31" s="2">
        <f t="shared" si="1"/>
        <v>2184.41</v>
      </c>
      <c r="G31" s="2">
        <v>2184.41</v>
      </c>
      <c r="H31" s="14"/>
      <c r="I31" s="65">
        <v>614</v>
      </c>
      <c r="J31" s="12"/>
      <c r="K31" s="12"/>
      <c r="L31" s="19"/>
      <c r="M31" s="19"/>
      <c r="N31" s="12"/>
      <c r="O31" s="12"/>
    </row>
    <row r="32" spans="1:15">
      <c r="A32" s="60" t="str">
        <f>"商品"&amp;" , "&amp;TEXT(SUM(E32:E33),"0.00%")</f>
        <v>商品 , 2.29%</v>
      </c>
      <c r="B32" s="20" t="str">
        <f>"原油"&amp;" , "&amp;TEXT(SUM(E32:E32),"0.00%")</f>
        <v>原油 , 1.30%</v>
      </c>
      <c r="C32" s="20" t="str">
        <f>"原油"&amp;" , "&amp;TEXT(SUM(E32:E32),"0.00%")</f>
        <v>原油 , 1.30%</v>
      </c>
      <c r="D32" s="10" t="s">
        <v>17</v>
      </c>
      <c r="E32" s="11">
        <f t="shared" si="2"/>
        <v>1.2990185427419445E-2</v>
      </c>
      <c r="F32" s="2">
        <f t="shared" si="1"/>
        <v>1097.06</v>
      </c>
      <c r="G32" s="2">
        <v>1097.06</v>
      </c>
      <c r="H32" s="14"/>
      <c r="I32" s="65">
        <v>162411</v>
      </c>
      <c r="J32" s="19"/>
      <c r="K32" s="13"/>
      <c r="L32" s="19"/>
      <c r="M32" s="19"/>
      <c r="O32" s="13"/>
    </row>
    <row r="33" spans="1:16">
      <c r="A33" s="60"/>
      <c r="B33" s="20" t="str">
        <f>"黄金"&amp;" , "&amp;TEXT(SUM(E33:E33),"0.00%")</f>
        <v>黄金 , 0.99%</v>
      </c>
      <c r="C33" s="20" t="str">
        <f>"黄金"&amp;" , "&amp;TEXT(SUM(E33:E33),"0.00%")</f>
        <v>黄金 , 0.99%</v>
      </c>
      <c r="D33" s="10" t="s">
        <v>31</v>
      </c>
      <c r="E33" s="11">
        <f t="shared" si="2"/>
        <v>9.8773293876273666E-3</v>
      </c>
      <c r="F33" s="2">
        <f t="shared" si="1"/>
        <v>834.17</v>
      </c>
      <c r="G33" s="2">
        <v>834.17</v>
      </c>
      <c r="H33" s="2"/>
      <c r="I33" s="65">
        <v>216</v>
      </c>
      <c r="J33" s="12"/>
      <c r="K33" s="12"/>
      <c r="L33" s="19"/>
      <c r="M33" s="19"/>
      <c r="N33" s="12"/>
      <c r="O33" s="12"/>
    </row>
    <row r="34" spans="1:16">
      <c r="A34" s="60" t="str">
        <f>"债券"&amp;" , "&amp;TEXT(SUM(E34:E36),"0.00%")</f>
        <v>债券 , 5.08%</v>
      </c>
      <c r="B34" s="60" t="str">
        <f>"国内债券"&amp;" , "&amp;TEXT(SUM(E34:E36),"0.00%")</f>
        <v>国内债券 , 5.08%</v>
      </c>
      <c r="C34" s="60" t="str">
        <f>"可转债"&amp;" , "&amp;TEXT(SUM(E34:E36),"0.00%")</f>
        <v>可转债 , 5.08%</v>
      </c>
      <c r="D34" s="10" t="s">
        <v>18</v>
      </c>
      <c r="E34" s="11">
        <f t="shared" si="2"/>
        <v>2.1196999656258472E-2</v>
      </c>
      <c r="F34" s="2">
        <f t="shared" si="1"/>
        <v>1790.15</v>
      </c>
      <c r="G34" s="2">
        <v>1790.15</v>
      </c>
      <c r="H34" s="2"/>
      <c r="I34" s="65">
        <v>340001</v>
      </c>
      <c r="J34" s="19"/>
      <c r="K34" s="13"/>
      <c r="L34" s="19"/>
      <c r="M34" s="19"/>
      <c r="O34" s="13"/>
    </row>
    <row r="35" spans="1:16">
      <c r="A35" s="60"/>
      <c r="B35" s="60"/>
      <c r="C35" s="60"/>
      <c r="D35" s="10" t="s">
        <v>19</v>
      </c>
      <c r="E35" s="11">
        <f t="shared" si="2"/>
        <v>5.2001711247878857E-3</v>
      </c>
      <c r="F35" s="2">
        <f t="shared" si="1"/>
        <v>439.17</v>
      </c>
      <c r="G35" s="2">
        <v>439.17</v>
      </c>
      <c r="H35" s="2"/>
      <c r="I35" s="65">
        <v>519977</v>
      </c>
      <c r="J35" s="12"/>
      <c r="K35" s="12"/>
      <c r="L35" s="19"/>
      <c r="M35" s="19"/>
      <c r="N35" s="12"/>
      <c r="O35" s="12"/>
    </row>
    <row r="36" spans="1:16">
      <c r="A36" s="60"/>
      <c r="B36" s="60"/>
      <c r="C36" s="60"/>
      <c r="D36" s="10" t="s">
        <v>20</v>
      </c>
      <c r="E36" s="11">
        <f t="shared" si="2"/>
        <v>2.4408845678524825E-2</v>
      </c>
      <c r="F36" s="2">
        <f t="shared" si="1"/>
        <v>2061.4</v>
      </c>
      <c r="G36" s="2">
        <v>2061.4</v>
      </c>
      <c r="H36" s="8"/>
      <c r="I36" s="65">
        <v>110027</v>
      </c>
      <c r="J36" s="19"/>
      <c r="K36" s="13"/>
      <c r="L36" s="19"/>
      <c r="M36" s="19"/>
      <c r="P36" s="13"/>
    </row>
    <row r="37" spans="1:16">
      <c r="A37" s="22" t="str">
        <f>"现金"&amp;" , "&amp;TEXT(SUM(E37:E37),"0.00%")</f>
        <v>现金 , 17.29%</v>
      </c>
      <c r="B37" s="10" t="str">
        <f>"低风险理财"&amp;" , "&amp;TEXT(SUM(E37:E37),"0.00%")</f>
        <v>低风险理财 , 17.29%</v>
      </c>
      <c r="C37" s="20" t="str">
        <f>"货币基金"&amp;" , "&amp;TEXT(SUM(E37:E37),"0.00%")</f>
        <v>货币基金 , 17.29%</v>
      </c>
      <c r="D37" s="10" t="s">
        <v>21</v>
      </c>
      <c r="E37" s="11">
        <f t="shared" si="2"/>
        <v>0.17287724212014283</v>
      </c>
      <c r="F37" s="2">
        <f t="shared" si="1"/>
        <v>14600</v>
      </c>
      <c r="G37" s="2">
        <f>养老金计划!W34</f>
        <v>14600</v>
      </c>
      <c r="H37" s="8"/>
      <c r="I37" s="8"/>
      <c r="J37" s="12"/>
      <c r="K37" s="12"/>
      <c r="L37" s="19"/>
      <c r="M37" s="19"/>
      <c r="O37" s="12"/>
    </row>
    <row r="38" spans="1:16">
      <c r="D38" s="8" t="s">
        <v>4</v>
      </c>
      <c r="E38" s="13">
        <f>SUM(E2:E37)</f>
        <v>1.0000000000000004</v>
      </c>
      <c r="F38" s="2">
        <f>SUM(F2:F37)</f>
        <v>84452.989999999991</v>
      </c>
      <c r="I38" s="8"/>
      <c r="J38" s="19"/>
      <c r="K38" s="19"/>
      <c r="L38" s="13"/>
      <c r="M38" s="19"/>
      <c r="P38" s="13"/>
    </row>
    <row r="39" spans="1:16">
      <c r="D39" s="8" t="s">
        <v>5</v>
      </c>
      <c r="E39" s="15">
        <f>F38/$K$2-1</f>
        <v>7.5803021262567105E-2</v>
      </c>
      <c r="J39" s="19"/>
      <c r="K39" s="12"/>
      <c r="L39" s="19"/>
      <c r="M39" s="19"/>
      <c r="O39" s="12"/>
    </row>
    <row r="40" spans="1:16">
      <c r="A40" s="16"/>
      <c r="B40" s="8"/>
      <c r="C40" s="2"/>
      <c r="J40" s="19"/>
      <c r="K40" s="19"/>
      <c r="L40" s="13"/>
      <c r="M40" s="19"/>
      <c r="P40" s="13"/>
    </row>
    <row r="41" spans="1:16">
      <c r="C41" s="2"/>
      <c r="J41" s="19"/>
      <c r="K41" s="12"/>
      <c r="L41" s="19"/>
      <c r="M41" s="19"/>
    </row>
    <row r="42" spans="1:16">
      <c r="C42" s="2"/>
      <c r="D42" s="8"/>
      <c r="E42" s="8"/>
      <c r="F42" s="8"/>
      <c r="J42" s="19"/>
      <c r="K42" s="19"/>
      <c r="L42" s="13"/>
      <c r="M42" s="19"/>
    </row>
    <row r="43" spans="1:16">
      <c r="C43" s="2"/>
      <c r="D43" s="1"/>
      <c r="E43" s="1"/>
      <c r="F43" s="1"/>
      <c r="J43" s="19"/>
      <c r="K43" s="19"/>
      <c r="L43" s="19"/>
      <c r="M43" s="19"/>
    </row>
    <row r="44" spans="1:16">
      <c r="A44" s="8"/>
      <c r="B44" s="2"/>
      <c r="C44" s="2"/>
      <c r="D44" s="1"/>
      <c r="J44" s="19"/>
      <c r="K44" s="19"/>
      <c r="L44" s="19"/>
      <c r="M44" s="19"/>
    </row>
    <row r="45" spans="1:16">
      <c r="A45" s="8"/>
      <c r="B45" s="2"/>
      <c r="C45" s="2"/>
      <c r="D45" s="1"/>
      <c r="E45" s="1"/>
      <c r="F45" s="1"/>
      <c r="J45" s="19"/>
      <c r="K45" s="19"/>
      <c r="L45" s="19"/>
      <c r="M45" s="19"/>
    </row>
    <row r="46" spans="1:16">
      <c r="A46" s="8"/>
      <c r="B46" s="2"/>
      <c r="C46" s="2"/>
      <c r="D46" s="1"/>
      <c r="E46" s="25"/>
      <c r="F46" s="1"/>
      <c r="J46" s="19"/>
      <c r="K46" s="19"/>
      <c r="L46" s="19"/>
      <c r="M46" s="19"/>
    </row>
    <row r="47" spans="1:16">
      <c r="A47" s="8"/>
      <c r="B47" s="2"/>
      <c r="C47" s="2"/>
      <c r="D47" s="1"/>
      <c r="E47" s="25"/>
      <c r="F47" s="1"/>
      <c r="J47" s="19"/>
      <c r="K47" s="19"/>
      <c r="L47" s="19"/>
      <c r="M47" s="19"/>
    </row>
    <row r="48" spans="1:16">
      <c r="A48" s="8"/>
      <c r="B48" s="2"/>
      <c r="C48" s="2"/>
      <c r="D48" s="1"/>
      <c r="E48" s="1"/>
      <c r="F48" s="1"/>
      <c r="J48" s="19"/>
      <c r="K48" s="19"/>
      <c r="L48" s="19"/>
      <c r="M48" s="19"/>
    </row>
    <row r="49" spans="1:13">
      <c r="A49" s="8"/>
      <c r="B49" s="2"/>
      <c r="C49" s="2"/>
      <c r="D49" s="1"/>
      <c r="E49" s="1"/>
      <c r="F49" s="1"/>
      <c r="J49" s="19"/>
      <c r="K49" s="19"/>
      <c r="L49" s="19"/>
      <c r="M49" s="19"/>
    </row>
    <row r="50" spans="1:13">
      <c r="A50" s="8"/>
      <c r="B50" s="2"/>
      <c r="C50" s="2"/>
      <c r="D50" s="1"/>
      <c r="E50" s="1"/>
      <c r="F50" s="1"/>
      <c r="J50" s="19"/>
      <c r="K50" s="19"/>
      <c r="L50" s="19"/>
      <c r="M50" s="19"/>
    </row>
    <row r="51" spans="1:13">
      <c r="A51" s="8"/>
      <c r="B51" s="2"/>
      <c r="C51" s="2"/>
      <c r="D51" s="1"/>
      <c r="E51" s="1"/>
      <c r="F51" s="1"/>
      <c r="J51" s="19"/>
      <c r="K51" s="19"/>
      <c r="L51" s="19"/>
      <c r="M51" s="19"/>
    </row>
    <row r="52" spans="1:13">
      <c r="A52" s="8"/>
      <c r="B52" s="2"/>
      <c r="C52" s="2"/>
      <c r="D52" s="1"/>
      <c r="E52" s="1"/>
      <c r="F52" s="1"/>
      <c r="J52" s="19"/>
      <c r="K52" s="19"/>
      <c r="L52" s="19"/>
      <c r="M52" s="19"/>
    </row>
    <row r="53" spans="1:13">
      <c r="A53" s="8"/>
      <c r="B53" s="2"/>
      <c r="C53" s="2"/>
      <c r="D53" s="1"/>
      <c r="E53" s="1"/>
      <c r="F53" s="1"/>
      <c r="J53" s="19"/>
      <c r="K53" s="19"/>
      <c r="L53" s="19"/>
      <c r="M53" s="19"/>
    </row>
    <row r="54" spans="1:13">
      <c r="A54" s="8"/>
      <c r="B54" s="2"/>
      <c r="C54" s="2"/>
      <c r="D54" s="1"/>
      <c r="E54" s="1"/>
      <c r="F54" s="1"/>
      <c r="J54" s="19"/>
      <c r="K54" s="19"/>
      <c r="L54" s="19"/>
      <c r="M54" s="19"/>
    </row>
    <row r="55" spans="1:13">
      <c r="A55" s="8"/>
      <c r="B55" s="2"/>
      <c r="C55" s="2"/>
      <c r="D55" s="1"/>
      <c r="E55" s="1"/>
      <c r="F55" s="1"/>
      <c r="J55" s="19"/>
      <c r="K55" s="19"/>
      <c r="L55" s="19"/>
      <c r="M55" s="19"/>
    </row>
    <row r="56" spans="1:13">
      <c r="A56" s="8"/>
      <c r="B56" s="2"/>
      <c r="C56" s="2"/>
      <c r="D56" s="1"/>
      <c r="E56" s="1"/>
      <c r="F56" s="1"/>
      <c r="J56" s="19"/>
      <c r="K56" s="19"/>
      <c r="L56" s="19"/>
      <c r="M56" s="19"/>
    </row>
    <row r="57" spans="1:13">
      <c r="A57" s="8"/>
      <c r="B57" s="2"/>
      <c r="C57" s="2"/>
      <c r="D57" s="1"/>
      <c r="E57" s="1"/>
      <c r="F57" s="1"/>
      <c r="J57" s="19"/>
      <c r="K57" s="19"/>
      <c r="L57" s="19"/>
      <c r="M57" s="19"/>
    </row>
    <row r="58" spans="1:13">
      <c r="A58" s="8"/>
      <c r="B58" s="2"/>
      <c r="C58" s="2"/>
      <c r="D58" s="1"/>
      <c r="E58" s="1"/>
      <c r="F58" s="1"/>
      <c r="J58" s="19"/>
      <c r="K58" s="19"/>
      <c r="L58" s="19"/>
      <c r="M58" s="19"/>
    </row>
    <row r="59" spans="1:13">
      <c r="A59" s="8"/>
      <c r="B59" s="2"/>
      <c r="C59" s="2"/>
      <c r="D59" s="1"/>
      <c r="E59" s="1"/>
      <c r="F59" s="1"/>
      <c r="J59" s="19"/>
      <c r="K59" s="19"/>
      <c r="L59" s="19"/>
      <c r="M59" s="19"/>
    </row>
    <row r="60" spans="1:13">
      <c r="A60" s="8"/>
      <c r="B60" s="2"/>
      <c r="C60" s="4"/>
      <c r="D60" s="1"/>
      <c r="E60" s="1"/>
      <c r="F60" s="1"/>
      <c r="J60" s="19"/>
      <c r="K60" s="19"/>
      <c r="L60" s="19"/>
      <c r="M60" s="19"/>
    </row>
    <row r="61" spans="1:13">
      <c r="A61" s="8"/>
      <c r="B61" s="2"/>
      <c r="D61" s="1"/>
      <c r="E61" s="1"/>
      <c r="F61" s="1"/>
      <c r="J61" s="19"/>
      <c r="K61" s="19"/>
      <c r="L61" s="19"/>
      <c r="M61" s="19"/>
    </row>
    <row r="62" spans="1:13">
      <c r="A62" s="8"/>
      <c r="B62" s="7"/>
      <c r="D62" s="1"/>
      <c r="E62" s="1"/>
      <c r="F62" s="1"/>
      <c r="J62" s="19"/>
      <c r="K62" s="19"/>
      <c r="L62" s="19"/>
      <c r="M62" s="19"/>
    </row>
    <row r="63" spans="1:13">
      <c r="A63" s="8"/>
      <c r="B63" s="8"/>
      <c r="D63" s="1"/>
      <c r="E63" s="1"/>
      <c r="F63" s="1"/>
      <c r="J63" s="19"/>
      <c r="K63" s="19"/>
      <c r="L63" s="19"/>
      <c r="M63" s="19"/>
    </row>
    <row r="64" spans="1:13">
      <c r="A64" s="8"/>
      <c r="B64" s="8"/>
      <c r="C64" s="8"/>
      <c r="D64" s="1"/>
      <c r="E64" s="1"/>
      <c r="F64" s="1"/>
      <c r="J64" s="19"/>
      <c r="K64" s="19"/>
      <c r="L64" s="19"/>
      <c r="M64" s="19"/>
    </row>
    <row r="65" spans="1:6">
      <c r="A65" s="8"/>
      <c r="B65" s="8"/>
      <c r="C65" s="2"/>
      <c r="D65" s="1"/>
      <c r="E65" s="1"/>
      <c r="F65" s="1"/>
    </row>
    <row r="66" spans="1:6">
      <c r="A66" s="8"/>
      <c r="C66" s="2"/>
      <c r="D66" s="1"/>
      <c r="E66" s="1"/>
      <c r="F66" s="1"/>
    </row>
    <row r="67" spans="1:6">
      <c r="C67" s="2"/>
      <c r="D67" s="3"/>
      <c r="E67" s="8"/>
    </row>
    <row r="68" spans="1:6">
      <c r="C68" s="2"/>
    </row>
    <row r="69" spans="1:6">
      <c r="B69" s="8"/>
      <c r="C69" s="2"/>
    </row>
    <row r="70" spans="1:6">
      <c r="A70" s="8"/>
      <c r="B70" s="8"/>
      <c r="C70" s="2"/>
    </row>
    <row r="71" spans="1:6">
      <c r="A71" s="8"/>
      <c r="B71" s="8"/>
      <c r="C71" s="2"/>
      <c r="D71" s="8"/>
    </row>
    <row r="72" spans="1:6">
      <c r="A72" s="8"/>
      <c r="B72" s="8"/>
      <c r="C72" s="2"/>
      <c r="D72" s="1"/>
    </row>
    <row r="73" spans="1:6">
      <c r="A73" s="8"/>
      <c r="B73" s="8"/>
      <c r="C73" s="2"/>
      <c r="D73" s="1"/>
    </row>
    <row r="74" spans="1:6">
      <c r="A74" s="8"/>
      <c r="B74" s="8"/>
      <c r="C74" s="2"/>
      <c r="D74" s="1"/>
    </row>
    <row r="75" spans="1:6">
      <c r="A75" s="8"/>
      <c r="B75" s="8"/>
      <c r="C75" s="2"/>
      <c r="D75" s="1"/>
    </row>
    <row r="76" spans="1:6">
      <c r="A76" s="8"/>
      <c r="B76" s="8"/>
      <c r="C76" s="2"/>
      <c r="D76" s="1"/>
    </row>
    <row r="77" spans="1:6">
      <c r="A77" s="8"/>
      <c r="B77" s="8"/>
      <c r="C77" s="2"/>
      <c r="D77" s="1"/>
    </row>
    <row r="78" spans="1:6">
      <c r="A78" s="8"/>
      <c r="B78" s="8"/>
      <c r="C78" s="2"/>
      <c r="D78" s="1"/>
    </row>
    <row r="79" spans="1:6">
      <c r="A79" s="8"/>
      <c r="B79" s="8"/>
      <c r="C79" s="2"/>
      <c r="D79" s="1"/>
    </row>
    <row r="80" spans="1:6">
      <c r="A80" s="8"/>
      <c r="B80" s="8"/>
      <c r="C80" s="5"/>
      <c r="D80" s="1"/>
    </row>
    <row r="81" spans="1:4">
      <c r="A81" s="8"/>
      <c r="B81" s="8"/>
      <c r="C81" s="2"/>
      <c r="D81" s="1"/>
    </row>
    <row r="82" spans="1:4">
      <c r="A82" s="8"/>
      <c r="B82" s="8"/>
      <c r="C82" s="2"/>
      <c r="D82" s="1"/>
    </row>
    <row r="83" spans="1:4">
      <c r="A83" s="8"/>
      <c r="B83" s="17"/>
      <c r="C83" s="2"/>
      <c r="D83" s="1"/>
    </row>
    <row r="84" spans="1:4">
      <c r="A84" s="17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C91" s="2"/>
      <c r="D91" s="1"/>
    </row>
    <row r="92" spans="1:4">
      <c r="A92" s="8"/>
      <c r="B92" s="8"/>
      <c r="C92" s="2"/>
      <c r="D92" s="1"/>
    </row>
    <row r="93" spans="1:4">
      <c r="A93" s="8"/>
      <c r="B93" s="8"/>
      <c r="C93" s="2"/>
      <c r="D93" s="1"/>
    </row>
    <row r="94" spans="1:4">
      <c r="A94" s="8"/>
      <c r="B94" s="8"/>
      <c r="C94" s="2"/>
      <c r="D94" s="1"/>
    </row>
    <row r="95" spans="1:4">
      <c r="A95" s="8"/>
      <c r="B95" s="8"/>
      <c r="D95" s="1"/>
    </row>
    <row r="96" spans="1:4">
      <c r="A96" s="8"/>
      <c r="B96" s="8"/>
      <c r="D96" s="1"/>
    </row>
    <row r="97" spans="1:4">
      <c r="A97" s="8"/>
      <c r="B97" s="8"/>
      <c r="D97" s="1"/>
    </row>
    <row r="98" spans="1:4">
      <c r="A98" s="8"/>
      <c r="B98" s="8"/>
      <c r="D98" s="1"/>
    </row>
    <row r="99" spans="1:4">
      <c r="A99" s="8"/>
      <c r="D99" s="1"/>
    </row>
    <row r="100" spans="1:4">
      <c r="D100" s="1"/>
    </row>
    <row r="101" spans="1:4">
      <c r="D101" s="6"/>
    </row>
  </sheetData>
  <mergeCells count="18">
    <mergeCell ref="C34:C36"/>
    <mergeCell ref="C9:C10"/>
    <mergeCell ref="C25:C26"/>
    <mergeCell ref="A32:A33"/>
    <mergeCell ref="A34:A36"/>
    <mergeCell ref="B34:B36"/>
    <mergeCell ref="B2:B4"/>
    <mergeCell ref="B19:B28"/>
    <mergeCell ref="A2:A28"/>
    <mergeCell ref="A29:A30"/>
    <mergeCell ref="C3:C4"/>
    <mergeCell ref="C5:C7"/>
    <mergeCell ref="B5:B10"/>
    <mergeCell ref="B12:B18"/>
    <mergeCell ref="C19:C20"/>
    <mergeCell ref="C21:C22"/>
    <mergeCell ref="C23:C24"/>
    <mergeCell ref="C27:C28"/>
  </mergeCells>
  <phoneticPr fontId="2" type="noConversion"/>
  <conditionalFormatting sqref="F45:F66 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43 E45 E48:E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养老金计划</vt:lpstr>
      <vt:lpstr>螺丝钉计划</vt:lpstr>
      <vt:lpstr>天天基金网</vt:lpstr>
      <vt:lpstr>持仓市值汇总</vt:lpstr>
      <vt:lpstr>资产配置情况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kangliquan</cp:lastModifiedBy>
  <dcterms:created xsi:type="dcterms:W3CDTF">2018-05-19T08:29:27Z</dcterms:created>
  <dcterms:modified xsi:type="dcterms:W3CDTF">2019-07-06T09:45:14Z</dcterms:modified>
</cp:coreProperties>
</file>