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549A795F-6841-43AB-975D-E9C9547E91D7}" xr6:coauthVersionLast="43" xr6:coauthVersionMax="43" xr10:uidLastSave="{00000000-0000-0000-0000-000000000000}"/>
  <bookViews>
    <workbookView xWindow="-120" yWindow="-120" windowWidth="38640" windowHeight="21240" tabRatio="711" xr2:uid="{00000000-000D-0000-FFFF-FFFF00000000}"/>
  </bookViews>
  <sheets>
    <sheet name="资产配置情况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8" i="11" l="1"/>
  <c r="I27" i="11"/>
  <c r="I26" i="11"/>
  <c r="I25" i="11"/>
  <c r="I24" i="11"/>
  <c r="I23" i="11"/>
  <c r="I22" i="11"/>
  <c r="I21" i="11"/>
  <c r="I20" i="11"/>
  <c r="I19" i="11"/>
  <c r="K8" i="11"/>
  <c r="H27" i="11"/>
  <c r="H26" i="11"/>
  <c r="H25" i="11"/>
  <c r="H24" i="11"/>
  <c r="H23" i="11"/>
  <c r="H22" i="11"/>
  <c r="H21" i="11"/>
  <c r="H20" i="11"/>
  <c r="H19" i="11"/>
  <c r="K6" i="11"/>
  <c r="F6" i="11"/>
  <c r="F7" i="11"/>
  <c r="F3" i="11" l="1"/>
  <c r="F4" i="11"/>
  <c r="F5" i="11"/>
  <c r="F8" i="11"/>
  <c r="F9" i="11"/>
  <c r="F10" i="11"/>
  <c r="F11" i="11"/>
  <c r="F12" i="11"/>
  <c r="F13" i="11"/>
  <c r="F14" i="11"/>
  <c r="F15" i="11"/>
  <c r="F16" i="11"/>
  <c r="F17" i="11"/>
  <c r="F18" i="11"/>
  <c r="F28" i="11"/>
  <c r="F29" i="11"/>
  <c r="F30" i="11"/>
  <c r="F31" i="11"/>
  <c r="F32" i="11"/>
  <c r="F33" i="11"/>
  <c r="F34" i="11"/>
  <c r="F35" i="11"/>
  <c r="F36" i="11"/>
  <c r="F22" i="11" l="1"/>
  <c r="L2" i="11" l="1"/>
  <c r="K2" i="11"/>
  <c r="F24" i="11"/>
  <c r="F23" i="11"/>
  <c r="F21" i="11"/>
  <c r="F20" i="11"/>
  <c r="F19" i="11"/>
  <c r="F27" i="11"/>
  <c r="L17" i="11"/>
  <c r="F2" i="11"/>
  <c r="F26" i="11" l="1"/>
  <c r="F25" i="11"/>
  <c r="L15" i="11" s="1"/>
  <c r="L16" i="11"/>
  <c r="F37" i="11" l="1"/>
  <c r="E20" i="11"/>
  <c r="C20" i="11" s="1"/>
  <c r="E23" i="11"/>
  <c r="E24" i="11"/>
  <c r="C24" i="11" s="1"/>
  <c r="E19" i="11"/>
  <c r="C19" i="11" s="1"/>
  <c r="E26" i="11"/>
  <c r="E3" i="11"/>
  <c r="E8" i="11"/>
  <c r="C8" i="11" s="1"/>
  <c r="E12" i="11"/>
  <c r="E15" i="11"/>
  <c r="E18" i="11"/>
  <c r="C18" i="11" s="1"/>
  <c r="E31" i="11"/>
  <c r="E34" i="11"/>
  <c r="E9" i="11"/>
  <c r="E13" i="11"/>
  <c r="E28" i="11"/>
  <c r="E32" i="11"/>
  <c r="E5" i="11"/>
  <c r="E10" i="11"/>
  <c r="E16" i="11"/>
  <c r="C16" i="11" s="1"/>
  <c r="E35" i="11"/>
  <c r="E29" i="11"/>
  <c r="E7" i="11"/>
  <c r="E11" i="11"/>
  <c r="E14" i="11"/>
  <c r="C14" i="11" s="1"/>
  <c r="E17" i="11"/>
  <c r="C17" i="11" s="1"/>
  <c r="E30" i="11"/>
  <c r="E33" i="11"/>
  <c r="E36" i="11"/>
  <c r="E2" i="11"/>
  <c r="E27" i="11" l="1"/>
  <c r="C27" i="11" s="1"/>
  <c r="L4" i="11"/>
  <c r="E4" i="11"/>
  <c r="C3" i="11" s="1"/>
  <c r="E6" i="11"/>
  <c r="B5" i="11" s="1"/>
  <c r="E21" i="11"/>
  <c r="C21" i="11" s="1"/>
  <c r="E25" i="11"/>
  <c r="E22" i="11"/>
  <c r="C22" i="11" s="1"/>
  <c r="B2" i="11"/>
  <c r="B12" i="11"/>
  <c r="C25" i="11"/>
  <c r="C15" i="11"/>
  <c r="C29" i="11"/>
  <c r="B29" i="11"/>
  <c r="C32" i="11"/>
  <c r="B32" i="11"/>
  <c r="A33" i="11"/>
  <c r="B33" i="11"/>
  <c r="C33" i="11"/>
  <c r="C11" i="11"/>
  <c r="B11" i="11"/>
  <c r="C28" i="11"/>
  <c r="A28" i="11"/>
  <c r="B28" i="11"/>
  <c r="C12" i="11"/>
  <c r="C2" i="11"/>
  <c r="C30" i="11"/>
  <c r="B30" i="11"/>
  <c r="A30" i="11"/>
  <c r="C13" i="11"/>
  <c r="B31" i="11"/>
  <c r="A31" i="11"/>
  <c r="C31" i="11"/>
  <c r="C5" i="11"/>
  <c r="C9" i="11"/>
  <c r="C36" i="11"/>
  <c r="B36" i="11"/>
  <c r="A36" i="11"/>
  <c r="E37" i="11"/>
  <c r="B19" i="11" l="1"/>
  <c r="A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</author>
  </authors>
  <commentList>
    <comment ref="G36" authorId="0" shapeId="0" xr:uid="{8772274C-E21A-48BF-A1A4-3076D8BD35AA}">
      <text>
        <r>
          <rPr>
            <b/>
            <sz val="9"/>
            <color indexed="81"/>
            <rFont val="宋体"/>
            <family val="3"/>
            <charset val="134"/>
          </rPr>
          <t>还剩多少本金，可以通过“计划收益”和天天基金APP里面的收益对比后，近似得出。</t>
        </r>
      </text>
    </comment>
  </commentList>
</comments>
</file>

<file path=xl/sharedStrings.xml><?xml version="1.0" encoding="utf-8"?>
<sst xmlns="http://schemas.openxmlformats.org/spreadsheetml/2006/main" count="63" uniqueCount="61">
  <si>
    <t>大类目</t>
    <rPh sb="0" eb="1">
      <t>da'lei'm</t>
    </rPh>
    <phoneticPr fontId="2" type="noConversion"/>
  </si>
  <si>
    <t>二级类目</t>
    <rPh sb="0" eb="1">
      <t>er'ji</t>
    </rPh>
    <rPh sb="2" eb="3">
      <t>lei'mu</t>
    </rPh>
    <phoneticPr fontId="2" type="noConversion"/>
  </si>
  <si>
    <t>品种</t>
    <rPh sb="0" eb="1">
      <t>pin'z</t>
    </rPh>
    <rPh sb="1" eb="2">
      <t>zhong</t>
    </rPh>
    <phoneticPr fontId="2" type="noConversion"/>
  </si>
  <si>
    <t>天天基金</t>
    <rPh sb="0" eb="1">
      <t>tian't'j'j</t>
    </rPh>
    <phoneticPr fontId="2" type="noConversion"/>
  </si>
  <si>
    <t>总市值</t>
    <rPh sb="0" eb="1">
      <t>zong'shi'zhi</t>
    </rPh>
    <phoneticPr fontId="2" type="noConversion"/>
  </si>
  <si>
    <t>总收益率</t>
    <rPh sb="0" eb="1">
      <t>zong</t>
    </rPh>
    <rPh sb="1" eb="2">
      <t>shou'yi'l</t>
    </rPh>
    <phoneticPr fontId="2" type="noConversion"/>
  </si>
  <si>
    <t>市值占比</t>
    <rPh sb="0" eb="1">
      <t>zui'x</t>
    </rPh>
    <rPh sb="2" eb="3">
      <t>zhan'bi</t>
    </rPh>
    <phoneticPr fontId="2" type="noConversion"/>
  </si>
  <si>
    <t>广发医药</t>
    <phoneticPr fontId="2" type="noConversion"/>
  </si>
  <si>
    <t>基金</t>
    <phoneticPr fontId="2" type="noConversion"/>
  </si>
  <si>
    <t>易方达创业板</t>
    <phoneticPr fontId="2" type="noConversion"/>
  </si>
  <si>
    <t>富国中证红利</t>
    <phoneticPr fontId="2" type="noConversion"/>
  </si>
  <si>
    <t>广发养老</t>
    <phoneticPr fontId="2" type="noConversion"/>
  </si>
  <si>
    <t>易方达消费</t>
    <phoneticPr fontId="2" type="noConversion"/>
  </si>
  <si>
    <t>广发金融地产</t>
    <phoneticPr fontId="2" type="noConversion"/>
  </si>
  <si>
    <t>华夏恒生</t>
    <phoneticPr fontId="2" type="noConversion"/>
  </si>
  <si>
    <t>交银海外互联网</t>
    <phoneticPr fontId="2" type="noConversion"/>
  </si>
  <si>
    <t>华安德国</t>
    <phoneticPr fontId="2" type="noConversion"/>
  </si>
  <si>
    <t>华宝油气</t>
    <phoneticPr fontId="2" type="noConversion"/>
  </si>
  <si>
    <t>兴全可转债</t>
    <phoneticPr fontId="2" type="noConversion"/>
  </si>
  <si>
    <t>长信可转债</t>
    <phoneticPr fontId="2" type="noConversion"/>
  </si>
  <si>
    <t>易方达安心债</t>
    <phoneticPr fontId="2" type="noConversion"/>
  </si>
  <si>
    <t>南方天天利</t>
    <phoneticPr fontId="2" type="noConversion"/>
  </si>
  <si>
    <t>华夏上证50</t>
    <phoneticPr fontId="2" type="noConversion"/>
  </si>
  <si>
    <t>养老金计划本金</t>
    <rPh sb="0" eb="1">
      <t>di'san'ci</t>
    </rPh>
    <rPh sb="2" eb="3">
      <t>lun</t>
    </rPh>
    <rPh sb="3" eb="4">
      <t>ji'h</t>
    </rPh>
    <phoneticPr fontId="2" type="noConversion"/>
  </si>
  <si>
    <t>富国沪深300</t>
    <phoneticPr fontId="2" type="noConversion"/>
  </si>
  <si>
    <t>富国中证500</t>
    <phoneticPr fontId="2" type="noConversion"/>
  </si>
  <si>
    <t>华宝中证1000</t>
    <phoneticPr fontId="2" type="noConversion"/>
  </si>
  <si>
    <t>广发创业板</t>
    <phoneticPr fontId="2" type="noConversion"/>
  </si>
  <si>
    <t>广发中证传媒</t>
    <phoneticPr fontId="2" type="noConversion"/>
  </si>
  <si>
    <t>广发中证环保</t>
    <phoneticPr fontId="2" type="noConversion"/>
  </si>
  <si>
    <t>易方达证券公司</t>
    <phoneticPr fontId="2" type="noConversion"/>
  </si>
  <si>
    <t>华安黄金</t>
    <phoneticPr fontId="2" type="noConversion"/>
  </si>
  <si>
    <t>老爸蛋卷</t>
    <phoneticPr fontId="2" type="noConversion"/>
  </si>
  <si>
    <t>老妈蛋卷</t>
    <rPh sb="0" eb="1">
      <t>tian't'j'j</t>
    </rPh>
    <phoneticPr fontId="2" type="noConversion"/>
  </si>
  <si>
    <t>华宝香港中小</t>
    <phoneticPr fontId="2" type="noConversion"/>
  </si>
  <si>
    <t>华夏上证50AH优选</t>
    <phoneticPr fontId="2" type="noConversion"/>
  </si>
  <si>
    <t>大成中证红利指数</t>
    <phoneticPr fontId="2" type="noConversion"/>
  </si>
  <si>
    <t>景顺长城中证500低波动</t>
    <phoneticPr fontId="2" type="noConversion"/>
  </si>
  <si>
    <t>申万菱信沪深300价值</t>
    <phoneticPr fontId="2" type="noConversion"/>
  </si>
  <si>
    <t>银河沪深300价值</t>
    <phoneticPr fontId="2" type="noConversion"/>
  </si>
  <si>
    <t>嘉实深证基本面120</t>
    <phoneticPr fontId="2" type="noConversion"/>
  </si>
  <si>
    <t>老妈蛋卷投入</t>
    <phoneticPr fontId="2" type="noConversion"/>
  </si>
  <si>
    <t>老爸蛋卷投入</t>
    <phoneticPr fontId="2" type="noConversion"/>
  </si>
  <si>
    <t>老妈货币基金</t>
    <phoneticPr fontId="2" type="noConversion"/>
  </si>
  <si>
    <t>老爸货币基金</t>
    <phoneticPr fontId="2" type="noConversion"/>
  </si>
  <si>
    <t>货基收益</t>
    <phoneticPr fontId="2" type="noConversion"/>
  </si>
  <si>
    <t>权益类资金综合</t>
    <rPh sb="0" eb="1">
      <t>zi'j</t>
    </rPh>
    <rPh sb="2" eb="3">
      <t>ji'shu</t>
    </rPh>
    <phoneticPr fontId="2" type="noConversion"/>
  </si>
  <si>
    <t>总资金</t>
    <phoneticPr fontId="2" type="noConversion"/>
  </si>
  <si>
    <t>权益类</t>
    <phoneticPr fontId="2" type="noConversion"/>
  </si>
  <si>
    <t>低风险</t>
    <phoneticPr fontId="2" type="noConversion"/>
  </si>
  <si>
    <t>债券类</t>
    <phoneticPr fontId="2" type="noConversion"/>
  </si>
  <si>
    <t>占比</t>
    <phoneticPr fontId="2" type="noConversion"/>
  </si>
  <si>
    <t>资产分类</t>
    <phoneticPr fontId="2" type="noConversion"/>
  </si>
  <si>
    <t>老妈蛋卷收益</t>
    <phoneticPr fontId="2" type="noConversion"/>
  </si>
  <si>
    <t>老爸蛋卷收益益</t>
    <phoneticPr fontId="2" type="noConversion"/>
  </si>
  <si>
    <t>计划收益</t>
    <phoneticPr fontId="2" type="noConversion"/>
  </si>
  <si>
    <t>华夏沪深300</t>
    <phoneticPr fontId="2" type="noConversion"/>
  </si>
  <si>
    <t>华宝红利基金</t>
    <phoneticPr fontId="2" type="noConversion"/>
  </si>
  <si>
    <t>天弘中证医药100A</t>
    <phoneticPr fontId="2" type="noConversion"/>
  </si>
  <si>
    <t>广发中证500C</t>
    <phoneticPr fontId="2" type="noConversion"/>
  </si>
  <si>
    <t>广发中证500A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</si>
</sst>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10" fontId="9" fillId="0" borderId="0" xfId="1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</cellXfs>
  <cellStyles count="50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</cellStyles>
  <dxfs count="0"/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资产配置情况!$L$14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4-49C2-A4D3-A8345C29E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8-41B3-BFE2-9C3E04C8E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4-49C2-A4D3-A8345C29EC0E}"/>
              </c:ext>
            </c:extLst>
          </c:dPt>
          <c:dLbls>
            <c:dLbl>
              <c:idx val="1"/>
              <c:layout>
                <c:manualLayout>
                  <c:x val="2.110795961099814E-2"/>
                  <c:y val="2.9602551110358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68-41B3-BFE2-9C3E04C8E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资产配置情况!$K$15:$K$17</c:f>
              <c:strCache>
                <c:ptCount val="3"/>
                <c:pt idx="0">
                  <c:v>权益类</c:v>
                </c:pt>
                <c:pt idx="1">
                  <c:v>债券类</c:v>
                </c:pt>
                <c:pt idx="2">
                  <c:v>低风险</c:v>
                </c:pt>
              </c:strCache>
            </c:strRef>
          </c:cat>
          <c:val>
            <c:numRef>
              <c:f>资产配置情况!$L$15:$L$17</c:f>
              <c:numCache>
                <c:formatCode>0.00%</c:formatCode>
                <c:ptCount val="3"/>
                <c:pt idx="0">
                  <c:v>7.6017199274085401E-2</c:v>
                </c:pt>
                <c:pt idx="1">
                  <c:v>5.057454961659982E-3</c:v>
                </c:pt>
                <c:pt idx="2">
                  <c:v>0.92468919267269389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8-41B3-BFE2-9C3E04C8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17</xdr:row>
      <xdr:rowOff>52387</xdr:rowOff>
    </xdr:from>
    <xdr:to>
      <xdr:col>11</xdr:col>
      <xdr:colOff>933450</xdr:colOff>
      <xdr:row>29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47BABB-C731-4315-83CB-6EBDFF61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1" zoomScaleNormal="100" workbookViewId="0">
      <pane ySplit="1" topLeftCell="A2" activePane="bottomLeft" state="frozen"/>
      <selection pane="bottomLeft" activeCell="J39" sqref="J39"/>
    </sheetView>
  </sheetViews>
  <sheetFormatPr defaultColWidth="21.25" defaultRowHeight="14.25"/>
  <cols>
    <col min="1" max="1" width="15.25" style="9" bestFit="1" customWidth="1"/>
    <col min="2" max="3" width="17.375" style="9" bestFit="1" customWidth="1"/>
    <col min="4" max="4" width="22.625" style="9" bestFit="1" customWidth="1"/>
    <col min="5" max="5" width="9" style="9" bestFit="1" customWidth="1"/>
    <col min="6" max="6" width="8.875" style="9" bestFit="1" customWidth="1"/>
    <col min="7" max="9" width="9" style="9" bestFit="1" customWidth="1"/>
    <col min="10" max="10" width="21.25" style="9"/>
    <col min="11" max="12" width="15.125" style="9" bestFit="1" customWidth="1"/>
    <col min="13" max="16384" width="21.25" style="9"/>
  </cols>
  <sheetData>
    <row r="1" spans="1:15">
      <c r="A1" s="8" t="s">
        <v>0</v>
      </c>
      <c r="B1" s="8" t="s">
        <v>1</v>
      </c>
      <c r="C1" s="8" t="s">
        <v>2</v>
      </c>
      <c r="D1" s="8" t="s">
        <v>8</v>
      </c>
      <c r="E1" s="8" t="s">
        <v>6</v>
      </c>
      <c r="F1" s="8" t="s">
        <v>4</v>
      </c>
      <c r="G1" s="18" t="s">
        <v>3</v>
      </c>
      <c r="H1" s="8" t="s">
        <v>33</v>
      </c>
      <c r="I1" s="8" t="s">
        <v>32</v>
      </c>
      <c r="K1" s="18" t="s">
        <v>46</v>
      </c>
      <c r="L1" s="18" t="s">
        <v>47</v>
      </c>
      <c r="M1" s="17"/>
      <c r="N1" s="8"/>
    </row>
    <row r="2" spans="1:15">
      <c r="A2" s="24" t="str">
        <f>"A股"&amp;" , "&amp;TEXT(SUM(E2:E27),"0.00%")</f>
        <v>A股 , 69.58%</v>
      </c>
      <c r="B2" s="24" t="str">
        <f>"大盘股"&amp;" , "&amp;TEXT(SUM(E2:E4),"0.00%")</f>
        <v>大盘股 , 7.36%</v>
      </c>
      <c r="C2" s="20" t="str">
        <f>"上证50"&amp;" , "&amp;TEXT(SUM(E2:E2),"0.00%")</f>
        <v>上证50 , 1.62%</v>
      </c>
      <c r="D2" s="10" t="s">
        <v>22</v>
      </c>
      <c r="E2" s="11">
        <f>F2/$F$37</f>
        <v>1.6202666664073787E-2</v>
      </c>
      <c r="F2" s="2">
        <f>SUM(G2:I2)</f>
        <v>1333.1</v>
      </c>
      <c r="G2" s="2">
        <v>1333.1</v>
      </c>
      <c r="H2" s="2"/>
      <c r="I2" s="2"/>
      <c r="K2" s="18">
        <f>K4+K6+K8</f>
        <v>77500.789999999994</v>
      </c>
      <c r="L2" s="18">
        <f>$K$4+$K$6+$K$8+$K$10+$K$12</f>
        <v>828576.83000000007</v>
      </c>
      <c r="M2" s="17"/>
      <c r="N2" s="8"/>
    </row>
    <row r="3" spans="1:15">
      <c r="A3" s="24"/>
      <c r="B3" s="24"/>
      <c r="C3" s="24" t="str">
        <f>"沪深300"&amp;" , "&amp;TEXT(SUM(E3:E4),"0.00%")</f>
        <v>沪深300 , 5.74%</v>
      </c>
      <c r="D3" s="10" t="s">
        <v>24</v>
      </c>
      <c r="E3" s="11">
        <f>F3/$F$37</f>
        <v>5.2358155868899768E-2</v>
      </c>
      <c r="F3" s="2">
        <f t="shared" ref="F3:F36" si="0">SUM(G3:I3)</f>
        <v>4307.8500000000004</v>
      </c>
      <c r="G3" s="2">
        <v>4307.8500000000004</v>
      </c>
      <c r="I3" s="2"/>
      <c r="K3" s="18" t="s">
        <v>23</v>
      </c>
      <c r="L3" s="18" t="s">
        <v>55</v>
      </c>
      <c r="M3" s="8"/>
      <c r="N3" s="1"/>
    </row>
    <row r="4" spans="1:15">
      <c r="A4" s="24"/>
      <c r="B4" s="24"/>
      <c r="C4" s="24"/>
      <c r="D4" s="22" t="s">
        <v>56</v>
      </c>
      <c r="E4" s="11">
        <f>F4/$F$37</f>
        <v>5.025974584748176E-3</v>
      </c>
      <c r="F4" s="2">
        <f t="shared" si="0"/>
        <v>413.52</v>
      </c>
      <c r="G4" s="2">
        <v>413.52</v>
      </c>
      <c r="K4" s="18">
        <v>72000</v>
      </c>
      <c r="L4" s="18">
        <f>F37-SUM(F19:F27)-K4</f>
        <v>4848.7199999999866</v>
      </c>
      <c r="M4" s="8"/>
      <c r="N4" s="1"/>
    </row>
    <row r="5" spans="1:15">
      <c r="A5" s="24"/>
      <c r="B5" s="24" t="str">
        <f>"中小盘股"&amp;" , "&amp;TEXT(SUM(E5:E10),"0.00%")</f>
        <v>中小盘股 , 21.18%</v>
      </c>
      <c r="C5" s="24" t="str">
        <f>"中证500"&amp;" , "&amp;TEXT(SUM(E5:E7),"0.00%")</f>
        <v>中证500 , 16.83%</v>
      </c>
      <c r="D5" s="10" t="s">
        <v>60</v>
      </c>
      <c r="E5" s="11">
        <f>F5/$F$37</f>
        <v>0.12433331575036299</v>
      </c>
      <c r="F5" s="2">
        <f t="shared" si="0"/>
        <v>10229.719999999999</v>
      </c>
      <c r="G5" s="2">
        <v>10229.719999999999</v>
      </c>
      <c r="H5" s="2"/>
      <c r="I5" s="2"/>
      <c r="K5" s="18" t="s">
        <v>41</v>
      </c>
      <c r="L5" s="18" t="s">
        <v>53</v>
      </c>
    </row>
    <row r="6" spans="1:15">
      <c r="A6" s="24"/>
      <c r="B6" s="24"/>
      <c r="C6" s="24"/>
      <c r="D6" s="23" t="s">
        <v>59</v>
      </c>
      <c r="E6" s="11">
        <f>F6/$F$37</f>
        <v>5.072160267235221E-3</v>
      </c>
      <c r="F6" s="2">
        <f t="shared" si="0"/>
        <v>417.32</v>
      </c>
      <c r="G6" s="2">
        <v>417.32</v>
      </c>
      <c r="H6" s="2"/>
      <c r="I6" s="2"/>
      <c r="K6" s="18">
        <f>2942.21-L6</f>
        <v>2988.4</v>
      </c>
      <c r="L6" s="18">
        <v>-46.19</v>
      </c>
      <c r="N6" s="12"/>
      <c r="O6" s="12"/>
    </row>
    <row r="7" spans="1:15">
      <c r="A7" s="24"/>
      <c r="B7" s="24"/>
      <c r="C7" s="24"/>
      <c r="D7" s="10" t="s">
        <v>25</v>
      </c>
      <c r="E7" s="11">
        <f>F7/$F$37</f>
        <v>3.8941093565143331E-2</v>
      </c>
      <c r="F7" s="2">
        <f>SUM(G7:I7)</f>
        <v>3203.94</v>
      </c>
      <c r="G7" s="2">
        <v>3203.94</v>
      </c>
      <c r="H7" s="2"/>
      <c r="I7" s="2"/>
      <c r="K7" s="18" t="s">
        <v>42</v>
      </c>
      <c r="L7" s="18" t="s">
        <v>54</v>
      </c>
      <c r="O7" s="13"/>
    </row>
    <row r="8" spans="1:15">
      <c r="A8" s="24"/>
      <c r="B8" s="24"/>
      <c r="C8" s="20" t="str">
        <f>"中证1000"&amp;" , "&amp;TEXT(SUM(E8:E8),"0.00%")</f>
        <v>中证1000 , 1.49%</v>
      </c>
      <c r="D8" s="10" t="s">
        <v>26</v>
      </c>
      <c r="E8" s="11">
        <f>F8/$F$37</f>
        <v>1.4876408329077365E-2</v>
      </c>
      <c r="F8" s="2">
        <f t="shared" si="0"/>
        <v>1223.98</v>
      </c>
      <c r="G8" s="2">
        <v>1223.98</v>
      </c>
      <c r="I8" s="2"/>
      <c r="K8" s="18">
        <f>2485.65-L8</f>
        <v>2512.39</v>
      </c>
      <c r="L8" s="18">
        <v>-26.74</v>
      </c>
      <c r="N8" s="12"/>
      <c r="O8" s="12"/>
    </row>
    <row r="9" spans="1:15">
      <c r="A9" s="24"/>
      <c r="B9" s="24"/>
      <c r="C9" s="24" t="str">
        <f>"创业板"&amp;" , "&amp;TEXT(SUM(E9:E10),"0.00%")</f>
        <v>创业板 , 2.86%</v>
      </c>
      <c r="D9" s="10" t="s">
        <v>27</v>
      </c>
      <c r="E9" s="11">
        <f>F9/$F$37</f>
        <v>5.192850748050053E-3</v>
      </c>
      <c r="F9" s="2">
        <f t="shared" si="0"/>
        <v>427.25</v>
      </c>
      <c r="G9" s="2">
        <v>427.25</v>
      </c>
      <c r="H9" s="14"/>
      <c r="I9" s="2"/>
      <c r="K9" s="18" t="s">
        <v>43</v>
      </c>
      <c r="L9" s="18" t="s">
        <v>45</v>
      </c>
      <c r="O9" s="13"/>
    </row>
    <row r="10" spans="1:15">
      <c r="A10" s="24"/>
      <c r="B10" s="24"/>
      <c r="C10" s="24"/>
      <c r="D10" s="10" t="s">
        <v>9</v>
      </c>
      <c r="E10" s="11">
        <f>F10/$F$37</f>
        <v>2.338551262096699E-2</v>
      </c>
      <c r="F10" s="2">
        <f t="shared" si="0"/>
        <v>1924.08</v>
      </c>
      <c r="G10" s="2">
        <v>1924.08</v>
      </c>
      <c r="H10" s="2"/>
      <c r="I10" s="2"/>
      <c r="K10" s="18">
        <v>614446.73</v>
      </c>
      <c r="L10" s="25">
        <v>22433.58</v>
      </c>
      <c r="N10" s="12"/>
      <c r="O10" s="12"/>
    </row>
    <row r="11" spans="1:15">
      <c r="A11" s="24"/>
      <c r="B11" s="23" t="str">
        <f>"红利价值"&amp;" , "&amp;TEXT(SUM(E11:E11),"0.00%")</f>
        <v>红利价值 , 11.32%</v>
      </c>
      <c r="C11" s="20" t="str">
        <f>"中证红利"&amp;" , "&amp;TEXT(SUM(E11:E11),"0.00%")</f>
        <v>中证红利 , 11.32%</v>
      </c>
      <c r="D11" s="10" t="s">
        <v>10</v>
      </c>
      <c r="E11" s="11">
        <f>F11/$F$37</f>
        <v>0.11323562549634417</v>
      </c>
      <c r="F11" s="2">
        <f t="shared" si="0"/>
        <v>9316.64</v>
      </c>
      <c r="G11" s="2">
        <v>9316.64</v>
      </c>
      <c r="H11" s="2"/>
      <c r="I11" s="2"/>
      <c r="K11" s="18" t="s">
        <v>44</v>
      </c>
      <c r="L11" s="18" t="s">
        <v>45</v>
      </c>
      <c r="O11" s="13"/>
    </row>
    <row r="12" spans="1:15">
      <c r="A12" s="24"/>
      <c r="B12" s="24" t="str">
        <f>"行业股"&amp;" , "&amp;TEXT(SUM(E12:E18),"0.00%")</f>
        <v>行业股 , 23.12%</v>
      </c>
      <c r="C12" s="20" t="str">
        <f>"养老产业"&amp;" , "&amp;TEXT(SUM(E12:E12),"0.00%")</f>
        <v>养老产业 , 6.89%</v>
      </c>
      <c r="D12" s="10" t="s">
        <v>11</v>
      </c>
      <c r="E12" s="11">
        <f>F12/$F$37</f>
        <v>6.8944528321425141E-2</v>
      </c>
      <c r="F12" s="2">
        <f t="shared" si="0"/>
        <v>5672.52</v>
      </c>
      <c r="G12" s="2">
        <v>5672.52</v>
      </c>
      <c r="I12" s="2"/>
      <c r="K12" s="18">
        <v>136629.31</v>
      </c>
      <c r="L12" s="25">
        <v>3406.66</v>
      </c>
      <c r="N12" s="12"/>
      <c r="O12" s="12"/>
    </row>
    <row r="13" spans="1:15">
      <c r="A13" s="24"/>
      <c r="B13" s="24"/>
      <c r="C13" s="20" t="str">
        <f>"全指医药"&amp;" , "&amp;TEXT(SUM(E13:E13),"0.00%")</f>
        <v>全指医药 , 6.26%</v>
      </c>
      <c r="D13" s="20" t="s">
        <v>7</v>
      </c>
      <c r="E13" s="11">
        <f>F13/$F$37</f>
        <v>6.2648569009552915E-2</v>
      </c>
      <c r="F13" s="2">
        <f t="shared" si="0"/>
        <v>5154.51</v>
      </c>
      <c r="G13" s="2">
        <v>5154.51</v>
      </c>
      <c r="H13" s="2"/>
      <c r="I13" s="2"/>
      <c r="O13" s="13"/>
    </row>
    <row r="14" spans="1:15">
      <c r="A14" s="24"/>
      <c r="B14" s="24"/>
      <c r="C14" s="20" t="str">
        <f>"中证传媒"&amp;" , "&amp;TEXT(SUM(E14:E14),"0.00%")</f>
        <v>中证传媒 , 4.05%</v>
      </c>
      <c r="D14" s="10" t="s">
        <v>28</v>
      </c>
      <c r="E14" s="11">
        <f>F14/$F$37</f>
        <v>4.0526842510955126E-2</v>
      </c>
      <c r="F14" s="2">
        <f t="shared" si="0"/>
        <v>3334.41</v>
      </c>
      <c r="G14" s="2">
        <v>3334.41</v>
      </c>
      <c r="H14" s="2"/>
      <c r="K14" s="18" t="s">
        <v>52</v>
      </c>
      <c r="L14" s="18" t="s">
        <v>51</v>
      </c>
      <c r="N14" s="12"/>
      <c r="O14" s="12"/>
    </row>
    <row r="15" spans="1:15">
      <c r="A15" s="24"/>
      <c r="B15" s="24"/>
      <c r="C15" s="20" t="str">
        <f>"中证环保"&amp;" , "&amp;TEXT(SUM(E15:E15),"0.00%")</f>
        <v>中证环保 , 4.08%</v>
      </c>
      <c r="D15" s="10" t="s">
        <v>29</v>
      </c>
      <c r="E15" s="11">
        <f>F15/$F$37</f>
        <v>4.0756312428153925E-2</v>
      </c>
      <c r="F15" s="2">
        <f t="shared" si="0"/>
        <v>3353.29</v>
      </c>
      <c r="G15" s="2">
        <v>3353.29</v>
      </c>
      <c r="I15" s="2"/>
      <c r="K15" s="18" t="s">
        <v>48</v>
      </c>
      <c r="L15" s="1">
        <f>SUM($F$2:$F$32)/($K$2+$K$10+K$12)</f>
        <v>7.6017199274085401E-2</v>
      </c>
      <c r="O15" s="13"/>
    </row>
    <row r="16" spans="1:15">
      <c r="A16" s="24"/>
      <c r="B16" s="24"/>
      <c r="C16" s="20" t="str">
        <f>"全指消费"&amp;" , "&amp;TEXT(SUM(E16:E16),"0.00%")</f>
        <v>全指消费 , 0.00%</v>
      </c>
      <c r="D16" s="10" t="s">
        <v>12</v>
      </c>
      <c r="E16" s="11">
        <f>F16/$F$37</f>
        <v>0</v>
      </c>
      <c r="F16" s="2">
        <f t="shared" si="0"/>
        <v>0</v>
      </c>
      <c r="G16" s="2">
        <v>0</v>
      </c>
      <c r="H16" s="2"/>
      <c r="K16" s="18" t="s">
        <v>50</v>
      </c>
      <c r="L16" s="1">
        <f>SUM($F$33:$F$35)/($K$2+$K$10+K$12)</f>
        <v>5.057454961659982E-3</v>
      </c>
      <c r="M16" s="2"/>
      <c r="N16" s="12"/>
      <c r="O16" s="12"/>
    </row>
    <row r="17" spans="1:15" s="19" customFormat="1">
      <c r="A17" s="24"/>
      <c r="B17" s="24"/>
      <c r="C17" s="20" t="str">
        <f>"金融地产"&amp;" , "&amp;TEXT(SUM(E17:E17),"0.00%")</f>
        <v>金融地产 , 1.19%</v>
      </c>
      <c r="D17" s="10" t="s">
        <v>13</v>
      </c>
      <c r="E17" s="11">
        <f>F17/$F$37</f>
        <v>1.1940943583216514E-2</v>
      </c>
      <c r="F17" s="2">
        <f t="shared" si="0"/>
        <v>982.46</v>
      </c>
      <c r="G17" s="2">
        <v>982.46</v>
      </c>
      <c r="H17" s="14"/>
      <c r="I17" s="2"/>
      <c r="K17" s="18" t="s">
        <v>49</v>
      </c>
      <c r="L17" s="1">
        <f>(F36+SUM($K$10:$K$12))/($K$2+$K$10+K$12)</f>
        <v>0.92468919267269389</v>
      </c>
      <c r="M17" s="9"/>
      <c r="N17" s="12"/>
      <c r="O17" s="12"/>
    </row>
    <row r="18" spans="1:15">
      <c r="A18" s="24"/>
      <c r="B18" s="24"/>
      <c r="C18" s="20" t="str">
        <f>"证券公司"&amp;" , "&amp;TEXT(SUM(E18:E18),"0.00%")</f>
        <v>证券公司 , 0.64%</v>
      </c>
      <c r="D18" s="10" t="s">
        <v>30</v>
      </c>
      <c r="E18" s="11">
        <f>F18/$F$37</f>
        <v>6.4134897196747847E-3</v>
      </c>
      <c r="F18" s="2">
        <f t="shared" si="0"/>
        <v>527.67999999999995</v>
      </c>
      <c r="G18" s="2">
        <v>527.67999999999995</v>
      </c>
      <c r="H18" s="19"/>
      <c r="I18" s="19"/>
      <c r="K18" s="19"/>
      <c r="L18" s="19"/>
      <c r="N18" s="12"/>
      <c r="O18" s="13"/>
    </row>
    <row r="19" spans="1:15">
      <c r="A19" s="24"/>
      <c r="B19" s="24" t="str">
        <f>"螺丝钉定投"&amp;" , "&amp;TEXT(SUM(E19:E27),"0.00%")</f>
        <v>螺丝钉定投 , 6.60%</v>
      </c>
      <c r="C19" s="21" t="str">
        <f>"医药"&amp;" , "&amp;TEXT(SUM(E19:E19),"0.00%")</f>
        <v>医药 , 0.27%</v>
      </c>
      <c r="D19" s="20" t="s">
        <v>58</v>
      </c>
      <c r="E19" s="11">
        <f>F19/$F$37</f>
        <v>2.7249676153286882E-3</v>
      </c>
      <c r="F19" s="2">
        <f t="shared" si="0"/>
        <v>224.20101600000001</v>
      </c>
      <c r="G19" s="2"/>
      <c r="H19" s="2">
        <f>($K$6 + $L$6) * 0.0381</f>
        <v>112.098201</v>
      </c>
      <c r="I19" s="2">
        <f xml:space="preserve"> ($K$8 + $L$8) * 0.0451</f>
        <v>112.10281500000001</v>
      </c>
      <c r="K19" s="19"/>
      <c r="L19" s="19"/>
      <c r="M19" s="19"/>
      <c r="N19" s="12"/>
    </row>
    <row r="20" spans="1:15">
      <c r="A20" s="24"/>
      <c r="B20" s="24"/>
      <c r="C20" s="21" t="str">
        <f>"香港中小"&amp;" , "&amp;TEXT(SUM(E20:E20),"0.00%")</f>
        <v>香港中小 , 1.32%</v>
      </c>
      <c r="D20" s="20" t="s">
        <v>34</v>
      </c>
      <c r="E20" s="11">
        <f>F20/$F$37</f>
        <v>1.3215944282078815E-2</v>
      </c>
      <c r="F20" s="2">
        <f t="shared" si="0"/>
        <v>1087.362697</v>
      </c>
      <c r="G20" s="2"/>
      <c r="H20" s="2">
        <f>($K$6 + $L$6) * 0.2012</f>
        <v>591.97265199999993</v>
      </c>
      <c r="I20" s="2">
        <f xml:space="preserve"> ($K$8 + $L$8) * 0.1993</f>
        <v>495.39004500000004</v>
      </c>
      <c r="K20" s="19"/>
      <c r="L20" s="19"/>
      <c r="N20" s="12"/>
      <c r="O20" s="13"/>
    </row>
    <row r="21" spans="1:15">
      <c r="A21" s="24"/>
      <c r="B21" s="24"/>
      <c r="C21" s="21" t="str">
        <f>"上证50AH"&amp;" , "&amp;TEXT(SUM(E21:E21),"0.00%")</f>
        <v>上证50AH , 0.32%</v>
      </c>
      <c r="D21" s="20" t="s">
        <v>35</v>
      </c>
      <c r="E21" s="11">
        <f>F21/$F$37</f>
        <v>3.2072358744128652E-3</v>
      </c>
      <c r="F21" s="2">
        <f t="shared" si="0"/>
        <v>263.88039900000001</v>
      </c>
      <c r="G21" s="2"/>
      <c r="H21" s="2">
        <f>($K$6 + $L$6) * 0.0624</f>
        <v>183.59390399999998</v>
      </c>
      <c r="I21" s="2">
        <f xml:space="preserve"> ($K$8 + $L$8) * 0.0323</f>
        <v>80.286495000000002</v>
      </c>
      <c r="K21" s="19"/>
      <c r="L21" s="19"/>
      <c r="N21" s="12"/>
    </row>
    <row r="22" spans="1:15">
      <c r="A22" s="24"/>
      <c r="B22" s="24"/>
      <c r="C22" s="24" t="str">
        <f>"中证红利"&amp;" , "&amp;TEXT(SUM(E22:E23),"0.00%")</f>
        <v>中证红利 , 1.74%</v>
      </c>
      <c r="D22" s="22" t="s">
        <v>57</v>
      </c>
      <c r="E22" s="11">
        <f>F22/$F$37</f>
        <v>5.2430828918751853E-3</v>
      </c>
      <c r="F22" s="2">
        <f t="shared" si="0"/>
        <v>431.38292899999999</v>
      </c>
      <c r="G22" s="2"/>
      <c r="H22" s="2">
        <f>($K$6 + $L$6) * 0.0754</f>
        <v>221.84263399999998</v>
      </c>
      <c r="I22" s="2">
        <f xml:space="preserve"> ($K$8 + $L$8) * 0.0843</f>
        <v>209.54029500000001</v>
      </c>
      <c r="K22" s="19"/>
      <c r="L22" s="19"/>
      <c r="O22" s="13"/>
    </row>
    <row r="23" spans="1:15">
      <c r="A23" s="24"/>
      <c r="B23" s="24"/>
      <c r="C23" s="24"/>
      <c r="D23" s="20" t="s">
        <v>36</v>
      </c>
      <c r="E23" s="11">
        <f>F23/$F$37</f>
        <v>1.2192471685138106E-2</v>
      </c>
      <c r="F23" s="2">
        <f t="shared" si="0"/>
        <v>1003.1548720000001</v>
      </c>
      <c r="G23" s="2"/>
      <c r="H23" s="2">
        <f>($K$6 + $L$6) * 0.1937</f>
        <v>569.9060770000001</v>
      </c>
      <c r="I23" s="2">
        <f xml:space="preserve"> ($K$8 + $L$8) * 0.1743</f>
        <v>433.24879500000003</v>
      </c>
      <c r="K23" s="20"/>
      <c r="L23" s="2"/>
      <c r="M23" s="2"/>
      <c r="N23" s="12"/>
      <c r="O23" s="12"/>
    </row>
    <row r="24" spans="1:15">
      <c r="A24" s="24"/>
      <c r="B24" s="24"/>
      <c r="C24" s="21" t="str">
        <f>"500低波动"&amp;" , "&amp;TEXT(SUM(E24:E24),"0.00%")</f>
        <v>500低波动 , 0.82%</v>
      </c>
      <c r="D24" s="20" t="s">
        <v>37</v>
      </c>
      <c r="E24" s="11">
        <f>F24/$F$37</f>
        <v>8.212143552879813E-3</v>
      </c>
      <c r="F24" s="2">
        <f t="shared" si="0"/>
        <v>675.66708600000004</v>
      </c>
      <c r="G24" s="2"/>
      <c r="H24" s="2">
        <f>($K$6 + $L$6) * 0.1221</f>
        <v>359.24384100000003</v>
      </c>
      <c r="I24" s="2">
        <f xml:space="preserve"> ($K$8 + $L$8) * 0.1273</f>
        <v>316.42324500000001</v>
      </c>
      <c r="O24" s="13"/>
    </row>
    <row r="25" spans="1:15">
      <c r="A25" s="24"/>
      <c r="B25" s="24"/>
      <c r="C25" s="24" t="str">
        <f>"300价值"&amp;" , "&amp;TEXT(SUM(E25:E26),"0.00%")</f>
        <v>300价值 , 1.20%</v>
      </c>
      <c r="D25" s="20" t="s">
        <v>39</v>
      </c>
      <c r="E25" s="11">
        <f>F25/$F$37</f>
        <v>1.109599551901647E-2</v>
      </c>
      <c r="F25" s="2">
        <f t="shared" si="0"/>
        <v>912.940563</v>
      </c>
      <c r="G25" s="2"/>
      <c r="H25" s="2">
        <f>($K$6 + $L$6) * 0.1578</f>
        <v>464.28073799999999</v>
      </c>
      <c r="I25" s="2">
        <f xml:space="preserve"> ($K$8 + $L$8) * 0.1805</f>
        <v>448.65982500000001</v>
      </c>
      <c r="N25" s="12"/>
      <c r="O25" s="12"/>
    </row>
    <row r="26" spans="1:15">
      <c r="A26" s="24"/>
      <c r="B26" s="24"/>
      <c r="C26" s="24"/>
      <c r="D26" s="20" t="s">
        <v>38</v>
      </c>
      <c r="E26" s="11">
        <f>F26/$F$37</f>
        <v>8.5811478795059311E-4</v>
      </c>
      <c r="F26" s="2">
        <f t="shared" si="0"/>
        <v>70.60275</v>
      </c>
      <c r="G26" s="2"/>
      <c r="H26" s="2">
        <f>($K$6 + $L$6) * 0.012</f>
        <v>35.306519999999999</v>
      </c>
      <c r="I26" s="2">
        <f xml:space="preserve"> ($K$8 + $L$8) * 0.0142</f>
        <v>35.296230000000001</v>
      </c>
      <c r="O26" s="13"/>
    </row>
    <row r="27" spans="1:15">
      <c r="A27" s="24"/>
      <c r="B27" s="24"/>
      <c r="C27" s="21" t="str">
        <f>"基本面120"&amp;" , "&amp;TEXT(SUM(E27:E27),"0.00%")</f>
        <v>基本面120 , 0.92%</v>
      </c>
      <c r="D27" s="20" t="s">
        <v>40</v>
      </c>
      <c r="E27" s="11">
        <f>F27/$F$37</f>
        <v>9.2209434081970843E-3</v>
      </c>
      <c r="F27" s="2">
        <f>SUM(G27:I27)</f>
        <v>758.667688</v>
      </c>
      <c r="G27" s="2"/>
      <c r="H27" s="2">
        <f>($K$6 + $L$6) * 0.1373</f>
        <v>403.96543300000002</v>
      </c>
      <c r="I27" s="2">
        <f xml:space="preserve"> ($K$8 + $L$8) * 0.1427</f>
        <v>354.70225499999998</v>
      </c>
      <c r="J27" s="11"/>
      <c r="N27" s="12"/>
      <c r="O27" s="12"/>
    </row>
    <row r="28" spans="1:15">
      <c r="A28" s="24" t="str">
        <f>"海外新兴"&amp;" , "&amp;TEXT(SUM(E28:E29),"0.00%")</f>
        <v>海外新兴 , 2.55%</v>
      </c>
      <c r="B28" s="20" t="str">
        <f>"香港"&amp;" , "&amp;TEXT(SUM(E28:E28),"0.00%")</f>
        <v>香港 , 0.52%</v>
      </c>
      <c r="C28" s="20" t="str">
        <f>"恒生"&amp;" , "&amp;TEXT(SUM(E28:E28),"0.00%")</f>
        <v>恒生 , 0.52%</v>
      </c>
      <c r="D28" s="10" t="s">
        <v>14</v>
      </c>
      <c r="E28" s="11">
        <f t="shared" ref="E28:E36" si="1">F28/$F$37</f>
        <v>5.1821551163162118E-3</v>
      </c>
      <c r="F28" s="2">
        <f t="shared" si="0"/>
        <v>426.37</v>
      </c>
      <c r="G28" s="2">
        <v>426.37</v>
      </c>
      <c r="H28" s="14"/>
      <c r="I28" s="2"/>
      <c r="J28" s="11"/>
      <c r="O28" s="13"/>
    </row>
    <row r="29" spans="1:15">
      <c r="A29" s="24"/>
      <c r="B29" s="20" t="str">
        <f>"海外互联"&amp;" , "&amp;TEXT(SUM(E29:E29),"0.00%")</f>
        <v>海外互联 , 2.03%</v>
      </c>
      <c r="C29" s="20" t="str">
        <f>"海外互联网"&amp;" , "&amp;TEXT(SUM(E29:E29),"0.00%")</f>
        <v>海外互联网 , 2.03%</v>
      </c>
      <c r="D29" s="10" t="s">
        <v>15</v>
      </c>
      <c r="E29" s="11">
        <f t="shared" si="1"/>
        <v>2.0268586759439933E-2</v>
      </c>
      <c r="F29" s="2">
        <f t="shared" si="0"/>
        <v>1667.63</v>
      </c>
      <c r="G29" s="2">
        <v>1667.63</v>
      </c>
      <c r="H29" s="14"/>
      <c r="I29" s="2"/>
      <c r="N29" s="12"/>
      <c r="O29" s="12"/>
    </row>
    <row r="30" spans="1:15">
      <c r="A30" s="23" t="str">
        <f>"海外成熟"&amp;" , "&amp;TEXT(SUM(E30:E30),"0.00%")</f>
        <v>海外成熟 , 2.59%</v>
      </c>
      <c r="B30" s="20" t="str">
        <f>"海外成熟"&amp;" , "&amp;TEXT(SUM(E30:E30),"0.00%")</f>
        <v>海外成熟 , 2.59%</v>
      </c>
      <c r="C30" s="20" t="str">
        <f>"德国30"&amp;" , "&amp;TEXT(SUM(E30:E30),"0.00%")</f>
        <v>德国30 , 2.59%</v>
      </c>
      <c r="D30" s="10" t="s">
        <v>16</v>
      </c>
      <c r="E30" s="11">
        <f t="shared" si="1"/>
        <v>2.588525191494348E-2</v>
      </c>
      <c r="F30" s="2">
        <f t="shared" si="0"/>
        <v>2129.75</v>
      </c>
      <c r="G30" s="2">
        <v>2129.75</v>
      </c>
      <c r="H30" s="14"/>
      <c r="I30" s="2"/>
      <c r="O30" s="13"/>
    </row>
    <row r="31" spans="1:15">
      <c r="A31" s="24" t="str">
        <f>"商品"&amp;" , "&amp;TEXT(SUM(E31:E32),"0.00%")</f>
        <v>商品 , 1.84%</v>
      </c>
      <c r="B31" s="20" t="str">
        <f>"原油"&amp;" , "&amp;TEXT(SUM(E31:E31),"0.00%")</f>
        <v>原油 , 1.31%</v>
      </c>
      <c r="C31" s="20" t="str">
        <f>"原油"&amp;" , "&amp;TEXT(SUM(E31:E31),"0.00%")</f>
        <v>原油 , 1.31%</v>
      </c>
      <c r="D31" s="10" t="s">
        <v>17</v>
      </c>
      <c r="E31" s="11">
        <f t="shared" si="1"/>
        <v>1.3107253607284116E-2</v>
      </c>
      <c r="F31" s="2">
        <f t="shared" si="0"/>
        <v>1078.42</v>
      </c>
      <c r="G31" s="2">
        <v>1078.42</v>
      </c>
      <c r="H31" s="14"/>
      <c r="I31" s="2"/>
      <c r="N31" s="12"/>
      <c r="O31" s="12"/>
    </row>
    <row r="32" spans="1:15">
      <c r="A32" s="24"/>
      <c r="B32" s="20" t="str">
        <f>"黄金"&amp;" , "&amp;TEXT(SUM(E32:E32),"0.00%")</f>
        <v>黄金 , 0.53%</v>
      </c>
      <c r="C32" s="20" t="str">
        <f>"黄金"&amp;" , "&amp;TEXT(SUM(E32:E32),"0.00%")</f>
        <v>黄金 , 0.53%</v>
      </c>
      <c r="D32" s="10" t="s">
        <v>31</v>
      </c>
      <c r="E32" s="11">
        <f t="shared" si="1"/>
        <v>5.2723387384356534E-3</v>
      </c>
      <c r="F32" s="2">
        <f t="shared" si="0"/>
        <v>433.79</v>
      </c>
      <c r="G32" s="2">
        <v>433.79</v>
      </c>
      <c r="H32" s="2"/>
      <c r="I32" s="2"/>
      <c r="O32" s="13"/>
    </row>
    <row r="33" spans="1:16">
      <c r="A33" s="24" t="str">
        <f>"债券"&amp;" , "&amp;TEXT(SUM(E33:E35),"0.00%")</f>
        <v>债券 , 5.09%</v>
      </c>
      <c r="B33" s="24" t="str">
        <f>"国内债券"&amp;" , "&amp;TEXT(SUM(E33:E35),"0.00%")</f>
        <v>国内债券 , 5.09%</v>
      </c>
      <c r="C33" s="24" t="str">
        <f>"可转债"&amp;" , "&amp;TEXT(SUM(E33:E35),"0.00%")</f>
        <v>可转债 , 5.09%</v>
      </c>
      <c r="D33" s="10" t="s">
        <v>18</v>
      </c>
      <c r="E33" s="11">
        <f t="shared" si="1"/>
        <v>2.0977172361806972E-2</v>
      </c>
      <c r="F33" s="2">
        <f t="shared" si="0"/>
        <v>1725.93</v>
      </c>
      <c r="G33" s="2">
        <v>1725.93</v>
      </c>
      <c r="H33" s="2"/>
      <c r="I33" s="2"/>
      <c r="N33" s="12"/>
      <c r="O33" s="12"/>
    </row>
    <row r="34" spans="1:16">
      <c r="A34" s="24"/>
      <c r="B34" s="24"/>
      <c r="C34" s="24"/>
      <c r="D34" s="10" t="s">
        <v>19</v>
      </c>
      <c r="E34" s="11">
        <f t="shared" si="1"/>
        <v>5.2669909225687324E-3</v>
      </c>
      <c r="F34" s="2">
        <f t="shared" si="0"/>
        <v>433.35</v>
      </c>
      <c r="G34" s="2">
        <v>433.35</v>
      </c>
      <c r="H34" s="2"/>
      <c r="I34" s="2"/>
      <c r="O34" s="13"/>
    </row>
    <row r="35" spans="1:16">
      <c r="A35" s="24"/>
      <c r="B35" s="24"/>
      <c r="C35" s="24"/>
      <c r="D35" s="10" t="s">
        <v>20</v>
      </c>
      <c r="E35" s="11">
        <f t="shared" si="1"/>
        <v>2.4687584243292569E-2</v>
      </c>
      <c r="F35" s="2">
        <f t="shared" si="0"/>
        <v>2031.21</v>
      </c>
      <c r="G35" s="2">
        <v>2031.21</v>
      </c>
      <c r="H35" s="8"/>
      <c r="I35" s="2"/>
      <c r="N35" s="12"/>
      <c r="O35" s="12"/>
    </row>
    <row r="36" spans="1:16">
      <c r="A36" s="23" t="str">
        <f>"现金"&amp;" , "&amp;TEXT(SUM(E36:E36),"0.00%")</f>
        <v>现金 , 18.35%</v>
      </c>
      <c r="B36" s="10" t="str">
        <f>"低风险理财"&amp;" , "&amp;TEXT(SUM(E36:E36),"0.00%")</f>
        <v>低风险理财 , 18.35%</v>
      </c>
      <c r="C36" s="20" t="str">
        <f>"货币基金"&amp;" , "&amp;TEXT(SUM(E36:E36),"0.00%")</f>
        <v>货币基金 , 18.35%</v>
      </c>
      <c r="D36" s="10" t="s">
        <v>21</v>
      </c>
      <c r="E36" s="11">
        <f t="shared" si="1"/>
        <v>0.18352731725115462</v>
      </c>
      <c r="F36" s="2">
        <f t="shared" si="0"/>
        <v>15100</v>
      </c>
      <c r="G36" s="2">
        <v>15100</v>
      </c>
      <c r="H36" s="8"/>
      <c r="I36" s="8"/>
      <c r="P36" s="13"/>
    </row>
    <row r="37" spans="1:16">
      <c r="D37" s="8" t="s">
        <v>4</v>
      </c>
      <c r="E37" s="13">
        <f>SUM(E2:E36)</f>
        <v>1.0000000000000004</v>
      </c>
      <c r="F37" s="2">
        <f>SUM(F2:F36)</f>
        <v>82276.579999999987</v>
      </c>
      <c r="I37" s="8"/>
      <c r="O37" s="12"/>
    </row>
    <row r="38" spans="1:16">
      <c r="D38" s="8" t="s">
        <v>5</v>
      </c>
      <c r="E38" s="15">
        <f>F37/$K$2-1</f>
        <v>6.1622468622577919E-2</v>
      </c>
      <c r="P38" s="13"/>
    </row>
    <row r="39" spans="1:16">
      <c r="A39" s="16"/>
      <c r="B39" s="8"/>
      <c r="C39" s="2"/>
      <c r="O39" s="12"/>
    </row>
    <row r="40" spans="1:16">
      <c r="C40" s="2"/>
      <c r="P40" s="13"/>
    </row>
    <row r="41" spans="1:16">
      <c r="C41" s="2"/>
      <c r="D41" s="8"/>
      <c r="E41" s="8"/>
      <c r="F41" s="8"/>
    </row>
    <row r="42" spans="1:16">
      <c r="C42" s="2"/>
      <c r="D42" s="1"/>
      <c r="E42" s="1"/>
      <c r="F42" s="1"/>
    </row>
    <row r="43" spans="1:16">
      <c r="A43" s="8"/>
      <c r="B43" s="2"/>
      <c r="C43" s="2"/>
      <c r="D43" s="1"/>
    </row>
    <row r="44" spans="1:16">
      <c r="A44" s="8"/>
      <c r="B44" s="2"/>
      <c r="C44" s="2"/>
      <c r="D44" s="1"/>
      <c r="E44" s="1"/>
      <c r="F44" s="1"/>
    </row>
    <row r="45" spans="1:16">
      <c r="A45" s="8"/>
      <c r="B45" s="2"/>
      <c r="C45" s="2"/>
      <c r="D45" s="1"/>
      <c r="E45" s="1"/>
      <c r="F45" s="1"/>
    </row>
    <row r="46" spans="1:16">
      <c r="A46" s="8"/>
      <c r="B46" s="2"/>
      <c r="C46" s="2"/>
      <c r="D46" s="1"/>
      <c r="E46" s="1"/>
      <c r="F46" s="1"/>
    </row>
    <row r="47" spans="1:16">
      <c r="A47" s="8"/>
      <c r="B47" s="2"/>
      <c r="C47" s="2"/>
      <c r="D47" s="1"/>
      <c r="E47" s="1"/>
      <c r="F47" s="1"/>
    </row>
    <row r="48" spans="1:16">
      <c r="A48" s="8"/>
      <c r="B48" s="2"/>
      <c r="C48" s="2"/>
      <c r="D48" s="1"/>
      <c r="E48" s="1"/>
      <c r="F48" s="1"/>
    </row>
    <row r="49" spans="1:6">
      <c r="A49" s="8"/>
      <c r="B49" s="2"/>
      <c r="C49" s="2"/>
      <c r="D49" s="1"/>
      <c r="E49" s="1"/>
      <c r="F49" s="1"/>
    </row>
    <row r="50" spans="1:6">
      <c r="A50" s="8"/>
      <c r="B50" s="2"/>
      <c r="C50" s="2"/>
      <c r="D50" s="1"/>
      <c r="E50" s="1"/>
      <c r="F50" s="1"/>
    </row>
    <row r="51" spans="1:6">
      <c r="A51" s="8"/>
      <c r="B51" s="2"/>
      <c r="C51" s="2"/>
      <c r="D51" s="1"/>
      <c r="E51" s="1"/>
      <c r="F51" s="1"/>
    </row>
    <row r="52" spans="1:6">
      <c r="A52" s="8"/>
      <c r="B52" s="2"/>
      <c r="C52" s="2"/>
      <c r="D52" s="1"/>
      <c r="E52" s="1"/>
      <c r="F52" s="1"/>
    </row>
    <row r="53" spans="1:6">
      <c r="A53" s="8"/>
      <c r="B53" s="2"/>
      <c r="C53" s="2"/>
      <c r="D53" s="1"/>
      <c r="E53" s="1"/>
      <c r="F53" s="1"/>
    </row>
    <row r="54" spans="1:6">
      <c r="A54" s="8"/>
      <c r="B54" s="2"/>
      <c r="C54" s="2"/>
      <c r="D54" s="1"/>
      <c r="E54" s="1"/>
      <c r="F54" s="1"/>
    </row>
    <row r="55" spans="1:6">
      <c r="A55" s="8"/>
      <c r="B55" s="2"/>
      <c r="C55" s="2"/>
      <c r="D55" s="1"/>
      <c r="E55" s="1"/>
      <c r="F55" s="1"/>
    </row>
    <row r="56" spans="1:6">
      <c r="A56" s="8"/>
      <c r="B56" s="2"/>
      <c r="C56" s="2"/>
      <c r="D56" s="1"/>
      <c r="E56" s="1"/>
      <c r="F56" s="1"/>
    </row>
    <row r="57" spans="1:6">
      <c r="A57" s="8"/>
      <c r="B57" s="2"/>
      <c r="C57" s="2"/>
      <c r="D57" s="1"/>
      <c r="E57" s="1"/>
      <c r="F57" s="1"/>
    </row>
    <row r="58" spans="1:6">
      <c r="A58" s="8"/>
      <c r="B58" s="2"/>
      <c r="C58" s="2"/>
      <c r="D58" s="1"/>
      <c r="E58" s="1"/>
      <c r="F58" s="1"/>
    </row>
    <row r="59" spans="1:6">
      <c r="A59" s="8"/>
      <c r="B59" s="2"/>
      <c r="C59" s="4"/>
      <c r="D59" s="1"/>
      <c r="E59" s="1"/>
      <c r="F59" s="1"/>
    </row>
    <row r="60" spans="1:6">
      <c r="A60" s="8"/>
      <c r="B60" s="2"/>
      <c r="D60" s="1"/>
      <c r="E60" s="1"/>
      <c r="F60" s="1"/>
    </row>
    <row r="61" spans="1:6">
      <c r="A61" s="8"/>
      <c r="B61" s="7"/>
      <c r="D61" s="1"/>
      <c r="E61" s="1"/>
      <c r="F61" s="1"/>
    </row>
    <row r="62" spans="1:6">
      <c r="A62" s="8"/>
      <c r="B62" s="8"/>
      <c r="D62" s="1"/>
      <c r="E62" s="1"/>
      <c r="F62" s="1"/>
    </row>
    <row r="63" spans="1:6">
      <c r="A63" s="8"/>
      <c r="B63" s="8"/>
      <c r="C63" s="8"/>
      <c r="D63" s="1"/>
      <c r="E63" s="1"/>
      <c r="F63" s="1"/>
    </row>
    <row r="64" spans="1:6">
      <c r="A64" s="8"/>
      <c r="B64" s="8"/>
      <c r="C64" s="2"/>
      <c r="D64" s="1"/>
      <c r="E64" s="1"/>
      <c r="F64" s="1"/>
    </row>
    <row r="65" spans="1:6">
      <c r="A65" s="8"/>
      <c r="C65" s="2"/>
      <c r="D65" s="1"/>
      <c r="E65" s="1"/>
      <c r="F65" s="1"/>
    </row>
    <row r="66" spans="1:6">
      <c r="C66" s="2"/>
      <c r="D66" s="3"/>
      <c r="E66" s="8"/>
    </row>
    <row r="67" spans="1:6">
      <c r="C67" s="2"/>
    </row>
    <row r="68" spans="1:6">
      <c r="B68" s="8"/>
      <c r="C68" s="2"/>
    </row>
    <row r="69" spans="1:6">
      <c r="A69" s="8"/>
      <c r="B69" s="8"/>
      <c r="C69" s="2"/>
    </row>
    <row r="70" spans="1:6">
      <c r="A70" s="8"/>
      <c r="B70" s="8"/>
      <c r="C70" s="2"/>
      <c r="D70" s="8"/>
    </row>
    <row r="71" spans="1:6">
      <c r="A71" s="8"/>
      <c r="B71" s="8"/>
      <c r="C71" s="2"/>
      <c r="D71" s="1"/>
    </row>
    <row r="72" spans="1:6">
      <c r="A72" s="8"/>
      <c r="B72" s="8"/>
      <c r="C72" s="2"/>
      <c r="D72" s="1"/>
    </row>
    <row r="73" spans="1:6">
      <c r="A73" s="8"/>
      <c r="B73" s="8"/>
      <c r="C73" s="2"/>
      <c r="D73" s="1"/>
    </row>
    <row r="74" spans="1:6">
      <c r="A74" s="8"/>
      <c r="B74" s="8"/>
      <c r="C74" s="2"/>
      <c r="D74" s="1"/>
    </row>
    <row r="75" spans="1:6">
      <c r="A75" s="8"/>
      <c r="B75" s="8"/>
      <c r="C75" s="2"/>
      <c r="D75" s="1"/>
    </row>
    <row r="76" spans="1:6">
      <c r="A76" s="8"/>
      <c r="B76" s="8"/>
      <c r="C76" s="2"/>
      <c r="D76" s="1"/>
    </row>
    <row r="77" spans="1:6">
      <c r="A77" s="8"/>
      <c r="B77" s="8"/>
      <c r="C77" s="2"/>
      <c r="D77" s="1"/>
    </row>
    <row r="78" spans="1:6">
      <c r="A78" s="8"/>
      <c r="B78" s="8"/>
      <c r="C78" s="2"/>
      <c r="D78" s="1"/>
    </row>
    <row r="79" spans="1:6">
      <c r="A79" s="8"/>
      <c r="B79" s="8"/>
      <c r="C79" s="5"/>
      <c r="D79" s="1"/>
    </row>
    <row r="80" spans="1:6">
      <c r="A80" s="8"/>
      <c r="B80" s="8"/>
      <c r="C80" s="2"/>
      <c r="D80" s="1"/>
    </row>
    <row r="81" spans="1:4">
      <c r="A81" s="8"/>
      <c r="B81" s="8"/>
      <c r="C81" s="2"/>
      <c r="D81" s="1"/>
    </row>
    <row r="82" spans="1:4">
      <c r="A82" s="8"/>
      <c r="B82" s="17"/>
      <c r="C82" s="2"/>
      <c r="D82" s="1"/>
    </row>
    <row r="83" spans="1:4">
      <c r="A83" s="17"/>
      <c r="B83" s="8"/>
      <c r="C83" s="2"/>
      <c r="D83" s="1"/>
    </row>
    <row r="84" spans="1:4">
      <c r="A84" s="8"/>
      <c r="B84" s="8"/>
      <c r="C84" s="2"/>
      <c r="D84" s="1"/>
    </row>
    <row r="85" spans="1:4">
      <c r="A85" s="8"/>
      <c r="B85" s="8"/>
      <c r="C85" s="2"/>
      <c r="D85" s="1"/>
    </row>
    <row r="86" spans="1:4">
      <c r="A86" s="8"/>
      <c r="B86" s="8"/>
      <c r="C86" s="2"/>
      <c r="D86" s="1"/>
    </row>
    <row r="87" spans="1:4">
      <c r="A87" s="8"/>
      <c r="B87" s="8"/>
      <c r="C87" s="2"/>
      <c r="D87" s="1"/>
    </row>
    <row r="88" spans="1:4">
      <c r="A88" s="8"/>
      <c r="B88" s="8"/>
      <c r="C88" s="2"/>
      <c r="D88" s="1"/>
    </row>
    <row r="89" spans="1:4">
      <c r="A89" s="8"/>
      <c r="B89" s="8"/>
      <c r="C89" s="2"/>
      <c r="D89" s="1"/>
    </row>
    <row r="90" spans="1:4">
      <c r="A90" s="8"/>
      <c r="B90" s="8"/>
      <c r="C90" s="2"/>
      <c r="D90" s="1"/>
    </row>
    <row r="91" spans="1:4">
      <c r="A91" s="8"/>
      <c r="B91" s="8"/>
      <c r="C91" s="2"/>
      <c r="D91" s="1"/>
    </row>
    <row r="92" spans="1:4">
      <c r="A92" s="8"/>
      <c r="B92" s="8"/>
      <c r="C92" s="2"/>
      <c r="D92" s="1"/>
    </row>
    <row r="93" spans="1:4">
      <c r="A93" s="8"/>
      <c r="B93" s="8"/>
      <c r="C93" s="2"/>
      <c r="D93" s="1"/>
    </row>
    <row r="94" spans="1:4">
      <c r="A94" s="8"/>
      <c r="B94" s="8"/>
      <c r="D94" s="1"/>
    </row>
    <row r="95" spans="1:4">
      <c r="A95" s="8"/>
      <c r="B95" s="8"/>
      <c r="D95" s="1"/>
    </row>
    <row r="96" spans="1:4">
      <c r="A96" s="8"/>
      <c r="B96" s="8"/>
      <c r="D96" s="1"/>
    </row>
    <row r="97" spans="1:4">
      <c r="A97" s="8"/>
      <c r="B97" s="8"/>
      <c r="D97" s="1"/>
    </row>
    <row r="98" spans="1:4">
      <c r="A98" s="8"/>
      <c r="D98" s="1"/>
    </row>
    <row r="99" spans="1:4">
      <c r="D99" s="1"/>
    </row>
    <row r="100" spans="1:4">
      <c r="D100" s="6"/>
    </row>
  </sheetData>
  <mergeCells count="15">
    <mergeCell ref="C3:C4"/>
    <mergeCell ref="C22:C23"/>
    <mergeCell ref="C5:C7"/>
    <mergeCell ref="B5:B10"/>
    <mergeCell ref="B12:B18"/>
    <mergeCell ref="B19:B27"/>
    <mergeCell ref="C33:C35"/>
    <mergeCell ref="C9:C10"/>
    <mergeCell ref="C25:C26"/>
    <mergeCell ref="A2:A27"/>
    <mergeCell ref="A28:A29"/>
    <mergeCell ref="A31:A32"/>
    <mergeCell ref="A33:A35"/>
    <mergeCell ref="B33:B35"/>
    <mergeCell ref="B2:B4"/>
  </mergeCells>
  <phoneticPr fontId="2" type="noConversion"/>
  <conditionalFormatting sqref="F44:F65 F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44:E65 E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资产配置情况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C</cp:lastModifiedBy>
  <dcterms:created xsi:type="dcterms:W3CDTF">2018-05-19T08:29:27Z</dcterms:created>
  <dcterms:modified xsi:type="dcterms:W3CDTF">2019-06-22T01:06:10Z</dcterms:modified>
</cp:coreProperties>
</file>