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17DBA58D-40D4-4FD4-8144-CC4A60E65222}" xr6:coauthVersionLast="43" xr6:coauthVersionMax="43" xr10:uidLastSave="{00000000-0000-0000-0000-000000000000}"/>
  <bookViews>
    <workbookView xWindow="0" yWindow="1365" windowWidth="28800" windowHeight="15435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交易明细!$A$1:$W$125</definedName>
    <definedName name="_xlchart.v1.0" hidden="1">资产配置情况!$A$2:$D$32</definedName>
    <definedName name="_xlchart.v1.1" hidden="1">资产配置情况!$E$2:$E$32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2" i="11" l="1"/>
  <c r="C93" i="11"/>
  <c r="C91" i="11"/>
  <c r="C81" i="11"/>
  <c r="H30" i="11"/>
  <c r="H31" i="11" l="1"/>
  <c r="Q6" i="1"/>
  <c r="K128" i="1"/>
  <c r="J128" i="1"/>
  <c r="K126" i="1"/>
  <c r="J126" i="1"/>
  <c r="V29" i="1" l="1"/>
  <c r="I124" i="1" s="1"/>
  <c r="K124" i="1" s="1"/>
  <c r="T29" i="1"/>
  <c r="H124" i="1" s="1"/>
  <c r="J124" i="1" s="1"/>
  <c r="C80" i="11"/>
  <c r="B80" i="11"/>
  <c r="A80" i="11"/>
  <c r="F16" i="12"/>
  <c r="F5" i="11" l="1"/>
  <c r="F3" i="11" l="1"/>
  <c r="F4" i="11"/>
  <c r="C39" i="11" s="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F28" i="11"/>
  <c r="F29" i="11"/>
  <c r="C47" i="11" l="1"/>
  <c r="C45" i="11"/>
  <c r="C42" i="11"/>
  <c r="C57" i="11"/>
  <c r="C88" i="11"/>
  <c r="W32" i="1"/>
  <c r="W33" i="1"/>
  <c r="W31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F30" i="11"/>
  <c r="C61" i="11" l="1"/>
  <c r="AB32" i="10"/>
  <c r="K71" i="10" s="1"/>
  <c r="AA32" i="10"/>
  <c r="Y32" i="10"/>
  <c r="J70" i="10" s="1"/>
  <c r="X32" i="10"/>
  <c r="V32" i="10"/>
  <c r="I69" i="10" s="1"/>
  <c r="U32" i="10"/>
  <c r="S32" i="10"/>
  <c r="H68" i="10" s="1"/>
  <c r="R32" i="10"/>
  <c r="P32" i="10"/>
  <c r="G67" i="10" s="1"/>
  <c r="O32" i="10"/>
  <c r="M32" i="10"/>
  <c r="F66" i="10" s="1"/>
  <c r="L32" i="10"/>
  <c r="J32" i="10"/>
  <c r="E65" i="10" s="1"/>
  <c r="I32" i="10"/>
  <c r="G32" i="10"/>
  <c r="D64" i="10" s="1"/>
  <c r="F32" i="10"/>
  <c r="D32" i="10"/>
  <c r="C63" i="10" s="1"/>
  <c r="C32" i="10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A37" i="10"/>
  <c r="A62" i="10" s="1"/>
  <c r="A38" i="10"/>
  <c r="A63" i="10" s="1"/>
  <c r="A39" i="10"/>
  <c r="A64" i="10" s="1"/>
  <c r="A40" i="10"/>
  <c r="A65" i="10" s="1"/>
  <c r="A41" i="10"/>
  <c r="A66" i="10" s="1"/>
  <c r="A42" i="10"/>
  <c r="A67" i="10" s="1"/>
  <c r="A43" i="10"/>
  <c r="A68" i="10" s="1"/>
  <c r="A44" i="10"/>
  <c r="A69" i="10" s="1"/>
  <c r="A45" i="10"/>
  <c r="A70" i="10" s="1"/>
  <c r="A46" i="10"/>
  <c r="A71" i="10" s="1"/>
  <c r="A47" i="10"/>
  <c r="A72" i="10" s="1"/>
  <c r="A48" i="10"/>
  <c r="A73" i="10" s="1"/>
  <c r="A49" i="10"/>
  <c r="A74" i="10" s="1"/>
  <c r="A50" i="10"/>
  <c r="A75" i="10" s="1"/>
  <c r="A51" i="10"/>
  <c r="A76" i="10" s="1"/>
  <c r="A52" i="10"/>
  <c r="A77" i="10" s="1"/>
  <c r="A53" i="10"/>
  <c r="A78" i="10" s="1"/>
  <c r="A54" i="10"/>
  <c r="A79" i="10" s="1"/>
  <c r="A55" i="10"/>
  <c r="A80" i="10" s="1"/>
  <c r="A56" i="10"/>
  <c r="A81" i="10" s="1"/>
  <c r="A36" i="10"/>
  <c r="A61" i="10" s="1"/>
  <c r="D30" i="10"/>
  <c r="C37" i="10" s="1"/>
  <c r="L2" i="10"/>
  <c r="K2" i="10"/>
  <c r="J2" i="10"/>
  <c r="I2" i="10"/>
  <c r="H2" i="10"/>
  <c r="G2" i="10"/>
  <c r="F2" i="10"/>
  <c r="E2" i="10"/>
  <c r="D2" i="10"/>
  <c r="C2" i="10"/>
  <c r="B106" i="7"/>
  <c r="T32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30" i="1"/>
  <c r="B12" i="7" s="1"/>
  <c r="A81" i="7" s="1"/>
  <c r="Z31" i="1"/>
  <c r="Z25" i="1"/>
  <c r="B14" i="7" s="1"/>
  <c r="A91" i="7" s="1"/>
  <c r="Z33" i="1"/>
  <c r="B15" i="7" s="1"/>
  <c r="A96" i="7" s="1"/>
  <c r="Z34" i="1"/>
  <c r="B16" i="7" s="1"/>
  <c r="A101" i="7" s="1"/>
  <c r="Z32" i="1"/>
  <c r="B17" i="7" s="1"/>
  <c r="A106" i="7" s="1"/>
  <c r="Z37" i="1"/>
  <c r="B19" i="7" s="1"/>
  <c r="G25" i="7" s="1"/>
  <c r="G27" i="7" s="1"/>
  <c r="Z40" i="1"/>
  <c r="B18" i="7" s="1"/>
  <c r="A111" i="7" s="1"/>
  <c r="Z36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H127" i="1" s="1"/>
  <c r="J127" i="1" s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1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T30" i="1"/>
  <c r="J100" i="1"/>
  <c r="J101" i="1"/>
  <c r="J103" i="1"/>
  <c r="J106" i="1"/>
  <c r="J108" i="1"/>
  <c r="J109" i="1"/>
  <c r="T33" i="1"/>
  <c r="H110" i="1" s="1"/>
  <c r="J110" i="1" s="1"/>
  <c r="X33" i="1" s="1"/>
  <c r="D15" i="7" s="1"/>
  <c r="F15" i="7" s="1"/>
  <c r="J111" i="1"/>
  <c r="J112" i="1"/>
  <c r="J114" i="1"/>
  <c r="J117" i="1"/>
  <c r="J118" i="1"/>
  <c r="J120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S6" i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1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2" i="1"/>
  <c r="I122" i="1" s="1"/>
  <c r="K122" i="1" s="1"/>
  <c r="V33" i="1"/>
  <c r="I110" i="1" s="1"/>
  <c r="K110" i="1" s="1"/>
  <c r="Y33" i="1" s="1"/>
  <c r="V30" i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I127" i="1" s="1"/>
  <c r="K127" i="1" s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F31" i="1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A62" i="11"/>
  <c r="K2" i="11"/>
  <c r="E59" i="11" s="1"/>
  <c r="S49" i="1"/>
  <c r="S50" i="1" s="1"/>
  <c r="T62" i="1"/>
  <c r="R50" i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Z35" i="1"/>
  <c r="Z41" i="1"/>
  <c r="Z42" i="1"/>
  <c r="G30" i="10"/>
  <c r="D37" i="10" s="1"/>
  <c r="J30" i="10"/>
  <c r="E38" i="10" s="1"/>
  <c r="M30" i="10"/>
  <c r="F39" i="10" s="1"/>
  <c r="P30" i="10"/>
  <c r="G39" i="10" s="1"/>
  <c r="S30" i="10"/>
  <c r="H36" i="10" s="1"/>
  <c r="V30" i="10"/>
  <c r="I37" i="10" s="1"/>
  <c r="Y30" i="10"/>
  <c r="J37" i="10" s="1"/>
  <c r="AB30" i="10"/>
  <c r="L39" i="10" s="1"/>
  <c r="D35" i="10"/>
  <c r="D60" i="10" s="1"/>
  <c r="E35" i="10"/>
  <c r="E60" i="10" s="1"/>
  <c r="F35" i="10"/>
  <c r="F60" i="10" s="1"/>
  <c r="G35" i="10"/>
  <c r="G60" i="10" s="1"/>
  <c r="H35" i="10"/>
  <c r="H60" i="10" s="1"/>
  <c r="I35" i="10"/>
  <c r="I60" i="10" s="1"/>
  <c r="J35" i="10"/>
  <c r="J60" i="10" s="1"/>
  <c r="K35" i="10"/>
  <c r="K60" i="10" s="1"/>
  <c r="L35" i="10"/>
  <c r="L60" i="10" s="1"/>
  <c r="C35" i="10"/>
  <c r="C60" i="10" s="1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I99" i="1" l="1"/>
  <c r="K99" i="1" s="1"/>
  <c r="Y30" i="1" s="1"/>
  <c r="I125" i="1"/>
  <c r="K125" i="1" s="1"/>
  <c r="H99" i="1"/>
  <c r="J99" i="1" s="1"/>
  <c r="X30" i="1" s="1"/>
  <c r="D12" i="7" s="1"/>
  <c r="H125" i="1"/>
  <c r="J125" i="1" s="1"/>
  <c r="J46" i="10"/>
  <c r="J48" i="10"/>
  <c r="D48" i="10"/>
  <c r="G44" i="10"/>
  <c r="J42" i="10"/>
  <c r="D42" i="10"/>
  <c r="G40" i="10"/>
  <c r="J38" i="10"/>
  <c r="D38" i="10"/>
  <c r="G36" i="10"/>
  <c r="L73" i="10"/>
  <c r="K72" i="10"/>
  <c r="J71" i="10"/>
  <c r="I70" i="10"/>
  <c r="H69" i="10"/>
  <c r="G68" i="10"/>
  <c r="F67" i="10"/>
  <c r="E66" i="10"/>
  <c r="D65" i="10"/>
  <c r="C64" i="10"/>
  <c r="I46" i="10"/>
  <c r="H47" i="10"/>
  <c r="H45" i="10"/>
  <c r="K43" i="10"/>
  <c r="E43" i="10"/>
  <c r="H41" i="10"/>
  <c r="K39" i="10"/>
  <c r="E39" i="10"/>
  <c r="H37" i="10"/>
  <c r="C61" i="10"/>
  <c r="K73" i="10"/>
  <c r="J72" i="10"/>
  <c r="I71" i="10"/>
  <c r="H70" i="10"/>
  <c r="G69" i="10"/>
  <c r="F68" i="10"/>
  <c r="E67" i="10"/>
  <c r="D66" i="10"/>
  <c r="C65" i="10"/>
  <c r="L62" i="10"/>
  <c r="H46" i="10"/>
  <c r="I48" i="10"/>
  <c r="C48" i="10"/>
  <c r="C46" i="10"/>
  <c r="L44" i="10"/>
  <c r="F44" i="10"/>
  <c r="I42" i="10"/>
  <c r="C42" i="10"/>
  <c r="L40" i="10"/>
  <c r="F40" i="10"/>
  <c r="I38" i="10"/>
  <c r="C38" i="10"/>
  <c r="L36" i="10"/>
  <c r="F36" i="10"/>
  <c r="D61" i="10"/>
  <c r="J73" i="10"/>
  <c r="I72" i="10"/>
  <c r="H71" i="10"/>
  <c r="G70" i="10"/>
  <c r="F69" i="10"/>
  <c r="E68" i="10"/>
  <c r="D67" i="10"/>
  <c r="C66" i="10"/>
  <c r="L63" i="10"/>
  <c r="K62" i="10"/>
  <c r="G46" i="10"/>
  <c r="G47" i="10"/>
  <c r="G45" i="10"/>
  <c r="J43" i="10"/>
  <c r="D43" i="10"/>
  <c r="G41" i="10"/>
  <c r="J39" i="10"/>
  <c r="D39" i="10"/>
  <c r="G37" i="10"/>
  <c r="E61" i="10"/>
  <c r="I73" i="10"/>
  <c r="H72" i="10"/>
  <c r="G71" i="10"/>
  <c r="F70" i="10"/>
  <c r="E69" i="10"/>
  <c r="D68" i="10"/>
  <c r="C67" i="10"/>
  <c r="L64" i="10"/>
  <c r="K63" i="10"/>
  <c r="J62" i="10"/>
  <c r="F46" i="10"/>
  <c r="H48" i="10"/>
  <c r="K44" i="10"/>
  <c r="E44" i="10"/>
  <c r="H42" i="10"/>
  <c r="K40" i="10"/>
  <c r="E40" i="10"/>
  <c r="H38" i="10"/>
  <c r="K36" i="10"/>
  <c r="E36" i="10"/>
  <c r="F61" i="10"/>
  <c r="H73" i="10"/>
  <c r="G72" i="10"/>
  <c r="F71" i="10"/>
  <c r="E70" i="10"/>
  <c r="D69" i="10"/>
  <c r="C68" i="10"/>
  <c r="L65" i="10"/>
  <c r="K64" i="10"/>
  <c r="J63" i="10"/>
  <c r="I62" i="10"/>
  <c r="E46" i="10"/>
  <c r="L47" i="10"/>
  <c r="F47" i="10"/>
  <c r="L45" i="10"/>
  <c r="F45" i="10"/>
  <c r="I43" i="10"/>
  <c r="C43" i="10"/>
  <c r="L41" i="10"/>
  <c r="F41" i="10"/>
  <c r="I39" i="10"/>
  <c r="C39" i="10"/>
  <c r="L37" i="10"/>
  <c r="F37" i="10"/>
  <c r="G61" i="10"/>
  <c r="G73" i="10"/>
  <c r="F72" i="10"/>
  <c r="E71" i="10"/>
  <c r="D70" i="10"/>
  <c r="C69" i="10"/>
  <c r="L66" i="10"/>
  <c r="K65" i="10"/>
  <c r="J64" i="10"/>
  <c r="I63" i="10"/>
  <c r="H62" i="10"/>
  <c r="D46" i="10"/>
  <c r="G48" i="10"/>
  <c r="J44" i="10"/>
  <c r="D44" i="10"/>
  <c r="G42" i="10"/>
  <c r="J40" i="10"/>
  <c r="D40" i="10"/>
  <c r="G38" i="10"/>
  <c r="J36" i="10"/>
  <c r="D36" i="10"/>
  <c r="H61" i="10"/>
  <c r="F73" i="10"/>
  <c r="E72" i="10"/>
  <c r="D71" i="10"/>
  <c r="C70" i="10"/>
  <c r="L67" i="10"/>
  <c r="K66" i="10"/>
  <c r="J65" i="10"/>
  <c r="I64" i="10"/>
  <c r="H63" i="10"/>
  <c r="G62" i="10"/>
  <c r="K47" i="10"/>
  <c r="E47" i="10"/>
  <c r="K45" i="10"/>
  <c r="E45" i="10"/>
  <c r="H43" i="10"/>
  <c r="K41" i="10"/>
  <c r="E41" i="10"/>
  <c r="H39" i="10"/>
  <c r="K37" i="10"/>
  <c r="E37" i="10"/>
  <c r="M37" i="10" s="1"/>
  <c r="O37" i="10" s="1"/>
  <c r="I61" i="10"/>
  <c r="E73" i="10"/>
  <c r="D72" i="10"/>
  <c r="C71" i="10"/>
  <c r="L68" i="10"/>
  <c r="K67" i="10"/>
  <c r="J66" i="10"/>
  <c r="I65" i="10"/>
  <c r="H64" i="10"/>
  <c r="G63" i="10"/>
  <c r="F62" i="10"/>
  <c r="L48" i="10"/>
  <c r="F48" i="10"/>
  <c r="I44" i="10"/>
  <c r="C44" i="10"/>
  <c r="M44" i="10" s="1"/>
  <c r="O44" i="10" s="1"/>
  <c r="L42" i="10"/>
  <c r="F42" i="10"/>
  <c r="I40" i="10"/>
  <c r="C40" i="10"/>
  <c r="L38" i="10"/>
  <c r="F38" i="10"/>
  <c r="I36" i="10"/>
  <c r="C36" i="10"/>
  <c r="J61" i="10"/>
  <c r="D73" i="10"/>
  <c r="C72" i="10"/>
  <c r="L69" i="10"/>
  <c r="K68" i="10"/>
  <c r="J67" i="10"/>
  <c r="I66" i="10"/>
  <c r="H65" i="10"/>
  <c r="G64" i="10"/>
  <c r="F63" i="10"/>
  <c r="E62" i="10"/>
  <c r="J47" i="10"/>
  <c r="D47" i="10"/>
  <c r="J45" i="10"/>
  <c r="D45" i="10"/>
  <c r="G43" i="10"/>
  <c r="J41" i="10"/>
  <c r="D41" i="10"/>
  <c r="K61" i="10"/>
  <c r="C73" i="10"/>
  <c r="L70" i="10"/>
  <c r="K69" i="10"/>
  <c r="J68" i="10"/>
  <c r="I67" i="10"/>
  <c r="H66" i="10"/>
  <c r="G65" i="10"/>
  <c r="F64" i="10"/>
  <c r="E63" i="10"/>
  <c r="D62" i="10"/>
  <c r="L46" i="10"/>
  <c r="K48" i="10"/>
  <c r="E48" i="10"/>
  <c r="H44" i="10"/>
  <c r="K42" i="10"/>
  <c r="E42" i="10"/>
  <c r="H40" i="10"/>
  <c r="K38" i="10"/>
  <c r="L61" i="10"/>
  <c r="L71" i="10"/>
  <c r="K70" i="10"/>
  <c r="J69" i="10"/>
  <c r="I68" i="10"/>
  <c r="H67" i="10"/>
  <c r="G66" i="10"/>
  <c r="F65" i="10"/>
  <c r="E64" i="10"/>
  <c r="D63" i="10"/>
  <c r="M63" i="10" s="1"/>
  <c r="O63" i="10" s="1"/>
  <c r="C62" i="10"/>
  <c r="K46" i="10"/>
  <c r="I47" i="10"/>
  <c r="C47" i="10"/>
  <c r="I45" i="10"/>
  <c r="C45" i="10"/>
  <c r="M45" i="10" s="1"/>
  <c r="O45" i="10" s="1"/>
  <c r="L43" i="10"/>
  <c r="F43" i="10"/>
  <c r="I41" i="10"/>
  <c r="C41" i="10"/>
  <c r="L72" i="10"/>
  <c r="T50" i="1"/>
  <c r="H93" i="1"/>
  <c r="J93" i="1" s="1"/>
  <c r="D61" i="11"/>
  <c r="F61" i="11"/>
  <c r="E61" i="11"/>
  <c r="F60" i="11"/>
  <c r="E60" i="11"/>
  <c r="C95" i="11"/>
  <c r="F59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1" i="1"/>
  <c r="S52" i="1" s="1"/>
  <c r="T51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M147" i="1" s="1"/>
  <c r="B6" i="7"/>
  <c r="B13" i="8"/>
  <c r="B8" i="7"/>
  <c r="B10" i="8"/>
  <c r="B2" i="7"/>
  <c r="Z43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6" i="11"/>
  <c r="C62" i="11"/>
  <c r="F33" i="11"/>
  <c r="E32" i="11" s="1"/>
  <c r="Y29" i="1" l="1"/>
  <c r="X29" i="1"/>
  <c r="M67" i="10"/>
  <c r="O67" i="10" s="1"/>
  <c r="M71" i="10"/>
  <c r="O71" i="10" s="1"/>
  <c r="M39" i="10"/>
  <c r="O39" i="10" s="1"/>
  <c r="M46" i="10"/>
  <c r="O46" i="10" s="1"/>
  <c r="M64" i="10"/>
  <c r="O64" i="10" s="1"/>
  <c r="M47" i="10"/>
  <c r="O47" i="10" s="1"/>
  <c r="M72" i="10"/>
  <c r="O72" i="10" s="1"/>
  <c r="M48" i="10"/>
  <c r="O48" i="10" s="1"/>
  <c r="M68" i="10"/>
  <c r="O68" i="10" s="1"/>
  <c r="M61" i="10"/>
  <c r="O61" i="10" s="1"/>
  <c r="M69" i="10"/>
  <c r="O69" i="10" s="1"/>
  <c r="M43" i="10"/>
  <c r="O43" i="10" s="1"/>
  <c r="M62" i="10"/>
  <c r="O62" i="10" s="1"/>
  <c r="M36" i="10"/>
  <c r="O36" i="10" s="1"/>
  <c r="M38" i="10"/>
  <c r="O38" i="10" s="1"/>
  <c r="M66" i="10"/>
  <c r="O66" i="10" s="1"/>
  <c r="M65" i="10"/>
  <c r="O65" i="10" s="1"/>
  <c r="M41" i="10"/>
  <c r="O41" i="10" s="1"/>
  <c r="M70" i="10"/>
  <c r="O70" i="10" s="1"/>
  <c r="M73" i="10"/>
  <c r="O73" i="10" s="1"/>
  <c r="M40" i="10"/>
  <c r="O40" i="10" s="1"/>
  <c r="M42" i="10"/>
  <c r="O42" i="10" s="1"/>
  <c r="X25" i="1"/>
  <c r="D69" i="11"/>
  <c r="D80" i="11"/>
  <c r="C32" i="1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X31" i="1"/>
  <c r="Y18" i="1"/>
  <c r="X16" i="1"/>
  <c r="X18" i="1"/>
  <c r="X20" i="1"/>
  <c r="D6" i="7" s="1"/>
  <c r="E53" i="7" s="1"/>
  <c r="X21" i="1"/>
  <c r="Y16" i="1"/>
  <c r="Y21" i="1"/>
  <c r="T52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3" i="1"/>
  <c r="T53" i="1"/>
  <c r="Y31" i="1"/>
  <c r="D13" i="7" s="1"/>
  <c r="Y32" i="1"/>
  <c r="X32" i="1"/>
  <c r="D17" i="7" s="1"/>
  <c r="C108" i="7" s="1"/>
  <c r="Y15" i="1"/>
  <c r="Y24" i="1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J147" i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4" i="11"/>
  <c r="D85" i="11"/>
  <c r="D83" i="11"/>
  <c r="D73" i="11"/>
  <c r="D90" i="11"/>
  <c r="D77" i="11"/>
  <c r="D89" i="11"/>
  <c r="D95" i="11"/>
  <c r="D75" i="11"/>
  <c r="D68" i="11"/>
  <c r="D92" i="11"/>
  <c r="D76" i="11"/>
  <c r="D86" i="11"/>
  <c r="D78" i="11"/>
  <c r="D71" i="11"/>
  <c r="D72" i="11"/>
  <c r="D93" i="11"/>
  <c r="D79" i="11"/>
  <c r="D67" i="11"/>
  <c r="D81" i="11"/>
  <c r="D70" i="11"/>
  <c r="D82" i="11"/>
  <c r="D74" i="11"/>
  <c r="D88" i="11"/>
  <c r="D91" i="11"/>
  <c r="D84" i="11"/>
  <c r="D87" i="11"/>
  <c r="E2" i="11"/>
  <c r="E34" i="11"/>
  <c r="D53" i="7" l="1"/>
  <c r="C15" i="1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4" i="1"/>
  <c r="S54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50" i="11"/>
  <c r="B41" i="11"/>
  <c r="B49" i="11"/>
  <c r="B52" i="11"/>
  <c r="B57" i="11"/>
  <c r="B44" i="11"/>
  <c r="A126" i="7"/>
  <c r="I25" i="7"/>
  <c r="I27" i="7" s="1"/>
  <c r="B39" i="11"/>
  <c r="B51" i="11"/>
  <c r="B42" i="11"/>
  <c r="B53" i="11"/>
  <c r="B56" i="11"/>
  <c r="B40" i="11"/>
  <c r="B47" i="11"/>
  <c r="B43" i="11"/>
  <c r="B46" i="11"/>
  <c r="B54" i="11"/>
  <c r="B58" i="11"/>
  <c r="B45" i="11"/>
  <c r="B48" i="11"/>
  <c r="D96" i="11"/>
  <c r="B11" i="10" l="1"/>
  <c r="B44" i="10" s="1"/>
  <c r="B69" i="10" s="1"/>
  <c r="P69" i="10" s="1"/>
  <c r="E46" i="11"/>
  <c r="F46" i="11"/>
  <c r="B4" i="10"/>
  <c r="B37" i="10" s="1"/>
  <c r="B62" i="10" s="1"/>
  <c r="P62" i="10" s="1"/>
  <c r="E39" i="11"/>
  <c r="F39" i="11"/>
  <c r="B15" i="10"/>
  <c r="B48" i="10" s="1"/>
  <c r="B73" i="10" s="1"/>
  <c r="P73" i="10" s="1"/>
  <c r="E50" i="11"/>
  <c r="F50" i="11"/>
  <c r="B10" i="10"/>
  <c r="B43" i="10" s="1"/>
  <c r="P43" i="10" s="1"/>
  <c r="E45" i="11"/>
  <c r="F45" i="11"/>
  <c r="B8" i="10"/>
  <c r="B41" i="10" s="1"/>
  <c r="P41" i="10" s="1"/>
  <c r="E43" i="11"/>
  <c r="F43" i="11"/>
  <c r="B18" i="10"/>
  <c r="B51" i="10" s="1"/>
  <c r="B76" i="10" s="1"/>
  <c r="P76" i="10" s="1"/>
  <c r="E53" i="11"/>
  <c r="F53" i="11"/>
  <c r="B17" i="10"/>
  <c r="B50" i="10" s="1"/>
  <c r="P50" i="10" s="1"/>
  <c r="E52" i="11"/>
  <c r="F52" i="11"/>
  <c r="B23" i="10"/>
  <c r="B56" i="10" s="1"/>
  <c r="B81" i="10" s="1"/>
  <c r="P81" i="10" s="1"/>
  <c r="E58" i="11"/>
  <c r="F58" i="11"/>
  <c r="B12" i="10"/>
  <c r="B45" i="10" s="1"/>
  <c r="B70" i="10" s="1"/>
  <c r="P70" i="10" s="1"/>
  <c r="E47" i="11"/>
  <c r="F47" i="11"/>
  <c r="B7" i="10"/>
  <c r="B40" i="10" s="1"/>
  <c r="P40" i="10" s="1"/>
  <c r="E42" i="11"/>
  <c r="F42" i="11"/>
  <c r="B14" i="10"/>
  <c r="B47" i="10" s="1"/>
  <c r="B72" i="10" s="1"/>
  <c r="P72" i="10" s="1"/>
  <c r="E49" i="11"/>
  <c r="F49" i="11"/>
  <c r="B13" i="10"/>
  <c r="B46" i="10" s="1"/>
  <c r="B71" i="10" s="1"/>
  <c r="P71" i="10" s="1"/>
  <c r="E48" i="11"/>
  <c r="F48" i="11"/>
  <c r="B21" i="10"/>
  <c r="B54" i="10" s="1"/>
  <c r="B79" i="10" s="1"/>
  <c r="P79" i="10" s="1"/>
  <c r="E56" i="11"/>
  <c r="F56" i="11"/>
  <c r="B22" i="10"/>
  <c r="B55" i="10" s="1"/>
  <c r="B80" i="10" s="1"/>
  <c r="P80" i="10" s="1"/>
  <c r="E57" i="11"/>
  <c r="F57" i="11"/>
  <c r="B19" i="10"/>
  <c r="B52" i="10" s="1"/>
  <c r="B77" i="10" s="1"/>
  <c r="P77" i="10" s="1"/>
  <c r="E54" i="11"/>
  <c r="F54" i="11"/>
  <c r="B5" i="10"/>
  <c r="B38" i="10" s="1"/>
  <c r="B63" i="10" s="1"/>
  <c r="P63" i="10" s="1"/>
  <c r="E40" i="11"/>
  <c r="F40" i="11"/>
  <c r="B16" i="10"/>
  <c r="B49" i="10" s="1"/>
  <c r="B74" i="10" s="1"/>
  <c r="P74" i="10" s="1"/>
  <c r="E51" i="11"/>
  <c r="F51" i="11"/>
  <c r="B9" i="10"/>
  <c r="B42" i="10" s="1"/>
  <c r="B67" i="10" s="1"/>
  <c r="P67" i="10" s="1"/>
  <c r="E44" i="11"/>
  <c r="F44" i="11"/>
  <c r="B6" i="10"/>
  <c r="B39" i="10" s="1"/>
  <c r="B64" i="10" s="1"/>
  <c r="P64" i="10" s="1"/>
  <c r="E41" i="11"/>
  <c r="F41" i="11"/>
  <c r="B3" i="10"/>
  <c r="B36" i="10" s="1"/>
  <c r="B61" i="10" s="1"/>
  <c r="E38" i="11"/>
  <c r="F38" i="11"/>
  <c r="B20" i="10"/>
  <c r="B53" i="10" s="1"/>
  <c r="P53" i="10" s="1"/>
  <c r="E55" i="11"/>
  <c r="F55" i="11"/>
  <c r="S55" i="1"/>
  <c r="T55" i="1"/>
  <c r="P45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P54" i="10" l="1"/>
  <c r="B78" i="10"/>
  <c r="P78" i="10" s="1"/>
  <c r="P49" i="10"/>
  <c r="P46" i="10"/>
  <c r="B65" i="10"/>
  <c r="P65" i="10" s="1"/>
  <c r="P56" i="10"/>
  <c r="B75" i="10"/>
  <c r="P75" i="10" s="1"/>
  <c r="B68" i="10"/>
  <c r="P68" i="10" s="1"/>
  <c r="P36" i="10"/>
  <c r="P38" i="10"/>
  <c r="P47" i="10"/>
  <c r="P39" i="10"/>
  <c r="P48" i="10"/>
  <c r="P52" i="10"/>
  <c r="P55" i="10"/>
  <c r="P51" i="10"/>
  <c r="B57" i="10"/>
  <c r="B66" i="10"/>
  <c r="P66" i="10" s="1"/>
  <c r="P42" i="10"/>
  <c r="P37" i="10"/>
  <c r="P44" i="10"/>
  <c r="T56" i="1"/>
  <c r="S56" i="1"/>
  <c r="P61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B82" i="10" l="1"/>
  <c r="P82" i="10"/>
  <c r="P84" i="10" s="1"/>
  <c r="P57" i="10"/>
  <c r="S57" i="1"/>
  <c r="T57" i="1"/>
  <c r="T58" i="1" l="1"/>
  <c r="S58" i="1"/>
  <c r="S59" i="1" l="1"/>
  <c r="T59" i="1"/>
  <c r="T60" i="1" l="1"/>
  <c r="V62" i="1" s="1"/>
  <c r="R7" i="1" s="1"/>
  <c r="S7" i="1" s="1"/>
  <c r="S60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8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<sst xmlns="http://schemas.openxmlformats.org/spreadsheetml/2006/main" count="15635" uniqueCount="7577">
  <si>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</si>
  <si>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</si>
  <si>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</si>
  <si>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</si>
  <si>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</si>
  <si>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</si>
  <si>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</si>
  <si>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</si>
  <si>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</si>
  <si>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</si>
  <si>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</si>
  <si>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</si>
  <si>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</si>
  <si>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</si>
  <si>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</si>
  <si>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</si>
  <si>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</si>
  <si>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</si>
  <si>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</si>
  <si>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</si>
  <si>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</si>
  <si>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</si>
  <si>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</si>
  <si>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</si>
  <si>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</si>
  <si>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</si>
  <si>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</si>
  <si>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</si>
  <si>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</si>
  <si>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</si>
  <si>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</si>
  <si>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</si>
  <si>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</si>
  <si>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</si>
  <si>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</si>
  <si>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</si>
  <si>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</si>
  <si>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</si>
  <si>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</si>
  <si>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</si>
  <si>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</si>
  <si>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</si>
  <si>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</si>
  <si>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</si>
  <si>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</si>
  <si>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</si>
  <si>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</si>
  <si>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</si>
  <si>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</si>
  <si>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</si>
  <si>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</si>
  <si>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</si>
  <si>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</si>
  <si>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</si>
  <si>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</si>
  <si>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</si>
  <si>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</si>
  <si>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</si>
  <si>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</si>
  <si>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</si>
  <si>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</si>
  <si>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</si>
  <si>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</si>
  <si>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</si>
  <si>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</si>
  <si>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</si>
  <si>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</si>
  <si>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</si>
  <si>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</si>
  <si>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</si>
  <si>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</si>
  <si>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</si>
  <si>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</si>
  <si>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</si>
  <si>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</si>
  <si>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</si>
  <si>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</si>
  <si>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</si>
  <si>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</si>
  <si>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</si>
  <si>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</si>
  <si>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</si>
  <si>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</si>
  <si>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</si>
  <si>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</si>
  <si>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</si>
  <si>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</si>
  <si>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</si>
  <si>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</si>
  <si>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</si>
  <si>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</si>
  <si>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</si>
  <si>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</si>
  <si>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</si>
  <si>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</si>
  <si>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</si>
  <si>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</si>
  <si>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</si>
  <si>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</si>
  <si>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</si>
  <si>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</si>
  <si>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</si>
  <si>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</si>
  <si>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</si>
  <si>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</si>
  <si>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</si>
  <si>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</si>
  <si>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</si>
  <si>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</si>
  <si>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</si>
  <si>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</si>
  <si>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</si>
  <si>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</si>
  <si>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</si>
  <si>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</si>
  <si>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</si>
  <si>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</si>
  <si>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</si>
  <si>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</si>
  <si>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</si>
  <si>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</si>
  <si>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</si>
  <si>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</si>
  <si>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</si>
  <si>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</si>
  <si>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</si>
  <si>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</si>
  <si>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</si>
  <si>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</si>
  <si>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</si>
  <si>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</si>
  <si>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</si>
  <si>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</si>
  <si>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</si>
  <si>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</si>
  <si>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</si>
  <si>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</si>
  <si>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</si>
  <si>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</si>
  <si>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</si>
  <si>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</si>
  <si>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</si>
  <si>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</si>
  <si>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</si>
  <si>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</si>
  <si>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</si>
  <si>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</si>
  <si>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</si>
  <si>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</si>
  <si>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</si>
  <si>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</si>
  <si>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</si>
  <si>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</si>
  <si>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</si>
  <si>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</si>
  <si>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</si>
  <si>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</si>
  <si>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</si>
  <si>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</si>
  <si>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</si>
  <si>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</si>
  <si>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</si>
  <si>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</si>
  <si>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</si>
  <si>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</si>
  <si>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</si>
  <si>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</si>
  <si>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</si>
  <si>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</si>
  <si>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</si>
  <si>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</si>
  <si>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</si>
  <si>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</si>
  <si>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</si>
  <si>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</si>
  <si>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</si>
  <si>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</si>
  <si>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</si>
  <si>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</si>
  <si>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</si>
  <si>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</si>
  <si>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</si>
  <si>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</si>
  <si>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</si>
  <si>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</si>
  <si>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</si>
  <si>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</si>
  <si>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</si>
  <si>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</si>
  <si>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</si>
  <si>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</si>
  <si>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</si>
  <si>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</si>
  <si>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</si>
  <si>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</si>
  <si>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</si>
  <si>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</si>
  <si>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</si>
  <si>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</si>
  <si>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</si>
  <si>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</si>
  <si>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</si>
  <si>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</si>
  <si>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</si>
  <si>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</si>
  <si>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</si>
  <si>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</si>
  <si>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</si>
  <si>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</si>
  <si>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</si>
  <si>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</si>
  <si>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</si>
  <si>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</si>
  <si>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</si>
  <si>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</si>
  <si>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</si>
  <si>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</si>
  <si>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</si>
  <si>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</si>
  <si>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</si>
  <si>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</si>
  <si>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</si>
  <si>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</si>
  <si>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</si>
  <si>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</si>
  <si>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</si>
  <si>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</si>
  <si>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</si>
  <si>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</si>
  <si>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</si>
  <si>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</si>
  <si>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</si>
  <si>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</si>
  <si>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</si>
  <si>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</si>
  <si>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</si>
  <si>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</si>
  <si>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</si>
  <si>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</si>
  <si>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</si>
  <si>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</si>
  <si>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</si>
  <si>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</si>
  <si>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</si>
  <si>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</si>
  <si>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</si>
  <si>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</si>
  <si>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</si>
  <si>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</si>
  <si>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</si>
  <si>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</si>
  <si>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</si>
  <si>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</si>
  <si>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</si>
  <si>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</si>
  <si>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</si>
  <si>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</si>
  <si>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</si>
  <si>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</si>
  <si>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</si>
  <si>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</si>
  <si>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</si>
  <si>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</si>
  <si>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</si>
  <si>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</si>
  <si>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</si>
  <si>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</si>
  <si>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</si>
  <si>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</si>
  <si>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</si>
  <si>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</si>
  <si>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</si>
  <si>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</si>
  <si>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</si>
  <si>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</si>
  <si>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</si>
  <si>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</si>
  <si>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</si>
  <si>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</si>
  <si>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</si>
  <si>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</si>
  <si>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</si>
  <si>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</si>
  <si>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</si>
  <si>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</si>
  <si>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</si>
  <si>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</si>
  <si>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</si>
  <si>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</si>
  <si>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</si>
  <si>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</si>
  <si>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</si>
  <si>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</si>
  <si>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</si>
  <si>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</si>
  <si>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</si>
  <si>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</si>
  <si>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</si>
  <si>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</si>
  <si>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</si>
  <si>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</si>
  <si>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</si>
  <si>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</si>
  <si>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</si>
  <si>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</si>
  <si>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</si>
  <si>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</si>
  <si>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</si>
  <si>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</si>
  <si>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</si>
  <si>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</si>
  <si>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</si>
  <si>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</si>
  <si>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</si>
  <si>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</si>
  <si>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</si>
  <si>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</si>
  <si>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</si>
  <si>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</si>
  <si>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</si>
  <si>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</si>
  <si>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</si>
  <si>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</si>
  <si>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</si>
  <si>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</si>
  <si>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</si>
  <si>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</si>
  <si>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</si>
  <si>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</si>
  <si>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</si>
  <si>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</si>
  <si>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</si>
  <si>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</si>
  <si>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</si>
  <si>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</si>
  <si>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</si>
  <si>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</si>
  <si>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</si>
  <si>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</si>
  <si>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</si>
  <si>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</si>
  <si>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</si>
  <si>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</si>
  <si>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</si>
  <si>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</si>
  <si>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</si>
  <si>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</si>
  <si>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</si>
  <si>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</si>
  <si>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</si>
  <si>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</si>
  <si>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</si>
  <si>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</si>
  <si>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</si>
  <si>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</si>
  <si>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</si>
  <si>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</si>
  <si>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</si>
  <si>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</si>
  <si>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</si>
  <si>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</si>
  <si>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</si>
  <si>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</si>
  <si>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</si>
  <si>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</si>
  <si>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</si>
  <si>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</si>
  <si>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</si>
  <si>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</si>
  <si>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</si>
  <si>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</si>
  <si>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</si>
  <si>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</si>
  <si>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</si>
  <si>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</si>
  <si>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</si>
  <si>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</si>
  <si>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</si>
  <si>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</si>
  <si>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</si>
  <si>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</si>
  <si>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</si>
  <si>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</si>
  <si>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</si>
  <si>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</si>
  <si>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</si>
  <si>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</si>
  <si>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</si>
  <si>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</si>
  <si>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</si>
  <si>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</si>
  <si>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</si>
  <si>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</si>
  <si>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</si>
  <si>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</si>
  <si>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</si>
  <si>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</si>
  <si>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</si>
  <si>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</si>
  <si>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</si>
  <si>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</si>
  <si>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</si>
  <si>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</si>
  <si>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</si>
  <si>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</si>
  <si>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</si>
  <si>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</si>
  <si>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</si>
  <si>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</si>
  <si>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</si>
  <si>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</si>
  <si>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</si>
  <si>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</si>
  <si>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</si>
  <si>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</si>
  <si>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</si>
  <si>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</si>
  <si>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</si>
  <si>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</si>
  <si>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</si>
  <si>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</si>
  <si>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</si>
  <si>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</si>
  <si>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</si>
  <si>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</si>
  <si>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</si>
  <si>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</si>
  <si>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</si>
  <si>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</si>
  <si>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</si>
  <si>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</si>
  <si>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</si>
  <si>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</si>
  <si>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</si>
  <si>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</si>
  <si>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</si>
  <si>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</si>
  <si>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</si>
  <si>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</si>
  <si>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</si>
  <si>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</si>
  <si>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</si>
  <si>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</si>
  <si>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</si>
  <si>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</si>
  <si>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</si>
  <si>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</si>
  <si>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</si>
  <si>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</si>
  <si>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</si>
  <si>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</si>
  <si>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</si>
  <si>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</si>
  <si>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</si>
  <si>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</si>
  <si>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</si>
  <si>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</si>
  <si>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</si>
  <si>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</si>
  <si>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</si>
  <si>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</si>
  <si>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</si>
  <si>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</si>
  <si>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</si>
  <si>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</si>
  <si>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</si>
  <si>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</si>
  <si>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</si>
  <si>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</si>
  <si>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</si>
  <si>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</si>
  <si>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</si>
  <si>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</si>
  <si>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</si>
  <si>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</si>
  <si>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</si>
  <si>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</si>
  <si>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</si>
  <si>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</si>
  <si>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</si>
  <si>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</si>
  <si>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</si>
  <si>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</si>
  <si>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</si>
  <si>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</si>
  <si>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</si>
  <si>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</si>
  <si>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</si>
  <si>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</si>
  <si>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</si>
  <si>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</si>
  <si>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</si>
  <si>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</si>
  <si>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</si>
  <si>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</si>
  <si>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</si>
  <si>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</si>
  <si>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</si>
  <si>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</si>
  <si>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</si>
  <si>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</si>
  <si>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</si>
  <si>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</si>
  <si>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</si>
  <si>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</si>
  <si>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</si>
  <si>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</si>
  <si>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</si>
  <si>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</si>
  <si>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</si>
  <si>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</si>
  <si>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</si>
  <si>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</si>
  <si>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</si>
  <si>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</si>
  <si>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</si>
  <si>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</si>
  <si>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</si>
  <si>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</si>
  <si>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</si>
  <si>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</si>
  <si>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</si>
  <si>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</si>
  <si>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</si>
  <si>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</si>
  <si>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</si>
  <si>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</si>
  <si>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</si>
  <si>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</si>
  <si>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</si>
  <si>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</si>
  <si>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</si>
  <si>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</si>
  <si>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</si>
  <si>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</si>
  <si>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</si>
  <si>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</si>
  <si>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</si>
  <si>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</si>
  <si>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</si>
  <si>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</si>
  <si>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</si>
  <si>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</si>
  <si>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</si>
  <si>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</si>
  <si>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</si>
  <si>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</si>
  <si>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</si>
  <si>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</si>
  <si>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</si>
  <si>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</si>
  <si>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</si>
  <si>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</si>
  <si>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</si>
  <si>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</si>
  <si>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</si>
  <si>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</si>
  <si>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</si>
  <si>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</si>
  <si>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</si>
  <si>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</si>
  <si>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</si>
  <si>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</si>
  <si>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</si>
  <si>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</si>
  <si>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</si>
  <si>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</si>
  <si>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</si>
  <si>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</si>
  <si>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</si>
  <si>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</si>
  <si>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</si>
  <si>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</si>
  <si>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</si>
  <si>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</si>
  <si>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</si>
  <si>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</si>
  <si>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</si>
  <si>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</si>
  <si>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</si>
  <si>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</si>
  <si>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</si>
  <si>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</si>
  <si>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</si>
  <si>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</si>
  <si>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</si>
  <si>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</si>
  <si>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</si>
  <si>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</si>
  <si>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</si>
  <si>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</si>
  <si>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</si>
  <si>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</si>
  <si>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</si>
  <si>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</si>
  <si>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</si>
  <si>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</si>
  <si>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</si>
  <si>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</si>
  <si>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</si>
  <si>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</si>
  <si>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</si>
  <si>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</si>
  <si>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</si>
  <si>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</si>
  <si>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</si>
  <si>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</si>
  <si>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</si>
  <si>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</si>
  <si>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</si>
  <si>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</si>
  <si>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</si>
  <si>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</si>
  <si>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</si>
  <si>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</si>
  <si>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</si>
  <si>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</si>
  <si>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</si>
  <si>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</si>
  <si>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</si>
  <si>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</si>
  <si>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</si>
  <si>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</si>
  <si>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</si>
  <si>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</si>
  <si>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</si>
  <si>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</si>
  <si>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</si>
  <si>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</si>
  <si>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</si>
  <si>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</si>
  <si>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</si>
  <si>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</si>
  <si>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</si>
  <si>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</si>
  <si>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</si>
  <si>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</si>
  <si>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</si>
  <si>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</si>
  <si>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</si>
  <si>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</si>
  <si>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</si>
  <si>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</si>
  <si>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</si>
  <si>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</si>
  <si>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</si>
  <si>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</si>
  <si>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</si>
  <si>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</si>
  <si>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</si>
  <si>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</si>
  <si>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</si>
  <si>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</si>
  <si>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</si>
  <si>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</si>
  <si>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</si>
  <si>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</si>
  <si>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</si>
  <si>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</si>
  <si>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</si>
  <si>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</si>
  <si>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</si>
  <si>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</si>
  <si>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</si>
  <si>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</si>
  <si>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</si>
  <si>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</si>
  <si>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</si>
  <si>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</si>
  <si>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</si>
  <si>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</si>
  <si>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</si>
  <si>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</si>
  <si>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</si>
  <si>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</si>
  <si>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</si>
  <si>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</si>
  <si>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</si>
  <si>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</si>
  <si>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</si>
  <si>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</si>
  <si>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</si>
  <si>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</si>
  <si>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</si>
  <si>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</si>
  <si>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</si>
  <si>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</si>
  <si>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</si>
  <si>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</si>
  <si>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</si>
  <si>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</si>
  <si>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</si>
  <si>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</si>
  <si>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</si>
  <si>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</si>
  <si>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</si>
  <si>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</si>
  <si>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</si>
  <si>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</si>
  <si>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</si>
  <si>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</si>
  <si>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</si>
  <si>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</si>
  <si>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</si>
  <si>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</si>
  <si>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</si>
  <si>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</si>
  <si>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</si>
  <si>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</si>
  <si>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</si>
  <si>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</si>
  <si>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</si>
  <si>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</si>
  <si>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</si>
  <si>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</si>
  <si>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</si>
  <si>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</si>
  <si>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</si>
  <si>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</si>
  <si>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</si>
  <si>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</si>
  <si>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</si>
  <si>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</si>
  <si>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</si>
  <si>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</si>
  <si>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</si>
  <si>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</si>
  <si>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</si>
  <si>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</si>
  <si>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</si>
  <si>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</si>
  <si>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</si>
  <si>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</si>
  <si>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</si>
  <si>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</si>
  <si>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</si>
  <si>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</si>
  <si>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</si>
  <si>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</si>
  <si>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</si>
  <si>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</si>
  <si>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</si>
  <si>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</si>
  <si>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</si>
  <si>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</si>
  <si>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</si>
  <si>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</si>
  <si>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</si>
  <si>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</si>
  <si>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</si>
  <si>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</si>
  <si>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</si>
  <si>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</si>
  <si>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</si>
  <si>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</si>
  <si>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</si>
  <si>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</si>
  <si>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</si>
  <si>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</si>
  <si>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</si>
  <si>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</si>
  <si>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</si>
  <si>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</si>
  <si>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</si>
  <si>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</si>
  <si>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</si>
  <si>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</si>
  <si>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</si>
  <si>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</si>
  <si>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</si>
  <si>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</si>
  <si>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</si>
  <si>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</si>
  <si>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</si>
  <si>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</si>
  <si>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</si>
  <si>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</si>
  <si>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</si>
  <si>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</si>
  <si>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</si>
  <si>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</si>
  <si>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</si>
  <si>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</si>
  <si>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</si>
  <si>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</si>
  <si>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</si>
  <si>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</si>
  <si>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</si>
  <si>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</si>
  <si>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</si>
  <si>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</si>
  <si>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</si>
  <si>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</si>
  <si>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</si>
  <si>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</si>
  <si>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</si>
  <si>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</si>
  <si>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</si>
  <si>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</si>
  <si>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</si>
  <si>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</si>
  <si>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</si>
  <si>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</si>
  <si>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</si>
  <si>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</si>
  <si>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</si>
  <si>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</si>
  <si>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</si>
  <si>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</si>
  <si>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</si>
  <si>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</si>
  <si>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</si>
  <si>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</si>
  <si>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</si>
  <si>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</si>
  <si>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</si>
  <si>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</si>
  <si>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</si>
  <si>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</si>
  <si>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</si>
  <si>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</si>
  <si>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</si>
  <si>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</si>
  <si>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</si>
  <si>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</si>
  <si>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</si>
  <si>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</si>
  <si>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</si>
  <si>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</si>
  <si>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</si>
  <si>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</si>
  <si>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</si>
  <si>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</si>
  <si>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</si>
  <si>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</si>
  <si>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</si>
  <si>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</si>
  <si>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</si>
  <si>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</si>
  <si>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</si>
  <si>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</si>
  <si>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</si>
  <si>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</si>
  <si>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</si>
  <si>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</si>
  <si>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</si>
  <si>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</si>
  <si>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</si>
  <si>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</si>
  <si>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</si>
  <si>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</si>
  <si>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</si>
  <si>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</si>
  <si>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</si>
  <si>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</si>
  <si>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</si>
  <si>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</si>
  <si>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</si>
  <si>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</si>
  <si>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</si>
  <si>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</si>
  <si>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</si>
  <si>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</si>
  <si>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</si>
  <si>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</si>
  <si>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</si>
  <si>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</si>
  <si>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</si>
  <si>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</si>
  <si>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</si>
  <si>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</si>
  <si>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</si>
  <si>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</si>
  <si>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</si>
  <si>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</si>
  <si>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</si>
  <si>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</si>
  <si>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</si>
  <si>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</si>
  <si>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</si>
  <si>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</si>
  <si>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</si>
  <si>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</si>
  <si>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</si>
  <si>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</si>
  <si>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</si>
  <si>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</si>
  <si>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</si>
  <si>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</si>
  <si>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</si>
  <si>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</si>
  <si>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</si>
  <si>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</si>
  <si>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</si>
  <si>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</si>
  <si>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</si>
  <si>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</si>
  <si>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</si>
  <si>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</si>
  <si>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</si>
  <si>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</si>
  <si>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</si>
  <si>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</si>
  <si>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</si>
  <si>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</si>
  <si>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</si>
  <si>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</si>
  <si>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</si>
  <si>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</si>
  <si>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</si>
  <si>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</si>
  <si>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</si>
  <si>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</si>
  <si>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</si>
  <si>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</si>
  <si>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</si>
  <si>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</si>
  <si>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</si>
  <si>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</si>
  <si>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</si>
  <si>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</si>
  <si>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</si>
  <si>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</si>
  <si>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</si>
  <si>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</si>
  <si>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</si>
  <si>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</si>
  <si>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</si>
  <si>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</si>
  <si>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</si>
  <si>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</si>
  <si>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</si>
  <si>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</si>
  <si>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</si>
  <si>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</si>
  <si>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</si>
  <si>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</si>
  <si>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</si>
  <si>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</si>
  <si>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</si>
  <si>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</si>
  <si>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</si>
  <si>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</si>
  <si>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</si>
  <si>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</si>
  <si>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</si>
  <si>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</si>
  <si>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</si>
  <si>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</si>
  <si>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</si>
  <si>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</si>
  <si>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</si>
  <si>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</si>
  <si>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</si>
  <si>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</si>
  <si>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</si>
  <si>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</si>
  <si>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</si>
  <si>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</si>
  <si>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</si>
  <si>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</si>
  <si>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</si>
  <si>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</si>
  <si>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</si>
  <si>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</si>
  <si>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</si>
  <si>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</si>
  <si>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</si>
  <si>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</si>
  <si>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</si>
  <si>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</si>
  <si>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</si>
  <si>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</si>
  <si>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</si>
  <si>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</si>
  <si>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</si>
  <si>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</si>
  <si>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</si>
  <si>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</si>
  <si>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</si>
  <si>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</si>
  <si>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</si>
  <si>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</si>
  <si>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</si>
  <si>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</si>
  <si>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</si>
  <si>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</si>
  <si>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</si>
  <si>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</si>
  <si>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</si>
  <si>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</si>
  <si>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</si>
  <si>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</si>
  <si>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</si>
  <si>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</si>
  <si>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</si>
  <si>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</si>
  <si>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</si>
  <si>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</si>
  <si>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</si>
  <si>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</si>
  <si>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</si>
  <si>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</si>
  <si>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</si>
  <si>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</si>
  <si>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</si>
  <si>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</si>
  <si>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</si>
  <si>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</si>
  <si>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</si>
  <si>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</si>
  <si>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</si>
  <si>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</si>
  <si>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</si>
  <si>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</si>
  <si>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</si>
  <si>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</si>
  <si>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</si>
  <si>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</si>
  <si>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</si>
  <si>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</si>
  <si>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</si>
  <si>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</si>
  <si>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</si>
  <si>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</si>
  <si>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</si>
  <si>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</si>
  <si>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</si>
  <si>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</si>
  <si>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</si>
  <si>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</si>
  <si>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</si>
  <si>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</si>
  <si>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</si>
  <si>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</si>
  <si>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</si>
  <si>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</si>
  <si>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</si>
  <si>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</si>
  <si>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</si>
  <si>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</si>
  <si>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</si>
  <si>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</si>
  <si>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</si>
  <si>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</si>
  <si>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</si>
  <si>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</si>
  <si>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</si>
  <si>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</si>
  <si>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</si>
  <si>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</si>
  <si>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</si>
  <si>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</si>
  <si>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</si>
  <si>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</si>
  <si>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</si>
  <si>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</si>
  <si>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</si>
  <si>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</si>
  <si>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</si>
  <si>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</si>
  <si>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</si>
  <si>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</si>
  <si>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</si>
  <si>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</si>
  <si>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</si>
  <si>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</si>
  <si>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</si>
  <si>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</si>
  <si>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</si>
  <si>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</si>
  <si>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</si>
  <si>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</si>
  <si>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</si>
  <si>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</si>
  <si>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</si>
  <si>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</si>
  <si>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</si>
  <si>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</si>
  <si>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</si>
  <si>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</si>
  <si>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</si>
  <si>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</si>
  <si>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</si>
  <si>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</si>
  <si>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</si>
  <si>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</si>
  <si>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</si>
  <si>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</si>
  <si>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</si>
  <si>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</si>
  <si>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</si>
  <si>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</si>
  <si>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</si>
  <si>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</si>
  <si>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</si>
  <si>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</si>
  <si>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</si>
  <si>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</si>
  <si>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</si>
  <si>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</si>
  <si>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</si>
  <si>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</si>
  <si>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</si>
  <si>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</si>
  <si>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</si>
  <si>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</si>
  <si>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</si>
  <si>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</si>
  <si>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</si>
  <si>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</si>
  <si>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</si>
  <si>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</si>
  <si>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</si>
  <si>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</si>
  <si>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</si>
  <si>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</si>
  <si>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</si>
  <si>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</si>
  <si>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</si>
  <si>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</si>
  <si>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</si>
  <si>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</si>
  <si>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</si>
  <si>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</si>
  <si>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</si>
  <si>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</si>
  <si>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</si>
  <si>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</si>
  <si>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</si>
  <si>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</si>
  <si>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</si>
  <si>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</si>
  <si>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</si>
  <si>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</si>
  <si>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</si>
  <si>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</si>
  <si>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</si>
  <si>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</si>
  <si>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</si>
  <si>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</si>
  <si>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</si>
  <si>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</si>
  <si>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</si>
  <si>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</si>
  <si>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</si>
  <si>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</si>
  <si>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</si>
  <si>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</si>
  <si>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</si>
  <si>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</si>
  <si>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</si>
  <si>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</si>
  <si>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</si>
  <si>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</si>
  <si>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</si>
  <si>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</si>
  <si>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</si>
  <si>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</si>
  <si>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</si>
  <si>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</si>
  <si>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</si>
  <si>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</si>
  <si>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</si>
  <si>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</si>
  <si>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</si>
  <si>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</si>
  <si>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</si>
  <si>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</si>
  <si>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</si>
  <si>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</si>
  <si>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</si>
  <si>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</si>
  <si>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</si>
  <si>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</si>
  <si>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</si>
  <si>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</si>
  <si>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</si>
  <si>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</si>
  <si>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</si>
  <si>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</si>
  <si>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</si>
  <si>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</si>
  <si>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</si>
  <si>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</si>
  <si>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</si>
  <si>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</si>
  <si>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</si>
  <si>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</si>
  <si>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</si>
  <si>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</si>
  <si>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</si>
  <si>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</si>
  <si>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</si>
  <si>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</si>
  <si>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</si>
  <si>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</si>
  <si>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</si>
  <si>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</si>
  <si>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</si>
  <si>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</si>
  <si>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</si>
  <si>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</si>
  <si>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</si>
  <si>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</si>
  <si>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</si>
  <si>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</si>
  <si>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</si>
  <si>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</si>
  <si>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</si>
  <si>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</si>
  <si>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</si>
  <si>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</si>
  <si>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</si>
  <si>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</si>
  <si>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</si>
  <si>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</si>
  <si>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</si>
  <si>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</si>
  <si>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</si>
  <si>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</si>
  <si>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</si>
  <si>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</si>
  <si>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</si>
  <si>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</si>
  <si>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</si>
  <si>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</si>
  <si>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</si>
  <si>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</si>
  <si>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</si>
  <si>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</si>
  <si>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</si>
  <si>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</si>
  <si>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</si>
  <si>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</si>
  <si>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</si>
  <si>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</si>
  <si>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</si>
  <si>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</si>
  <si>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</si>
  <si>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</si>
  <si>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</si>
  <si>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</si>
  <si>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</si>
  <si>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</si>
  <si>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</si>
  <si>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</si>
  <si>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</si>
  <si>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</si>
  <si>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</si>
  <si>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</si>
  <si>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</si>
  <si>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</si>
  <si>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</si>
  <si>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</si>
  <si>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</si>
  <si>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</si>
  <si>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</si>
  <si>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</si>
  <si>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</si>
  <si>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</si>
  <si>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</si>
  <si>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</si>
  <si>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</si>
  <si>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</si>
  <si>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</si>
  <si>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</si>
  <si>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</si>
  <si>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</si>
  <si>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</si>
  <si>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</si>
  <si>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</si>
  <si>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</si>
  <si>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</si>
  <si>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</si>
  <si>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</si>
  <si>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</si>
  <si>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</si>
  <si>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</si>
  <si>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</si>
  <si>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</si>
  <si>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</si>
  <si>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</si>
  <si>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</si>
  <si>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</si>
  <si>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</si>
  <si>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</si>
  <si>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</si>
  <si>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</si>
  <si>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</si>
  <si>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</si>
  <si>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</si>
  <si>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</si>
  <si>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</si>
  <si>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</si>
  <si>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</si>
  <si>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</si>
  <si>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</si>
  <si>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</si>
  <si>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</si>
  <si>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</si>
  <si>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</si>
  <si>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</si>
  <si>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</si>
  <si>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</si>
  <si>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</si>
  <si>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</si>
  <si>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</si>
  <si>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</si>
  <si>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</si>
  <si>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</si>
  <si>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</si>
  <si>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</si>
  <si>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</si>
  <si>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</si>
  <si>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</si>
  <si>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</si>
  <si>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</si>
  <si>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</si>
  <si>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</si>
  <si>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</si>
  <si>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</si>
  <si>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</si>
  <si>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</si>
  <si>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</si>
  <si>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</si>
  <si>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</si>
  <si>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</si>
  <si>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</si>
  <si>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</si>
  <si>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</si>
  <si>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</si>
  <si>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</si>
  <si>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</si>
  <si>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</si>
  <si>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</si>
  <si>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</si>
  <si>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</si>
  <si>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</si>
  <si>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</si>
  <si>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</si>
  <si>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</si>
  <si>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</si>
  <si>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</si>
  <si>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</si>
  <si>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</si>
  <si>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</si>
  <si>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</si>
  <si>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</si>
  <si>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</si>
  <si>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</si>
  <si>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</si>
  <si>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</si>
  <si>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</si>
  <si>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</si>
  <si>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</si>
  <si>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</si>
  <si>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</si>
  <si>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</si>
  <si>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</si>
  <si>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</si>
  <si>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</si>
  <si>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</si>
  <si>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</si>
  <si>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</si>
  <si>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</si>
  <si>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</si>
  <si>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</si>
  <si>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</si>
  <si>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</si>
  <si>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</si>
  <si>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</si>
  <si>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</si>
  <si>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</si>
  <si>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</si>
  <si>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</si>
  <si>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</si>
  <si>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</si>
  <si>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</si>
  <si>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</si>
  <si>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</si>
  <si>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</si>
  <si>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</si>
  <si>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</si>
  <si>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</si>
  <si>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</si>
  <si>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</si>
  <si>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</si>
  <si>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</si>
  <si>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</si>
  <si>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</si>
  <si>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</si>
  <si>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</si>
  <si>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</si>
  <si>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</si>
  <si>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</si>
  <si>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</si>
  <si>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</si>
  <si>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</si>
  <si>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</si>
  <si>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</si>
  <si>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</si>
  <si>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</si>
  <si>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</si>
  <si>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</si>
  <si>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</si>
  <si>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</si>
  <si>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</si>
  <si>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</si>
  <si>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</si>
  <si>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</si>
  <si>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</si>
  <si>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</si>
  <si>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</si>
  <si>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</si>
  <si>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</si>
  <si>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</si>
  <si>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</si>
  <si>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</si>
  <si>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</si>
  <si>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</si>
  <si>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</si>
  <si>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</si>
  <si>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</si>
  <si>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</si>
  <si>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</si>
  <si>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</si>
  <si>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</si>
  <si>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</si>
  <si>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</si>
  <si>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</si>
  <si>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</si>
  <si>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</si>
  <si>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</si>
  <si>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</si>
  <si>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</si>
  <si>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</si>
  <si>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</si>
  <si>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</si>
  <si>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</si>
  <si>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</si>
  <si>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</si>
  <si>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</si>
  <si>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</si>
  <si>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</si>
  <si>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</si>
  <si>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</si>
  <si>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</si>
  <si>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</si>
  <si>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</si>
  <si>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</si>
  <si>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</si>
  <si>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</si>
  <si>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</si>
  <si>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</si>
  <si>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</si>
  <si>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</si>
  <si>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</si>
  <si>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</si>
  <si>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</si>
  <si>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</si>
  <si>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</si>
  <si>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</si>
  <si>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</si>
  <si>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</si>
  <si>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</si>
  <si>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</si>
  <si>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</si>
  <si>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</si>
  <si>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</si>
  <si>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</si>
  <si>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</si>
  <si>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</si>
  <si>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</si>
  <si>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</si>
  <si>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</si>
  <si>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</si>
  <si>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</si>
  <si>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</si>
  <si>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</si>
  <si>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</si>
  <si>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</si>
  <si>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</si>
  <si>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</si>
  <si>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</si>
  <si>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</si>
  <si>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</si>
  <si>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</si>
  <si>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</si>
  <si>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</si>
  <si>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</si>
  <si>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</si>
  <si>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</si>
  <si>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</si>
  <si>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</si>
  <si>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</si>
  <si>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</si>
  <si>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</si>
  <si>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</si>
  <si>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</si>
  <si>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</si>
  <si>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</si>
  <si>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</si>
  <si>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</si>
  <si>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</si>
  <si>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</si>
  <si>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</si>
  <si>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</si>
  <si>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</si>
  <si>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</si>
  <si>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</si>
  <si>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</si>
  <si>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</si>
  <si>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</si>
  <si>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</si>
  <si>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</si>
  <si>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</si>
  <si>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</si>
  <si>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</si>
  <si>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</si>
  <si>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</si>
  <si>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</si>
  <si>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</si>
  <si>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</si>
  <si>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</si>
  <si>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</si>
  <si>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</si>
  <si>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</si>
  <si>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</si>
  <si>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</si>
  <si>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</si>
  <si>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</si>
  <si>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</si>
  <si>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</si>
  <si>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</si>
  <si>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</si>
  <si>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</si>
  <si>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</si>
  <si>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</si>
  <si>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</si>
  <si>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</si>
  <si>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</si>
  <si>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</si>
  <si>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</si>
  <si>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</si>
  <si>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</si>
  <si>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</si>
  <si>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</si>
  <si>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</si>
  <si>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</si>
  <si>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</si>
  <si>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</si>
  <si>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</si>
  <si>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</si>
  <si>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</si>
  <si>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</si>
  <si>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</si>
  <si>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</si>
  <si>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</si>
  <si>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</si>
  <si>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</si>
  <si>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</si>
  <si>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</si>
  <si>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</si>
  <si>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</si>
  <si>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</si>
  <si>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</si>
  <si>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</si>
  <si>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</si>
  <si>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</si>
  <si>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</si>
  <si>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</si>
  <si>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</si>
  <si>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</si>
  <si>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</si>
  <si>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</si>
  <si>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</si>
  <si>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</si>
  <si>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</si>
  <si>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</si>
  <si>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</si>
  <si>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</si>
  <si>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</si>
  <si>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</si>
  <si>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</si>
  <si>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</si>
  <si>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</si>
  <si>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</si>
  <si>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</si>
  <si>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</si>
  <si>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</si>
  <si>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</si>
  <si>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</si>
  <si>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</si>
  <si>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</si>
  <si>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</si>
  <si>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</si>
  <si>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</si>
  <si>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</si>
  <si>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</si>
  <si>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</si>
  <si>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</si>
  <si>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</si>
  <si>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</si>
  <si>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</si>
  <si>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</si>
  <si>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</si>
  <si>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</si>
  <si>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</si>
  <si>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</si>
  <si>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</si>
  <si>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</si>
  <si>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</si>
  <si>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</si>
  <si>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</si>
  <si>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</si>
  <si>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</si>
  <si>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</si>
  <si>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</si>
  <si>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</si>
  <si>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</si>
  <si>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</si>
  <si>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</si>
  <si>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</si>
  <si>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</si>
  <si>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</si>
  <si>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</si>
  <si>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</si>
  <si>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</si>
  <si>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</si>
  <si>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</si>
  <si>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</si>
  <si>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</si>
  <si>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</si>
  <si>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</si>
  <si>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</si>
  <si>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</si>
  <si>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</si>
  <si>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</si>
  <si>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</si>
  <si>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</si>
  <si>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</si>
  <si>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</si>
  <si>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</si>
  <si>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</si>
  <si>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</si>
  <si>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</si>
  <si>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</si>
  <si>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</si>
  <si>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</si>
  <si>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</si>
  <si>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</si>
  <si>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</si>
  <si>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</si>
  <si>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</si>
  <si>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</si>
  <si>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</si>
  <si>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</si>
  <si>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</si>
  <si>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</si>
  <si>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</si>
  <si>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</si>
  <si>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</si>
  <si>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</si>
  <si>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</si>
  <si>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</si>
  <si>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</si>
  <si>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</si>
  <si>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</si>
  <si>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</si>
  <si>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</si>
  <si>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</si>
  <si>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</si>
  <si>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</si>
  <si>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</si>
  <si>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</si>
  <si>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</si>
  <si>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</si>
  <si>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</si>
  <si>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</si>
  <si>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</si>
  <si>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</si>
  <si>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</si>
  <si>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</si>
  <si>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</si>
  <si>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</si>
  <si>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</si>
  <si>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</si>
  <si>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</si>
  <si>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</si>
  <si>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</si>
  <si>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</si>
  <si>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</si>
  <si>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</si>
  <si>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</si>
  <si>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</si>
  <si>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</si>
  <si>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</si>
  <si>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</si>
  <si>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</si>
  <si>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</si>
  <si>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</si>
  <si>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</si>
  <si>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</si>
  <si>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</si>
  <si>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</si>
  <si>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</si>
  <si>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</si>
  <si>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</si>
  <si>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</si>
  <si>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</si>
  <si>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</si>
  <si>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</si>
  <si>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</si>
  <si>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</si>
  <si>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</si>
  <si>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</si>
  <si>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</si>
  <si>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</si>
  <si>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</si>
  <si>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</si>
  <si>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</si>
  <si>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</si>
  <si>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</si>
  <si>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</si>
  <si>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</si>
  <si>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</si>
  <si>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</si>
  <si>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</si>
  <si>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</si>
  <si>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</si>
  <si>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</si>
  <si>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</si>
  <si>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</si>
  <si>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</si>
  <si>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</si>
  <si>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</si>
  <si>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</si>
  <si>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</si>
  <si>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</si>
  <si>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</si>
  <si>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</si>
  <si>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</si>
  <si>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</si>
  <si>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</si>
  <si>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</si>
  <si>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</si>
  <si>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</si>
  <si>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</si>
  <si>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</si>
  <si>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</si>
  <si>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</si>
  <si>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</si>
  <si>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</si>
  <si>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</si>
  <si>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</si>
  <si>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</si>
  <si>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</si>
  <si>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</si>
  <si>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</si>
  <si>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</si>
  <si>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</si>
  <si>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</si>
  <si>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</si>
  <si>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</si>
  <si>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</si>
  <si>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</si>
  <si>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</si>
  <si>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</si>
  <si>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</si>
  <si>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</si>
  <si>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</si>
  <si>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</si>
  <si>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</si>
  <si>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</si>
  <si>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</si>
  <si>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</si>
  <si>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</si>
  <si>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</si>
  <si>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</si>
  <si>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</si>
  <si>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</si>
  <si>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</si>
  <si>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</si>
  <si>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</si>
  <si>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</si>
  <si>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</si>
  <si>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</si>
  <si>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</si>
  <si>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</si>
  <si>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</si>
  <si>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</si>
  <si>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</si>
  <si>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</si>
  <si>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</si>
  <si>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</si>
  <si>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</si>
  <si>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</si>
  <si>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</si>
  <si>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</si>
  <si>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</si>
  <si>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</si>
  <si>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</si>
  <si>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</si>
  <si>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</si>
  <si>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</si>
  <si>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</si>
  <si>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</si>
  <si>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</si>
  <si>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</si>
  <si>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</si>
  <si>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</si>
  <si>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</si>
  <si>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</si>
  <si>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</si>
  <si>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</si>
  <si>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</si>
  <si>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</si>
  <si>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</si>
  <si>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</si>
  <si>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</si>
  <si>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</si>
  <si>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</si>
  <si>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</si>
  <si>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</si>
  <si>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</si>
  <si>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</si>
  <si>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</si>
  <si>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</si>
  <si>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</si>
  <si>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</si>
  <si>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</si>
  <si>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</si>
  <si>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</si>
  <si>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</si>
  <si>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</si>
  <si>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</si>
  <si>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</si>
  <si>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</si>
  <si>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</si>
  <si>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</si>
  <si>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</si>
  <si>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</si>
  <si>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</si>
  <si>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</si>
  <si>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</si>
  <si>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</si>
  <si>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</si>
  <si>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</si>
  <si>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</si>
  <si>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</si>
  <si>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</si>
  <si>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</si>
  <si>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</si>
  <si>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</si>
  <si>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</si>
  <si>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</si>
  <si>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</si>
  <si>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</si>
  <si>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</si>
  <si>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</si>
  <si>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</si>
  <si>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</si>
  <si>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</si>
  <si>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</si>
  <si>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</si>
  <si>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</si>
  <si>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</si>
  <si>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</si>
  <si>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</si>
  <si>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</si>
  <si>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</si>
  <si>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</si>
  <si>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</si>
  <si>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</si>
  <si>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</si>
  <si>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</si>
  <si>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</si>
  <si>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</si>
  <si>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</si>
  <si>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</si>
  <si>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</si>
  <si>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</si>
  <si>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</si>
  <si>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</si>
  <si>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</si>
  <si>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</si>
  <si>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</si>
  <si>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</si>
  <si>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</si>
  <si>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</si>
  <si>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</si>
  <si>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</si>
  <si>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</si>
  <si>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</si>
  <si>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</si>
  <si>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</si>
  <si>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</si>
  <si>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</si>
  <si>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</si>
  <si>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</si>
  <si>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</si>
  <si>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</si>
  <si>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</si>
  <si>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</si>
  <si>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</si>
  <si>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</si>
  <si>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</si>
  <si>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</si>
  <si>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</si>
  <si>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</si>
  <si>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</si>
  <si>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</si>
  <si>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</si>
  <si>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</si>
  <si>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</si>
  <si>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</si>
  <si>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</si>
  <si>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</si>
  <si>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</si>
  <si>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</si>
  <si>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</si>
  <si>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</si>
  <si>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</si>
  <si>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</si>
  <si>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</si>
  <si>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</si>
  <si>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</si>
  <si>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</si>
  <si>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</si>
  <si>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</si>
  <si>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</si>
  <si>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</si>
  <si>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</si>
  <si>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</si>
  <si>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</si>
  <si>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</si>
  <si>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</si>
  <si>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</si>
  <si>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</si>
  <si>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</si>
  <si>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</si>
  <si>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</si>
  <si>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</si>
  <si>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</si>
  <si>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</si>
  <si>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</si>
  <si>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</si>
  <si>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</si>
  <si>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</si>
  <si>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</si>
  <si>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</si>
  <si>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</si>
  <si>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</si>
  <si>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</si>
  <si>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</si>
  <si>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</si>
  <si>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</si>
  <si>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</si>
  <si>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</si>
  <si>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</si>
  <si>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</si>
  <si>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</si>
  <si>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</si>
  <si>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</si>
  <si>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</si>
  <si>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</si>
  <si>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</si>
  <si>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</si>
  <si>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</si>
  <si>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</si>
  <si>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</si>
  <si>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</si>
  <si>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</si>
  <si>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</si>
  <si>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</si>
  <si>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</si>
  <si>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</si>
  <si>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</si>
  <si>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</si>
  <si>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</si>
  <si>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</si>
  <si>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</si>
  <si>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</si>
  <si>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</si>
  <si>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</si>
  <si>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</si>
  <si>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</si>
  <si>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</si>
  <si>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</si>
  <si>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</si>
  <si>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</si>
  <si>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</si>
  <si>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</si>
  <si>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</si>
  <si>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</si>
  <si>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</si>
  <si>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</si>
  <si>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</si>
  <si>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</si>
  <si>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</si>
  <si>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</si>
  <si>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</si>
  <si>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</si>
  <si>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</si>
  <si>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</si>
  <si>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</si>
  <si>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</si>
  <si>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</si>
  <si>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</si>
  <si>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</si>
  <si>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</si>
  <si>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</si>
  <si>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</si>
  <si>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</si>
  <si>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</si>
  <si>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</si>
  <si>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</si>
  <si>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</si>
  <si>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</si>
  <si>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</si>
  <si>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</si>
  <si>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</si>
  <si>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</si>
  <si>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</si>
  <si>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</si>
  <si>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</si>
  <si>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</si>
  <si>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</si>
  <si>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</si>
  <si>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</si>
  <si>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</si>
  <si>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</si>
  <si>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</si>
  <si>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</si>
  <si>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</si>
  <si>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</si>
  <si>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</si>
  <si>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</si>
  <si>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</si>
  <si>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</si>
  <si>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</si>
  <si>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</si>
  <si>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</si>
  <si>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</si>
  <si>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</si>
  <si>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</si>
  <si>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</si>
  <si>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</si>
  <si>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</si>
  <si>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</si>
  <si>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</si>
  <si>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</si>
  <si>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</si>
  <si>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</si>
  <si>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</si>
  <si>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</si>
  <si>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</si>
  <si>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</si>
  <si>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</si>
  <si>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</si>
  <si>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</si>
  <si>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</si>
  <si>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</si>
  <si>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</si>
  <si>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</si>
  <si>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</si>
  <si>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</si>
  <si>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</si>
  <si>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</si>
  <si>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</si>
  <si>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</si>
  <si>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</si>
  <si>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</si>
  <si>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</si>
  <si>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</si>
  <si>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</si>
  <si>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</si>
  <si>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</si>
  <si>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</si>
  <si>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</si>
  <si>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</si>
  <si>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</si>
  <si>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</si>
  <si>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</si>
  <si>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</si>
  <si>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</si>
  <si>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</si>
  <si>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</si>
  <si>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</si>
  <si>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</si>
  <si>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</si>
  <si>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</si>
  <si>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</si>
  <si>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</si>
  <si>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</si>
  <si>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</si>
  <si>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</si>
  <si>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</si>
  <si>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</si>
  <si>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</si>
  <si>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</si>
  <si>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</si>
  <si>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</si>
  <si>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</si>
  <si>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</si>
  <si>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</si>
  <si>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</si>
  <si>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</si>
  <si>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</si>
  <si>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</si>
  <si>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</si>
  <si>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</si>
  <si>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</si>
  <si>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</si>
  <si>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</si>
  <si>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</si>
  <si>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</si>
  <si>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</si>
  <si>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</si>
  <si>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</si>
  <si>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</si>
  <si>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</si>
  <si>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</si>
  <si>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</si>
  <si>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</si>
  <si>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</si>
  <si>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</si>
  <si>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</si>
  <si>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</si>
  <si>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</si>
  <si>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</si>
  <si>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</si>
  <si>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</si>
  <si>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</si>
  <si>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</si>
  <si>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</si>
  <si>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</si>
  <si>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</si>
  <si>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</si>
  <si>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</si>
  <si>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</si>
  <si>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</si>
  <si>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</si>
  <si>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</si>
  <si>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</si>
  <si>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</si>
  <si>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</si>
  <si>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</si>
  <si>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</si>
  <si>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</si>
  <si>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</si>
  <si>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</si>
  <si>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</si>
  <si>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</si>
  <si>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</si>
  <si>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</si>
  <si>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</si>
  <si>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</si>
  <si>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</si>
  <si>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</si>
  <si>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</si>
  <si>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</si>
  <si>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</si>
  <si>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</si>
  <si>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</si>
  <si>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</si>
  <si>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</si>
  <si>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</si>
  <si>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</si>
  <si>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</si>
  <si>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</si>
  <si>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</si>
  <si>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</si>
  <si>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</si>
  <si>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</si>
  <si>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</si>
  <si>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</si>
  <si>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</si>
  <si>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</si>
  <si>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</si>
  <si>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</si>
  <si>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</si>
  <si>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</si>
  <si>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</si>
  <si>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</si>
  <si>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</si>
  <si>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</si>
  <si>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</si>
  <si>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</si>
  <si>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</si>
  <si>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</si>
  <si>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</si>
  <si>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</si>
  <si>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</si>
  <si>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</si>
  <si>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</si>
  <si>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</si>
  <si>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</si>
  <si>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</si>
  <si>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</si>
  <si>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</si>
  <si>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</si>
  <si>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</si>
  <si>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</si>
  <si>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</si>
  <si>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</si>
  <si>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</si>
  <si>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</si>
  <si>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</si>
  <si>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</si>
  <si>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</si>
  <si>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</si>
  <si>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</si>
  <si>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</si>
  <si>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</si>
  <si>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</si>
  <si>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</si>
  <si>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</si>
  <si>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</si>
  <si>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</si>
  <si>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</si>
  <si>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</si>
  <si>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</si>
  <si>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</si>
  <si>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</si>
  <si>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</si>
  <si>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</si>
  <si>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</si>
  <si>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</si>
  <si>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</si>
  <si>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</si>
  <si>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</si>
  <si>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</si>
  <si>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</si>
  <si>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</si>
  <si>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</si>
  <si>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</si>
  <si>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</si>
  <si>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</si>
  <si>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</si>
  <si>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</si>
  <si>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</si>
  <si>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</si>
  <si>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</si>
  <si>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</si>
  <si>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</si>
  <si>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</si>
  <si>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</si>
  <si>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</si>
  <si>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</si>
  <si>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</si>
  <si>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</si>
  <si>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</si>
  <si>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</si>
  <si>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</si>
  <si>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</si>
  <si>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</si>
  <si>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</si>
  <si>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</si>
  <si>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</si>
  <si>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</si>
  <si>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</si>
  <si>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</si>
  <si>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</si>
  <si>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</si>
  <si>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</si>
  <si>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</si>
  <si>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</si>
  <si>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</si>
  <si>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</si>
  <si>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</si>
  <si>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</si>
  <si>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</si>
  <si>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</si>
  <si>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</si>
  <si>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</si>
  <si>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</si>
  <si>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</si>
  <si>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</si>
  <si>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</si>
  <si>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</si>
  <si>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</si>
  <si>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</si>
  <si>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</si>
  <si>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</si>
  <si>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</si>
  <si>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</si>
  <si>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</si>
  <si>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</si>
  <si>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</si>
  <si>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</si>
  <si>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</si>
  <si>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</si>
  <si>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</si>
  <si>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</si>
  <si>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</si>
  <si>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</si>
  <si>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</si>
  <si>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</si>
  <si>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</si>
  <si>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</si>
  <si>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</si>
  <si>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</si>
  <si>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</si>
  <si>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</si>
  <si>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</si>
  <si>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</si>
  <si>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</si>
  <si>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</si>
  <si>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</si>
  <si>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</si>
  <si>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</si>
  <si>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</si>
  <si>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</si>
  <si>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</si>
  <si>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</si>
  <si>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</si>
  <si>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</si>
  <si>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</si>
  <si>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</si>
  <si>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</si>
  <si>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</si>
  <si>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</si>
  <si>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</si>
  <si>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</si>
  <si>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</si>
  <si>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</si>
  <si>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</si>
  <si>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</si>
  <si>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</si>
  <si>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</si>
  <si>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</si>
  <si>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</si>
  <si>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</si>
  <si>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</si>
  <si>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</si>
  <si>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</si>
  <si>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</si>
  <si>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</si>
  <si>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</si>
  <si>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</si>
  <si>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</si>
  <si>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</si>
  <si>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</si>
  <si>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</si>
  <si>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</si>
  <si>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</si>
  <si>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</si>
  <si>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</si>
  <si>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</si>
  <si>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</si>
  <si>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</si>
  <si>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</si>
  <si>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</si>
  <si>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</si>
  <si>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</si>
  <si>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</si>
  <si>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</si>
  <si>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</si>
  <si>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</si>
  <si>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</si>
  <si>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</si>
  <si>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</si>
  <si>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</si>
  <si>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</si>
  <si>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</si>
  <si>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</si>
  <si>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</si>
  <si>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</si>
  <si>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</si>
  <si>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</si>
  <si>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</si>
  <si>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</si>
  <si>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</si>
  <si>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</si>
  <si>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</si>
  <si>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</si>
  <si>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</si>
  <si>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</si>
  <si>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</si>
  <si>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</si>
  <si>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</si>
  <si>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</si>
  <si>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</si>
  <si>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</si>
  <si>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</si>
  <si>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</si>
  <si>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</si>
  <si>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</si>
  <si>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</si>
  <si>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</si>
  <si>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</si>
  <si>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</si>
  <si>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</si>
  <si>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</si>
  <si>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</si>
  <si>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</si>
  <si>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</si>
  <si>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</si>
  <si>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</si>
  <si>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</si>
  <si>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</si>
  <si>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</si>
  <si>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</si>
  <si>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</si>
  <si>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</si>
  <si>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</si>
  <si>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</si>
  <si>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</si>
  <si>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</si>
  <si>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</si>
  <si>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</si>
  <si>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</si>
  <si>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</si>
  <si>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</si>
  <si>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</si>
  <si>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</si>
  <si>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</si>
  <si>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</si>
  <si>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</si>
  <si>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</si>
  <si>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</si>
  <si>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</si>
  <si>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</si>
  <si>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</si>
  <si>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</si>
  <si>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</si>
  <si>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</si>
  <si>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</si>
  <si>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</si>
  <si>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</si>
  <si>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</si>
  <si>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</si>
  <si>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</si>
  <si>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</si>
  <si>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</si>
  <si>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</si>
  <si>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</si>
  <si>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</si>
  <si>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</si>
  <si>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</si>
  <si>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</si>
  <si>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</si>
  <si>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</si>
  <si>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</si>
  <si>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</si>
  <si>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</si>
  <si>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</si>
  <si>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</si>
  <si>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</si>
  <si>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</si>
  <si>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</si>
  <si>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</si>
  <si>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</si>
  <si>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</si>
  <si>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</si>
  <si>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</si>
  <si>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</si>
  <si>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</si>
  <si>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</si>
  <si>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</si>
  <si>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</si>
  <si>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</si>
  <si>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</si>
  <si>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</si>
  <si>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</si>
  <si>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</si>
  <si>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</si>
  <si>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</si>
  <si>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</si>
  <si>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</si>
  <si>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</si>
  <si>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</si>
  <si>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</si>
  <si>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</si>
  <si>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</si>
  <si>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</si>
  <si>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</si>
  <si>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</si>
  <si>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</si>
  <si>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</si>
  <si>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</si>
  <si>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</si>
  <si>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</si>
  <si>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</si>
  <si>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</si>
  <si>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</si>
  <si>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</si>
  <si>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</si>
  <si>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</si>
  <si>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</si>
  <si>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</si>
  <si>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</si>
  <si>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</si>
  <si>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</si>
  <si>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</si>
  <si>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</si>
  <si>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</si>
  <si>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</si>
  <si>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</si>
  <si>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</si>
  <si>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</si>
  <si>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</si>
  <si>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</si>
  <si>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</si>
  <si>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</si>
  <si>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</si>
  <si>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</si>
  <si>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</si>
  <si>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</si>
  <si>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</si>
  <si>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</si>
  <si>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</si>
  <si>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</si>
  <si>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</si>
  <si>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</si>
  <si>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</si>
  <si>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</si>
  <si>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</si>
  <si>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</si>
  <si>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</si>
  <si>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</si>
  <si>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</si>
  <si>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</si>
  <si>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</si>
  <si>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</si>
  <si>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</si>
  <si>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</si>
  <si>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</si>
  <si>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</si>
  <si>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</si>
  <si>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</si>
  <si>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</si>
  <si>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</si>
  <si>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</si>
  <si>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</si>
  <si>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</si>
  <si>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</si>
  <si>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</si>
  <si>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</si>
  <si>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</si>
  <si>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</si>
  <si>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</si>
  <si>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</si>
  <si>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</si>
  <si>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</si>
  <si>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</si>
  <si>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</si>
  <si>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</si>
  <si>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</si>
  <si>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</si>
  <si>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</si>
  <si>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</si>
  <si>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</si>
  <si>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</si>
  <si>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</si>
  <si>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</si>
  <si>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</si>
  <si>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</si>
  <si>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</si>
  <si>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</si>
  <si>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</si>
  <si>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</si>
  <si>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</si>
  <si>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</si>
  <si>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</si>
  <si>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</si>
  <si>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</si>
  <si>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</si>
  <si>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</si>
  <si>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</si>
  <si>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</si>
  <si>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</si>
  <si>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</si>
  <si>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</si>
  <si>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</si>
  <si>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</si>
  <si>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</si>
  <si>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</si>
  <si>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</si>
  <si>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</si>
  <si>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</si>
  <si>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</si>
  <si>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</si>
  <si>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</si>
  <si>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</si>
  <si>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</si>
  <si>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</si>
  <si>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</si>
  <si>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</si>
  <si>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</si>
  <si>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</si>
  <si>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</si>
  <si>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</si>
  <si>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</si>
  <si>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</si>
  <si>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</si>
  <si>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</si>
  <si>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</si>
  <si>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</si>
  <si>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</si>
  <si>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</si>
  <si>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</si>
  <si>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</si>
  <si>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</si>
  <si>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</si>
  <si>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</si>
  <si>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</si>
  <si>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</si>
  <si>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</si>
  <si>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</si>
  <si>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</si>
  <si>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</si>
  <si>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</si>
  <si>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</si>
  <si>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</si>
  <si>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</si>
  <si>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</si>
  <si>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</si>
  <si>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</si>
  <si>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</si>
  <si>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</si>
  <si>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</si>
  <si>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</si>
  <si>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</si>
  <si>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</si>
  <si>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</si>
  <si>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</si>
  <si>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</si>
  <si>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</si>
  <si>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</si>
  <si>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</si>
  <si>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</si>
  <si>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</si>
  <si>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</si>
  <si>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</si>
  <si>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</si>
  <si>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</si>
  <si>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</si>
  <si>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</si>
  <si>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</si>
  <si>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</si>
  <si>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</si>
  <si>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</si>
  <si>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</si>
  <si>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</si>
  <si>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</si>
  <si>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</si>
  <si>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</si>
  <si>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</si>
  <si>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</si>
  <si>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</si>
  <si>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</si>
  <si>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</si>
  <si>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</si>
  <si>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</si>
  <si>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</si>
  <si>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</si>
  <si>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</si>
  <si>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</si>
  <si>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</si>
  <si>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</si>
  <si>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</si>
  <si>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</si>
  <si>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</si>
  <si>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</si>
  <si>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</si>
  <si>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</si>
  <si>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</si>
  <si>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</si>
  <si>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</si>
  <si>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</si>
  <si>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</si>
  <si>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</si>
  <si>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</si>
  <si>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</si>
  <si>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</si>
  <si>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</si>
  <si>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</si>
  <si>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</si>
  <si>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</si>
  <si>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</si>
  <si>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</si>
  <si>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</si>
  <si>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</si>
  <si>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</si>
  <si>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</si>
  <si>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</si>
  <si>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</si>
  <si>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</si>
  <si>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</si>
  <si>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</si>
  <si>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</si>
  <si>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</si>
  <si>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</si>
  <si>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</si>
  <si>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</si>
  <si>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</si>
  <si>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</si>
  <si>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</si>
  <si>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</si>
  <si>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</si>
  <si>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</si>
  <si>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</si>
  <si>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</si>
  <si>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</si>
  <si>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</si>
  <si>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</si>
  <si>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</si>
  <si>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</si>
  <si>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</si>
  <si>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</si>
  <si>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</si>
  <si>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</si>
  <si>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</si>
  <si>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</si>
  <si>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</si>
  <si>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</si>
  <si>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</si>
  <si>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</si>
  <si>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</si>
  <si>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</si>
  <si>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</si>
  <si>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</si>
  <si>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</si>
  <si>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</si>
  <si>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</si>
  <si>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</si>
  <si>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</si>
  <si>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</si>
  <si>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</si>
  <si>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</si>
  <si>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</si>
  <si>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</si>
  <si>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</si>
  <si>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</si>
  <si>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</si>
  <si>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</si>
  <si>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</si>
  <si>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</si>
  <si>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</si>
  <si>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</si>
  <si>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</si>
  <si>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</si>
  <si>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</si>
  <si>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</si>
  <si>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</si>
  <si>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</si>
  <si>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</si>
  <si>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</si>
  <si>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</si>
  <si>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</si>
  <si>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</si>
  <si>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</si>
  <si>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</si>
  <si>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</si>
  <si>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</si>
  <si>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</si>
  <si>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</si>
  <si>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</si>
  <si>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</si>
  <si>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</si>
  <si>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</si>
  <si>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</si>
  <si>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</si>
  <si>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</si>
  <si>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</si>
  <si>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</si>
  <si>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</si>
  <si>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</si>
  <si>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</si>
  <si>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</si>
  <si>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</si>
  <si>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</si>
  <si>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</si>
  <si>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</si>
  <si>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</si>
  <si>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</si>
  <si>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</si>
  <si>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</si>
  <si>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</si>
  <si>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</si>
  <si>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</si>
  <si>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</si>
  <si>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</si>
  <si>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</si>
  <si>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</si>
  <si>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</si>
  <si>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</si>
  <si>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</si>
  <si>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</si>
  <si>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</si>
  <si>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</si>
  <si>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</si>
  <si>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</si>
  <si>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</si>
  <si>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</si>
  <si>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</si>
  <si>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</si>
  <si>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</si>
  <si>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</si>
  <si>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</si>
  <si>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</si>
  <si>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</si>
  <si>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</si>
  <si>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</si>
  <si>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</si>
  <si>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</si>
  <si>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</si>
  <si>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</si>
  <si>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</si>
  <si>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</si>
  <si>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</si>
  <si>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</si>
  <si>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</si>
  <si>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</si>
  <si>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</si>
  <si>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</si>
  <si>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</si>
  <si>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</si>
  <si>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</si>
  <si>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</si>
  <si>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</si>
  <si>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</si>
  <si>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</si>
  <si>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</si>
  <si>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</si>
  <si>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</si>
  <si>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</si>
  <si>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</si>
  <si>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</si>
  <si>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</si>
  <si>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</si>
  <si>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</si>
  <si>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</si>
  <si>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</si>
  <si>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</si>
  <si>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</si>
  <si>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</si>
  <si>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</si>
  <si>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</si>
  <si>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</si>
  <si>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</si>
  <si>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</si>
  <si>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</si>
  <si>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</si>
  <si>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</si>
  <si>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</si>
  <si>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</si>
  <si>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</si>
  <si>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</si>
  <si>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</si>
  <si>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</si>
  <si>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</si>
  <si>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</si>
  <si>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</si>
  <si>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</si>
  <si>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</si>
  <si>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</si>
  <si>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</si>
  <si>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</si>
  <si>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</si>
  <si>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</si>
  <si>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</si>
  <si>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</si>
  <si>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</si>
  <si>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</si>
  <si>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</si>
  <si>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</si>
  <si>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</si>
  <si>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</si>
  <si>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</si>
  <si>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</si>
  <si>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</si>
  <si>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</si>
  <si>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</si>
  <si>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</si>
  <si>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</si>
  <si>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</si>
  <si>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</si>
  <si>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</si>
  <si>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</si>
  <si>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</si>
  <si>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</si>
  <si>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</si>
  <si>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</si>
  <si>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</si>
  <si>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</si>
  <si>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</si>
  <si>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</si>
  <si>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</si>
  <si>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</si>
  <si>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</si>
  <si>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</si>
  <si>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</si>
  <si>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</si>
  <si>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</si>
  <si>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</si>
  <si>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</si>
  <si>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</si>
  <si>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</si>
  <si>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</si>
  <si>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</si>
  <si>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</si>
  <si>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</si>
  <si>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</si>
  <si>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</si>
  <si>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</si>
  <si>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</si>
  <si>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</si>
  <si>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</si>
  <si>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</si>
  <si>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</si>
  <si>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</si>
  <si>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</si>
  <si>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</si>
  <si>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</si>
  <si>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</si>
  <si>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</si>
  <si>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</si>
  <si>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</si>
  <si>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</si>
  <si>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</si>
  <si>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</si>
  <si>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</si>
  <si>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</si>
  <si>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</si>
  <si>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</si>
  <si>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</si>
  <si>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</si>
  <si>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</si>
  <si>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</si>
  <si>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</si>
  <si>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</si>
  <si>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</si>
  <si>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</si>
  <si>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</si>
  <si>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</si>
  <si>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</si>
  <si>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</si>
  <si>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</si>
  <si>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</si>
  <si>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</si>
  <si>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</si>
  <si>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</si>
  <si>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</si>
  <si>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</si>
  <si>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</si>
  <si>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</si>
  <si>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</si>
  <si>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</si>
  <si>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</si>
  <si>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</si>
  <si>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</si>
  <si>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</si>
  <si>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</si>
  <si>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</si>
  <si>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</si>
  <si>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</si>
  <si>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</si>
  <si>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</si>
  <si>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</si>
  <si>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</si>
  <si>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</si>
  <si>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</si>
  <si>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</si>
  <si>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</si>
  <si>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</si>
  <si>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</si>
  <si>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</si>
  <si>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</si>
  <si>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</si>
  <si>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</si>
  <si>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</si>
  <si>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</si>
  <si>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</si>
  <si>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</si>
  <si>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</si>
  <si>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</si>
  <si>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</si>
  <si>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</si>
  <si>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</si>
  <si>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</si>
  <si>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</si>
  <si>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</si>
  <si>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</si>
  <si>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</si>
  <si>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</si>
  <si>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</si>
  <si>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</si>
  <si>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</si>
  <si>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</si>
  <si>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</si>
  <si>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</si>
  <si>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</si>
  <si>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</si>
  <si>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</si>
  <si>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</si>
  <si>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</si>
  <si>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</si>
  <si>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</si>
  <si>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</si>
  <si>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</si>
  <si>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</si>
  <si>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</si>
  <si>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</si>
  <si>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</si>
  <si>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</si>
  <si>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</si>
  <si>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</si>
  <si>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</si>
  <si>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</si>
  <si>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</si>
  <si>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</si>
  <si>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</si>
  <si>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</si>
  <si>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</si>
  <si>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</si>
  <si>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</si>
  <si>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</si>
  <si>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</si>
  <si>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</si>
  <si>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</si>
  <si>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</si>
  <si>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</si>
  <si>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</si>
  <si>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</si>
  <si>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</si>
  <si>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</si>
  <si>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</si>
  <si>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</si>
  <si>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</si>
  <si>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</si>
  <si>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</si>
  <si>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</si>
  <si>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</si>
  <si>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</si>
  <si>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</si>
  <si>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</si>
  <si>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</si>
  <si>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</si>
  <si>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</si>
  <si>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</si>
  <si>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</si>
  <si>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</si>
  <si>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</si>
  <si>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</si>
  <si>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</si>
  <si>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</si>
  <si>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</si>
  <si>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</si>
  <si>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</si>
  <si>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</si>
  <si>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</si>
  <si>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</si>
  <si>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</si>
  <si>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</si>
  <si>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</si>
  <si>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</si>
  <si>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</si>
  <si>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</si>
  <si>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</si>
  <si>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</si>
  <si>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</si>
  <si>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</si>
  <si>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</si>
  <si>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</si>
  <si>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</si>
  <si>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</si>
  <si>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</si>
  <si>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</si>
  <si>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</si>
  <si>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</si>
  <si>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</si>
  <si>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</si>
  <si>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</si>
  <si>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</si>
  <si>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</si>
  <si>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</si>
  <si>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</si>
  <si>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</si>
  <si>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</si>
  <si>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</si>
  <si>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</si>
  <si>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</si>
  <si>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</si>
  <si>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</si>
  <si>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</si>
  <si>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</si>
  <si>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</si>
  <si>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</si>
  <si>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</si>
  <si>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</si>
  <si>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</si>
  <si>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</si>
  <si>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</si>
  <si>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</si>
  <si>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</si>
  <si>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</si>
  <si>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</si>
  <si>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</si>
  <si>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</si>
  <si>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</si>
  <si>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</si>
  <si>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</si>
  <si>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</si>
  <si>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</si>
  <si>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</si>
  <si>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</si>
  <si>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</si>
  <si>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</si>
  <si>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</si>
  <si>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</si>
  <si>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</si>
  <si>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</si>
  <si>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</si>
  <si>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</si>
  <si>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</si>
  <si>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</si>
  <si>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</si>
  <si>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</si>
  <si>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</si>
  <si>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</si>
  <si>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</si>
  <si>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</si>
  <si>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</si>
  <si>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</si>
  <si>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</si>
  <si>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</si>
  <si>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</si>
  <si>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</si>
  <si>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</si>
  <si>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</si>
  <si>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</si>
  <si>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</si>
  <si>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</si>
  <si>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</si>
  <si>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</si>
  <si>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</si>
  <si>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</si>
  <si>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</si>
  <si>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</si>
  <si>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</si>
  <si>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</si>
  <si>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</si>
  <si>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</si>
  <si>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</si>
  <si>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</si>
  <si>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</si>
  <si>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</si>
  <si>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</si>
  <si>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</si>
  <si>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</si>
  <si>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</si>
  <si>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</si>
  <si>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</si>
  <si>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</si>
  <si>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</si>
  <si>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</si>
  <si>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</si>
  <si>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</si>
  <si>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</si>
  <si>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</si>
  <si>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</si>
  <si>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</si>
  <si>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</si>
  <si>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</si>
  <si>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</si>
  <si>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</si>
  <si>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</si>
  <si>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</si>
  <si>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</si>
  <si>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</si>
  <si>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</si>
  <si>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</si>
  <si>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</si>
  <si>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</si>
  <si>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</si>
  <si>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</si>
  <si>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</si>
  <si>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</si>
  <si>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</si>
  <si>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</si>
  <si>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</si>
  <si>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</si>
  <si>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</si>
  <si>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</si>
  <si>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</si>
  <si>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</si>
  <si>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</si>
  <si>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</si>
  <si>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</si>
  <si>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</si>
  <si>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</si>
  <si>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</si>
  <si>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</si>
  <si>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</si>
  <si>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</si>
  <si>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</si>
  <si>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</si>
  <si>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</si>
  <si>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</si>
  <si>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</si>
  <si>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</si>
  <si>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</si>
  <si>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</si>
  <si>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</si>
  <si>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</si>
  <si>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</si>
  <si>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</si>
  <si>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</si>
  <si>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</si>
  <si>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</si>
  <si>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</si>
  <si>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</si>
  <si>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</si>
  <si>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</si>
  <si>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</si>
  <si>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</si>
  <si>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</si>
  <si>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</si>
  <si>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</si>
  <si>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</si>
  <si>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</si>
  <si>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</si>
  <si>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</si>
  <si>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</si>
  <si>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</si>
  <si>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</si>
  <si>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</si>
  <si>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</si>
  <si>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</si>
  <si>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</si>
  <si>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</si>
  <si>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</si>
  <si>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</si>
  <si>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</si>
  <si>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</si>
  <si>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</si>
  <si>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</si>
  <si>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</si>
  <si>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</si>
  <si>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</si>
  <si>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</si>
  <si>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</si>
  <si>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</si>
  <si>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</si>
  <si>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</si>
  <si>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</si>
  <si>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</si>
  <si>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</si>
  <si>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</si>
  <si>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</si>
  <si>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</si>
  <si>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</si>
  <si>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</si>
  <si>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</si>
  <si>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</si>
  <si>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</si>
  <si>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</si>
  <si>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</si>
  <si>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</si>
  <si>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</si>
  <si>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</si>
  <si>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</si>
  <si>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</si>
  <si>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</si>
  <si>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</si>
  <si>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</si>
  <si>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</si>
  <si>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</si>
  <si>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</si>
  <si>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</si>
  <si>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</si>
  <si>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</si>
  <si>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</si>
  <si>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</si>
  <si>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</si>
  <si>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</si>
  <si>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</si>
  <si>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</si>
  <si>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</si>
  <si>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</si>
  <si>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</si>
  <si>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</si>
  <si>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</si>
  <si>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</si>
  <si>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</si>
  <si>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</si>
  <si>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</si>
  <si>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</si>
  <si>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</si>
  <si>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</si>
  <si>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</si>
  <si>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</si>
  <si>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</si>
  <si>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</si>
  <si>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</si>
  <si>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</si>
  <si>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</si>
  <si>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</si>
  <si>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</si>
  <si>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</si>
  <si>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</si>
  <si>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</si>
  <si>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</si>
  <si>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</si>
  <si>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</si>
  <si>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</si>
  <si>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</si>
  <si>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</si>
  <si>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</si>
  <si>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</si>
  <si>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</si>
  <si>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</si>
  <si>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</si>
  <si>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</si>
  <si>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</si>
  <si>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</si>
  <si>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</si>
  <si>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</si>
  <si>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</si>
  <si>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</si>
  <si>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</si>
  <si>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</si>
  <si>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</si>
  <si>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</si>
  <si>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</si>
  <si>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</si>
  <si>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</si>
  <si>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</si>
  <si>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</si>
  <si>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</si>
  <si>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</si>
  <si>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</si>
  <si>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</si>
  <si>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</si>
  <si>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</si>
  <si>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</si>
  <si>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</si>
  <si>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</si>
  <si>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</si>
  <si>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</si>
  <si>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</si>
  <si>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</si>
  <si>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</si>
  <si>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</si>
  <si>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</si>
  <si>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</si>
  <si>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</si>
  <si>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</si>
  <si>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</si>
  <si>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</si>
  <si>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</si>
  <si>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</si>
  <si>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</si>
  <si>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</si>
  <si>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</si>
  <si>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</si>
  <si>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</si>
  <si>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</si>
  <si>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</si>
  <si>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</si>
  <si>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</si>
  <si>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</si>
  <si>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</si>
  <si>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</si>
  <si>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</si>
  <si>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</si>
  <si>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</si>
  <si>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</si>
  <si>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</si>
  <si>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</si>
  <si>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</si>
  <si>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</si>
  <si>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</si>
  <si>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</si>
  <si>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</si>
  <si>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</si>
  <si>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</si>
  <si>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</si>
  <si>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</si>
  <si>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</si>
  <si>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</si>
  <si>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</si>
  <si>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</si>
  <si>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</si>
  <si>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</si>
  <si>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</si>
  <si>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</si>
  <si>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</si>
  <si>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</si>
  <si>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</si>
  <si>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</si>
  <si>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</si>
  <si>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</si>
  <si>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</si>
  <si>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</si>
  <si>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</si>
  <si>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</si>
  <si>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</si>
  <si>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</si>
  <si>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</si>
  <si>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</si>
  <si>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</si>
  <si>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</si>
  <si>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</si>
  <si>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</si>
  <si>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</si>
  <si>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</si>
  <si>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</si>
  <si>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</si>
  <si>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</si>
  <si>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</si>
  <si>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</si>
  <si>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</si>
  <si>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</si>
  <si>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</si>
  <si>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</si>
  <si>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</si>
  <si>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</si>
  <si>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</si>
  <si>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</si>
  <si>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</si>
  <si>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</si>
  <si>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</si>
  <si>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</si>
  <si>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</si>
  <si>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</si>
  <si>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</si>
  <si>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</si>
  <si>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</si>
  <si>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</si>
  <si>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</si>
  <si>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</si>
  <si>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</si>
  <si>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</si>
  <si>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</si>
  <si>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</si>
  <si>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</si>
  <si>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</si>
  <si>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</si>
  <si>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</si>
  <si>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</si>
  <si>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</si>
  <si>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</si>
  <si>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</si>
  <si>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</si>
  <si>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</si>
  <si>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</si>
  <si>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</si>
  <si>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</si>
  <si>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</si>
  <si>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</si>
  <si>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</si>
  <si>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</si>
  <si>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</si>
  <si>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</si>
  <si>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</si>
  <si>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</si>
  <si>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</si>
  <si>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</si>
  <si>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</si>
  <si>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</si>
  <si>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</si>
  <si>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</si>
  <si>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</si>
  <si>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</si>
  <si>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</si>
  <si>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</si>
  <si>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</si>
  <si>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</si>
  <si>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</si>
  <si>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</si>
  <si>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</si>
  <si>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</si>
  <si>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</si>
  <si>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</si>
  <si>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</si>
  <si>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</si>
  <si>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</si>
  <si>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</si>
  <si>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</si>
  <si>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</si>
  <si>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</si>
  <si>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</si>
  <si>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</si>
  <si>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</si>
  <si>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</si>
  <si>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</si>
  <si>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</si>
  <si>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</si>
  <si>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</si>
  <si>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</si>
  <si>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</si>
  <si>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</si>
  <si>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</si>
  <si>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</si>
  <si>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</si>
  <si>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</si>
  <si>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</si>
  <si>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</si>
  <si>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</si>
  <si>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</si>
  <si>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</si>
  <si>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</si>
  <si>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</si>
  <si>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</si>
  <si>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</si>
  <si>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</si>
  <si>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</si>
  <si>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</si>
  <si>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</si>
  <si>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</si>
  <si>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</si>
  <si>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</si>
  <si>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</si>
  <si>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</si>
  <si>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</si>
  <si>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</si>
  <si>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</si>
  <si>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</si>
  <si>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</si>
  <si>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</si>
  <si>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</si>
  <si>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</si>
  <si>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</si>
  <si>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</si>
  <si>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</si>
  <si>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</si>
  <si>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</si>
  <si>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</si>
  <si>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</si>
  <si>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</si>
  <si>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</si>
  <si>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</si>
  <si>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</si>
  <si>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</si>
  <si>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</si>
  <si>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</si>
  <si>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</si>
  <si>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</si>
  <si>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</si>
  <si>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</si>
  <si>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</si>
  <si>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</si>
  <si>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</si>
  <si>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</si>
  <si>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</si>
  <si>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</si>
  <si>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</si>
  <si>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</si>
  <si>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</si>
  <si>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</si>
  <si>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</si>
  <si>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</si>
  <si>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</si>
  <si>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</si>
  <si>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</si>
  <si>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</si>
  <si>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</si>
  <si>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</si>
  <si>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</si>
  <si>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</si>
  <si>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</si>
  <si>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</si>
  <si>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</si>
  <si>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</si>
  <si>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</si>
  <si>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</si>
  <si>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</si>
  <si>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</si>
  <si>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</si>
  <si>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</si>
  <si>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</si>
  <si>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</si>
  <si>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</si>
  <si>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</si>
  <si>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</si>
  <si>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</si>
  <si>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</si>
  <si>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</si>
  <si>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</si>
  <si>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</si>
  <si>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</si>
  <si>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</si>
  <si>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</si>
  <si>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</si>
  <si>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</si>
  <si>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</si>
  <si>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</si>
  <si>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</si>
  <si>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</si>
  <si>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</si>
  <si>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</si>
  <si>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</si>
  <si>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</si>
  <si>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</si>
  <si>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</si>
  <si>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</si>
  <si>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</si>
  <si>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</si>
  <si>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</si>
  <si>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</si>
  <si>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</si>
  <si>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</si>
  <si>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</si>
  <si>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</si>
  <si>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</si>
  <si>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</si>
  <si>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</si>
  <si>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</si>
  <si>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</si>
  <si>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</si>
  <si>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</si>
  <si>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</si>
  <si>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</si>
  <si>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</si>
  <si>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</si>
  <si>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</si>
  <si>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</si>
  <si>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</si>
  <si>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</si>
  <si>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</si>
  <si>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</si>
  <si>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</si>
  <si>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</si>
  <si>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</si>
  <si>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</si>
  <si>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</si>
  <si>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</si>
  <si>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</si>
  <si>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</si>
  <si>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</si>
  <si>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</si>
  <si>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</si>
  <si>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</si>
  <si>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</si>
  <si>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</si>
  <si>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</si>
  <si>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</si>
  <si>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</si>
  <si>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</si>
  <si>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</si>
  <si>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</si>
  <si>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</si>
  <si>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</si>
  <si>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</si>
  <si>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</si>
  <si>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</si>
  <si>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</si>
  <si>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</si>
  <si>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</si>
  <si>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</si>
  <si>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</si>
  <si>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</si>
  <si>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</si>
  <si>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</si>
  <si>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</si>
  <si>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</si>
  <si>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</si>
  <si>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</si>
  <si>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</si>
  <si>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</si>
  <si>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</si>
  <si>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</si>
  <si>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</si>
  <si>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</si>
  <si>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</si>
  <si>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</si>
  <si>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</si>
  <si>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</si>
  <si>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</si>
  <si>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</si>
  <si>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</si>
  <si>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</si>
  <si>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</si>
  <si>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</si>
  <si>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</si>
  <si>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</si>
  <si>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</si>
  <si>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</si>
  <si>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</si>
  <si>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</si>
  <si>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</si>
  <si>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</si>
  <si>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</si>
  <si>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</si>
  <si>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</si>
  <si>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</si>
  <si>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</si>
  <si>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</si>
  <si>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</si>
  <si>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</si>
  <si>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</si>
  <si>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</si>
  <si>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</si>
  <si>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</si>
  <si>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</si>
  <si>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</si>
  <si>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</si>
  <si>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</si>
  <si>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</si>
  <si>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</si>
  <si>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</si>
  <si>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</si>
  <si>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</si>
  <si>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</si>
  <si>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</si>
  <si>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</si>
  <si>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</si>
  <si>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</si>
  <si>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</si>
  <si>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</si>
  <si>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</si>
  <si>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</si>
  <si>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</si>
  <si>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</si>
  <si>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</si>
  <si>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</si>
  <si>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</si>
  <si>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</si>
  <si>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</si>
  <si>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</si>
  <si>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</si>
  <si>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</si>
  <si>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</si>
  <si>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</si>
  <si>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</si>
  <si>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</si>
  <si>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</si>
  <si>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</si>
  <si>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</si>
  <si>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</si>
  <si>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</si>
  <si>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</si>
  <si>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</si>
  <si>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</si>
  <si>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</si>
  <si>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</si>
  <si>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</si>
  <si>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</si>
  <si>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</si>
  <si>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</si>
  <si>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</si>
  <si>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</si>
  <si>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</si>
  <si>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</si>
  <si>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</si>
  <si>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</si>
  <si>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</si>
  <si>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</si>
  <si>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</si>
  <si>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</si>
  <si>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</si>
  <si>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</si>
  <si>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</si>
  <si>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</si>
  <si>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</si>
  <si>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</si>
  <si>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</si>
  <si>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</si>
  <si>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</si>
  <si>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</si>
  <si>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</si>
  <si>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</si>
  <si>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</si>
  <si>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</si>
  <si>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</si>
  <si>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</si>
  <si>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</si>
  <si>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</si>
  <si>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</si>
  <si>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</si>
  <si>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</si>
  <si>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</si>
  <si>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</si>
  <si>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</si>
  <si>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</si>
  <si>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</si>
  <si>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</si>
  <si>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</si>
  <si>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</si>
  <si>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</si>
  <si>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</si>
  <si>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</si>
  <si>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</si>
  <si>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</si>
  <si>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</si>
  <si>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</si>
  <si>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</si>
  <si>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</si>
  <si>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</si>
  <si>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</si>
  <si>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</si>
  <si>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</si>
  <si>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</si>
  <si>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</si>
  <si>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</si>
  <si>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</si>
  <si>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</si>
  <si>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</si>
  <si>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</si>
  <si>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</si>
  <si>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</si>
  <si>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</si>
  <si>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</si>
  <si>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</si>
  <si>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</si>
  <si>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</si>
  <si>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</si>
  <si>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</si>
  <si>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</si>
  <si>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</si>
  <si>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</si>
  <si>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</si>
  <si>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</si>
  <si>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</si>
  <si>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</si>
  <si>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</si>
  <si>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</si>
  <si>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</si>
  <si>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</si>
  <si>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</si>
  <si>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</si>
  <si>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</si>
  <si>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</si>
  <si>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</si>
  <si>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</si>
  <si>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</si>
  <si>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</si>
  <si>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</si>
  <si>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</si>
  <si>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</si>
  <si>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</si>
  <si>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</si>
  <si>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</si>
  <si>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</si>
  <si>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</si>
  <si>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</si>
  <si>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</si>
  <si>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</si>
  <si>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</si>
  <si>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</si>
  <si>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</si>
  <si>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</si>
  <si>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</si>
  <si>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</si>
  <si>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</si>
  <si>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</si>
  <si>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</si>
  <si>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</si>
  <si>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</si>
  <si>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</si>
  <si>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</si>
  <si>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</si>
  <si>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</si>
  <si>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</si>
  <si>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</si>
  <si>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</si>
  <si>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</si>
  <si>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</si>
  <si>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</si>
  <si>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</si>
  <si>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</si>
  <si>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</si>
  <si>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</si>
  <si>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</si>
  <si>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</si>
  <si>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</si>
  <si>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</si>
  <si>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</si>
  <si>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</si>
  <si>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</si>
  <si>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</si>
  <si>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</si>
  <si>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</si>
  <si>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</si>
  <si>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</si>
  <si>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</si>
  <si>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</si>
  <si>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</si>
  <si>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</si>
  <si>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</si>
  <si>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</si>
  <si>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</si>
  <si>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</si>
  <si>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</si>
  <si>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</si>
  <si>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</si>
  <si>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</si>
  <si>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</si>
  <si>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</si>
  <si>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</si>
  <si>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</si>
  <si>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</si>
  <si>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</si>
  <si>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</si>
  <si>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</si>
  <si>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</si>
  <si>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</si>
  <si>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</si>
  <si>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</si>
  <si>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</si>
  <si>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</si>
  <si>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</si>
  <si>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</si>
  <si>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</si>
  <si>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</si>
  <si>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</si>
  <si>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</si>
  <si>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</si>
  <si>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</si>
  <si>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</si>
  <si>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</si>
  <si>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</si>
  <si>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</si>
  <si>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</si>
  <si>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</si>
  <si>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</si>
  <si>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</si>
  <si>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</si>
  <si>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</si>
  <si>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</si>
  <si>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</si>
  <si>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</si>
  <si>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</si>
  <si>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</si>
  <si>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</si>
  <si>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</si>
  <si>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</si>
  <si>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</si>
  <si>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</si>
  <si>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</si>
  <si>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</si>
  <si>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</si>
  <si>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</si>
  <si>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</si>
  <si>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</si>
  <si>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</si>
  <si>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</si>
  <si>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</si>
  <si>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</si>
  <si>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</si>
  <si>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</si>
  <si>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</si>
  <si>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</si>
  <si>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</si>
  <si>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</si>
  <si>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</si>
  <si>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</si>
  <si>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</si>
  <si>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</si>
  <si>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</si>
  <si>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</si>
  <si>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</si>
  <si>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</si>
  <si>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</si>
  <si>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</si>
  <si>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</si>
  <si>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</si>
  <si>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</si>
  <si>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</si>
  <si>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</si>
  <si>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</si>
  <si>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</si>
  <si>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</si>
  <si>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</si>
  <si>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</si>
  <si>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</si>
  <si>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</si>
  <si>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</si>
  <si>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</si>
  <si>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</si>
  <si>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</si>
  <si>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</si>
  <si>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</si>
  <si>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</si>
  <si>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</si>
  <si>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</si>
  <si>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</si>
  <si>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</si>
  <si>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</si>
  <si>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</si>
  <si>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</si>
  <si>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</si>
  <si>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</si>
  <si>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</si>
  <si>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</si>
  <si>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</si>
  <si>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</si>
  <si>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</si>
  <si>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</si>
  <si>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</si>
  <si>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</si>
  <si>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</si>
  <si>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</si>
  <si>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</si>
  <si>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</si>
  <si>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</si>
  <si>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</si>
  <si>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</si>
  <si>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</si>
  <si>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</si>
  <si>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</si>
  <si>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</si>
  <si>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</si>
  <si>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</si>
  <si>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</si>
  <si>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</si>
  <si>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</si>
  <si>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</si>
  <si>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</si>
  <si>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</si>
  <si>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</si>
  <si>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</si>
  <si>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</si>
  <si>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</si>
  <si>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</si>
  <si>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</si>
  <si>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</si>
  <si>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</si>
  <si>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</si>
  <si>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</si>
  <si>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</si>
  <si>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</si>
  <si>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</si>
  <si>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</si>
  <si>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</si>
  <si>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</si>
  <si>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</si>
  <si>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</si>
  <si>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</si>
  <si>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</si>
  <si>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</si>
  <si>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</si>
  <si>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</si>
  <si>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</si>
  <si>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</si>
  <si>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</si>
  <si>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</si>
  <si>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</si>
  <si>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</si>
  <si>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</si>
  <si>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</si>
  <si>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</si>
  <si>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</si>
  <si>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</si>
  <si>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</si>
  <si>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</si>
  <si>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</si>
  <si>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</si>
  <si>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</si>
  <si>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</si>
  <si>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</si>
  <si>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</si>
  <si>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</si>
  <si>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</si>
  <si>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</si>
  <si>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</si>
  <si>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</si>
  <si>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</si>
  <si>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</si>
  <si>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</si>
  <si>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</si>
  <si>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</si>
  <si>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</si>
  <si>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</si>
  <si>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</si>
  <si>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</si>
  <si>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</si>
  <si>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</si>
  <si>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</si>
  <si>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</si>
  <si>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</si>
  <si>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</si>
  <si>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</si>
  <si>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</si>
  <si>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</si>
  <si>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</si>
  <si>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</si>
  <si>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</si>
  <si>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</si>
  <si>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</si>
  <si>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</si>
  <si>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</si>
  <si>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</si>
  <si>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</si>
  <si>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</si>
  <si>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</si>
  <si>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</si>
  <si>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</si>
  <si>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</si>
  <si>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</si>
  <si>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</si>
  <si>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</si>
  <si>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</si>
  <si>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</si>
  <si>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</si>
  <si>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</si>
  <si>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</si>
  <si>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</si>
  <si>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</si>
  <si>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</si>
  <si>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</si>
  <si>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</si>
  <si>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</si>
  <si>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</si>
  <si>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</si>
  <si>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</si>
  <si>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</si>
  <si>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</si>
  <si>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</si>
  <si>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</si>
  <si>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</si>
  <si>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</si>
  <si>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</si>
  <si>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</si>
  <si>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</si>
  <si>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</si>
  <si>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</si>
  <si>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</si>
  <si>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</si>
  <si>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</si>
  <si>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</si>
  <si>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</si>
  <si>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</si>
  <si>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</si>
  <si>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</si>
  <si>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</si>
  <si>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</si>
  <si>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</si>
  <si>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</si>
  <si>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</si>
  <si>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</si>
  <si>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</si>
  <si>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</si>
  <si>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</si>
  <si>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</si>
  <si>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</si>
  <si>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</si>
  <si>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</si>
  <si>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</si>
  <si>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</si>
  <si>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</si>
  <si>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</si>
  <si>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</si>
  <si>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</si>
  <si>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</si>
  <si>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</si>
  <si>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</si>
  <si>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</si>
  <si>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</si>
  <si>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</si>
  <si>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</si>
  <si>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</si>
  <si>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</si>
  <si>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</si>
  <si>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</si>
  <si>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</si>
  <si>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</si>
  <si>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</si>
  <si>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</si>
  <si>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</si>
  <si>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</si>
  <si>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</si>
  <si>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</si>
  <si>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</si>
  <si>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</si>
  <si>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</si>
  <si>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</si>
  <si>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</si>
  <si>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</si>
  <si>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</si>
  <si>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</si>
  <si>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</si>
  <si>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</si>
  <si>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</si>
  <si>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</si>
  <si>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</si>
  <si>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</si>
  <si>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</si>
  <si>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</si>
  <si>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</si>
  <si>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</si>
  <si>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</si>
  <si>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</si>
  <si>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</si>
  <si>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</si>
  <si>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</si>
  <si>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</si>
  <si>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</si>
  <si>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</si>
  <si>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</si>
  <si>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</si>
  <si>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</si>
  <si>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</si>
  <si>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</si>
  <si>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</si>
  <si>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</si>
  <si>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</si>
  <si>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</si>
  <si>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</si>
  <si>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</si>
  <si>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</si>
  <si>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</si>
  <si>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</si>
  <si>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</si>
  <si>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</si>
  <si>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</si>
  <si>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</si>
  <si>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</si>
  <si>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</si>
  <si>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</si>
  <si>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</si>
  <si>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</si>
  <si>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</si>
  <si>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</si>
  <si>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</si>
  <si>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</si>
  <si>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</si>
  <si>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</si>
  <si>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</si>
  <si>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</si>
  <si>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</si>
  <si>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</si>
  <si>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</si>
  <si>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</si>
  <si>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</si>
  <si>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</si>
  <si>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</si>
  <si>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</si>
  <si>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</si>
  <si>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</si>
  <si>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</si>
  <si>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</si>
  <si>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</si>
  <si>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</si>
  <si>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</si>
  <si>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</si>
  <si>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</si>
  <si>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</si>
  <si>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</si>
  <si>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</si>
  <si>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</si>
  <si>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</si>
  <si>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</si>
  <si>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</si>
  <si>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</si>
  <si>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</si>
  <si>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</si>
  <si>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</si>
  <si>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</si>
  <si>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</si>
  <si>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</si>
  <si>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</si>
  <si>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</si>
  <si>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</si>
  <si>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</si>
  <si>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</si>
  <si>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</si>
  <si>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</si>
  <si>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</si>
  <si>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</si>
  <si>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</si>
  <si>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</si>
  <si>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</si>
  <si>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</si>
  <si>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</si>
  <si>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</si>
  <si>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</si>
  <si>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</si>
  <si>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</si>
  <si>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</si>
  <si>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</si>
  <si>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</si>
  <si>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</si>
  <si>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</si>
  <si>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</si>
  <si>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</si>
  <si>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</si>
  <si>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</si>
  <si>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</si>
  <si>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</si>
  <si>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</si>
  <si>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</si>
  <si>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</si>
  <si>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</si>
  <si>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</si>
  <si>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</si>
  <si>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</si>
  <si>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</si>
  <si>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</si>
  <si>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</si>
  <si>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</si>
  <si>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</si>
  <si>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</si>
  <si>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</si>
  <si>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</si>
  <si>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</si>
  <si>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</si>
  <si>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</si>
  <si>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</si>
  <si>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</si>
  <si>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</si>
  <si>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</si>
  <si>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</si>
  <si>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</si>
  <si>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</si>
  <si>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</si>
  <si>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</si>
  <si>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</si>
  <si>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</si>
  <si>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</si>
  <si>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</si>
  <si>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</si>
  <si>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</si>
  <si>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</si>
  <si>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</si>
  <si>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</si>
  <si>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</si>
  <si>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</si>
  <si>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</si>
  <si>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</si>
  <si>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</si>
  <si>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</si>
  <si>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</si>
  <si>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</si>
  <si>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</si>
  <si>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</si>
  <si>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</si>
  <si>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</si>
  <si>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</si>
  <si>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</si>
  <si>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</si>
  <si>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</si>
  <si>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</si>
  <si>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</si>
  <si>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</si>
  <si>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</si>
  <si>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</si>
  <si>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</si>
  <si>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</si>
  <si>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</si>
  <si>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</si>
  <si>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</si>
  <si>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</si>
  <si>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</si>
  <si>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</si>
  <si>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</si>
  <si>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</si>
  <si>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</si>
  <si>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</si>
  <si>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</si>
  <si>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</si>
  <si>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</si>
  <si>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</si>
  <si>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</si>
  <si>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</si>
  <si>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</si>
  <si>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</si>
  <si>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</si>
  <si>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</si>
  <si>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</si>
  <si>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</si>
  <si>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</si>
  <si>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</si>
  <si>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</si>
  <si>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</si>
  <si>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</si>
  <si>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</si>
  <si>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</si>
  <si>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</si>
  <si>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</si>
  <si>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</si>
  <si>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</si>
  <si>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</si>
  <si>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</si>
  <si>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</si>
  <si>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</si>
  <si>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</si>
  <si>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</si>
  <si>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</si>
  <si>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</si>
  <si>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</si>
  <si>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</si>
  <si>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</si>
  <si>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</si>
  <si>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</si>
  <si>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</si>
  <si>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</si>
  <si>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</si>
  <si>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</si>
  <si>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</si>
  <si>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</si>
  <si>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</si>
  <si>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</si>
  <si>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</si>
  <si>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</si>
  <si>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</si>
  <si>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</si>
  <si>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</si>
  <si>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</si>
  <si>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</si>
  <si>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</si>
  <si>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</si>
  <si>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</si>
  <si>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</si>
  <si>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</si>
  <si>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</si>
  <si>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</si>
  <si>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</si>
  <si>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</si>
  <si>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</si>
  <si>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</si>
  <si>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</si>
  <si>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</si>
  <si>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</si>
  <si>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</si>
  <si>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</si>
  <si>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</si>
  <si>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</si>
  <si>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</si>
  <si>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</si>
  <si>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</si>
  <si>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</si>
  <si>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</si>
  <si>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</si>
  <si>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</si>
  <si>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</si>
  <si>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</si>
  <si>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</si>
  <si>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</si>
  <si>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</si>
  <si>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</si>
  <si>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</si>
  <si>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</si>
  <si>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</si>
  <si>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</si>
  <si>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</si>
  <si>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</si>
  <si>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</si>
  <si>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</si>
  <si>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</si>
  <si>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</si>
  <si>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</si>
  <si>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</si>
  <si>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</si>
  <si>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</si>
  <si>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</si>
  <si>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</si>
  <si>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</si>
  <si>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</si>
  <si>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</si>
  <si>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</si>
  <si>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</si>
  <si>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</si>
  <si>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</si>
  <si>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</si>
  <si>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</si>
  <si>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</si>
  <si>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</si>
  <si>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</si>
  <si>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</si>
  <si>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</si>
  <si>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</si>
  <si>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</si>
  <si>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</si>
  <si>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</si>
  <si>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</si>
  <si>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</si>
  <si>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</si>
  <si>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</si>
  <si>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</si>
  <si>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</si>
  <si>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</si>
  <si>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</si>
  <si>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</si>
  <si>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</si>
  <si>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</si>
  <si>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</si>
  <si>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</si>
  <si>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</si>
  <si>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</si>
  <si>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</si>
  <si>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</si>
  <si>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</si>
  <si>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</si>
  <si>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</si>
  <si>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</si>
  <si>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</si>
  <si>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</si>
  <si>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</si>
  <si>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</si>
  <si>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</si>
  <si>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</si>
  <si>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</si>
  <si>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</si>
  <si>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</si>
  <si>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</si>
  <si>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</si>
  <si>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</si>
  <si>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</si>
  <si>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</si>
  <si>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</si>
  <si>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</si>
  <si>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</si>
  <si>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</si>
  <si>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</si>
  <si>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</si>
  <si>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</si>
  <si>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</si>
  <si>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</si>
  <si>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</si>
  <si>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</si>
  <si>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</si>
  <si>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</si>
  <si>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</si>
  <si>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</si>
  <si>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</si>
  <si>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</si>
  <si>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</si>
  <si>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</si>
  <si>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</si>
  <si>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</si>
  <si>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</si>
  <si>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</si>
  <si>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</si>
  <si>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</si>
  <si>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</si>
  <si>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</si>
  <si>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</si>
  <si>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</si>
  <si>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</si>
  <si>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</si>
  <si>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</si>
  <si>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</si>
  <si>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</si>
  <si>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</si>
  <si>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</si>
  <si>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</si>
  <si>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</si>
  <si>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</si>
  <si>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</si>
  <si>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</si>
  <si>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</si>
  <si>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</si>
  <si>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</si>
  <si>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</si>
  <si>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</si>
  <si>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</si>
  <si>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</si>
  <si>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</si>
  <si>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</si>
  <si>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</si>
  <si>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</si>
  <si>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</si>
  <si>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</si>
  <si>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</si>
  <si>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</si>
  <si>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</si>
  <si>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</si>
  <si>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</si>
  <si>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</si>
  <si>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</si>
  <si>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</si>
  <si>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</si>
  <si>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</si>
  <si>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</si>
  <si>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</si>
  <si>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</si>
  <si>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</si>
  <si>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</si>
  <si>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</si>
  <si>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</si>
  <si>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</si>
  <si>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</si>
  <si>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</si>
  <si>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</si>
  <si>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</si>
  <si>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</si>
  <si>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</si>
  <si>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</si>
  <si>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</si>
  <si>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</si>
  <si>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</si>
  <si>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</si>
  <si>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</si>
  <si>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</si>
  <si>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</si>
  <si>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</si>
  <si>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</si>
  <si>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</si>
  <si>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</si>
  <si>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</si>
  <si>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</si>
  <si>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</si>
  <si>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</si>
  <si>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</si>
  <si>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</si>
  <si>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</si>
  <si>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</si>
  <si>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</si>
  <si>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</si>
  <si>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</si>
  <si>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</si>
  <si>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</si>
  <si>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</si>
  <si>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</si>
  <si>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</si>
  <si>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</si>
  <si>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</si>
  <si>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</si>
  <si>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</si>
  <si>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</si>
  <si>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</si>
  <si>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</si>
  <si>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</si>
  <si>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</si>
  <si>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</si>
  <si>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</si>
  <si>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</si>
  <si>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</si>
  <si>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</si>
  <si>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</si>
  <si>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</si>
  <si>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</si>
  <si>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</si>
  <si>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</si>
  <si>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</si>
  <si>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</si>
  <si>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</si>
  <si>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</si>
  <si>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</si>
  <si>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</si>
  <si>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</si>
  <si>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</si>
  <si>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</si>
  <si>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</si>
  <si>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</si>
  <si>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</si>
  <si>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</si>
  <si>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</si>
  <si>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</si>
  <si>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</si>
  <si>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</si>
  <si>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</si>
  <si>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</si>
  <si>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</si>
  <si>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</si>
  <si>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</si>
  <si>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</si>
  <si>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</si>
  <si>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</si>
  <si>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</si>
  <si>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</si>
  <si>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</si>
  <si>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</si>
  <si>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</si>
  <si>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</si>
  <si>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</si>
  <si>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</si>
  <si>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</si>
  <si>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</si>
  <si>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</si>
  <si>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</si>
  <si>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</si>
  <si>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</si>
  <si>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</si>
  <si>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</si>
  <si>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</si>
  <si>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</si>
  <si>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</si>
  <si>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</si>
  <si>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</si>
  <si>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</si>
  <si>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</si>
  <si>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</si>
  <si>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</si>
  <si>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</si>
  <si>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</si>
  <si>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</si>
  <si>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</si>
  <si>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</si>
  <si>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</si>
  <si>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</si>
  <si>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</si>
  <si>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</si>
  <si>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</si>
  <si>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</si>
  <si>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</si>
  <si>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</si>
  <si>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</si>
  <si>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</si>
  <si>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</si>
  <si>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</si>
  <si>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</si>
  <si>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</si>
  <si>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</si>
  <si>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</si>
  <si>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</si>
  <si>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</si>
  <si>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</si>
  <si>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</si>
  <si>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</si>
  <si>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</si>
  <si>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</si>
  <si>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</si>
  <si>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</si>
  <si>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</si>
  <si>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</si>
  <si>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</si>
  <si>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</si>
  <si>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</si>
  <si>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</si>
  <si>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</si>
  <si>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</si>
  <si>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</si>
  <si>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</si>
  <si>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</si>
  <si>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</si>
  <si>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</si>
  <si>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</si>
  <si>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</si>
  <si>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</si>
  <si>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</si>
  <si>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</si>
  <si>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</si>
  <si>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</si>
  <si>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</si>
  <si>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</si>
  <si>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</si>
  <si>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</si>
  <si>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</si>
  <si>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</si>
  <si>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</si>
  <si>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</si>
  <si>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</si>
  <si>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</si>
  <si>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</si>
  <si>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</si>
  <si>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</si>
  <si>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</si>
  <si>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</si>
  <si>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</si>
  <si>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</si>
  <si>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</si>
  <si>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</si>
  <si>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</si>
  <si>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</si>
  <si>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</si>
  <si>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</si>
  <si>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</si>
  <si>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</si>
  <si>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</si>
  <si>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</si>
  <si>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</si>
  <si>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</si>
  <si>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</si>
  <si>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</si>
  <si>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</si>
  <si>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</si>
  <si>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</si>
  <si>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</si>
  <si>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</si>
  <si>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</si>
  <si>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</si>
  <si>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</si>
  <si>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</si>
  <si>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</si>
  <si>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</si>
  <si>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</si>
  <si>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</si>
  <si>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</si>
  <si>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</si>
  <si>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</si>
  <si>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</si>
  <si>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</si>
  <si>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</si>
  <si>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</si>
  <si>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</si>
  <si>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</si>
  <si>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</si>
  <si>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</si>
  <si>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</si>
  <si>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</si>
  <si>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</si>
  <si>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</si>
  <si>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</si>
  <si>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</si>
  <si>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</si>
  <si>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</si>
  <si>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</si>
  <si>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</si>
  <si>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</si>
  <si>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</si>
  <si>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</si>
  <si>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</si>
  <si>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</si>
  <si>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</si>
  <si>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</si>
  <si>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</si>
  <si>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</si>
  <si>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</si>
  <si>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</si>
  <si>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</si>
  <si>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</si>
  <si>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</si>
  <si>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</si>
  <si>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</si>
  <si>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</si>
  <si>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</si>
  <si>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</si>
  <si>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</si>
  <si>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</si>
  <si>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</si>
  <si>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</si>
  <si>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</si>
  <si>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</si>
  <si>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</si>
  <si>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</si>
  <si>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</si>
  <si>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</si>
  <si>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</si>
  <si>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</si>
  <si>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</si>
  <si>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</si>
  <si>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</si>
  <si>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</si>
  <si>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</si>
  <si>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</si>
  <si>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</si>
  <si>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</si>
  <si>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</si>
  <si>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</si>
  <si>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</si>
  <si>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</si>
  <si>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</si>
  <si>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</si>
  <si>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</si>
  <si>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</si>
  <si>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</si>
  <si>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</si>
  <si>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</si>
  <si>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</si>
  <si>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</si>
  <si>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</si>
  <si>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</si>
  <si>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</si>
  <si>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</si>
  <si>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</si>
  <si>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</si>
  <si>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</si>
  <si>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</si>
  <si>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</si>
  <si>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</si>
  <si>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</si>
  <si>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</si>
  <si>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</si>
  <si>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</si>
  <si>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</si>
  <si>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</si>
  <si>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</si>
  <si>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</si>
  <si>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</si>
  <si>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</si>
  <si>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</si>
  <si>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</si>
  <si>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</si>
  <si>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</si>
  <si>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</si>
  <si>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</si>
  <si>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</si>
  <si>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</si>
  <si>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</si>
  <si>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</si>
  <si>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</si>
  <si>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</si>
  <si>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</si>
  <si>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</si>
  <si>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</si>
  <si>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</si>
  <si>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</si>
  <si>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</si>
  <si>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</si>
  <si>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</si>
  <si>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</si>
  <si>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</si>
  <si>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</si>
  <si>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</si>
  <si>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</si>
  <si>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</si>
  <si>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</si>
  <si>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</si>
  <si>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</si>
  <si>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</si>
  <si>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</si>
  <si>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</si>
  <si>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</si>
  <si>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</si>
  <si>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</si>
  <si>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</si>
  <si>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</si>
  <si>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</si>
  <si>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</si>
  <si>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</si>
  <si>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</si>
  <si>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</si>
  <si>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</si>
  <si>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</si>
  <si>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</si>
  <si>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</si>
  <si>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</si>
  <si>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</si>
  <si>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</si>
  <si>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</si>
  <si>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</si>
  <si>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</si>
  <si>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</si>
  <si>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</si>
  <si>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</si>
  <si>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</si>
  <si>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</si>
  <si>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</si>
  <si>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</si>
  <si>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</si>
  <si>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</si>
  <si>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</si>
  <si>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</si>
  <si>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</si>
  <si>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</si>
  <si>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</si>
  <si>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</si>
  <si>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</si>
  <si>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</si>
  <si>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</si>
  <si>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</si>
  <si>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</si>
  <si>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</si>
  <si>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</si>
  <si>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</si>
  <si>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</si>
  <si>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</si>
  <si>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</si>
  <si>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</si>
  <si>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</si>
  <si>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</si>
  <si>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</si>
  <si>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</si>
  <si>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</si>
  <si>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</si>
  <si>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</si>
  <si>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</si>
  <si>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</si>
  <si>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</si>
  <si>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</si>
  <si>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</si>
  <si>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</si>
  <si>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</si>
  <si>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</si>
  <si>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</si>
  <si>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</si>
  <si>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</si>
  <si>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</si>
  <si>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</si>
  <si>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</si>
  <si>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</si>
  <si>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</si>
  <si>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</si>
  <si>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</si>
  <si>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</si>
  <si>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</si>
  <si>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</si>
  <si>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</si>
  <si>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</si>
  <si>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</si>
  <si>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</si>
  <si>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</si>
  <si>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</si>
  <si>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</si>
  <si>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</si>
  <si>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</si>
  <si>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</si>
  <si>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</si>
  <si>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</si>
  <si>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</si>
  <si>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</si>
  <si>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</si>
  <si>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</si>
  <si>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</si>
  <si>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</si>
  <si>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</si>
  <si>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</si>
  <si>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</si>
  <si>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</si>
  <si>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</si>
  <si>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</si>
  <si>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</si>
  <si>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</si>
  <si>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</si>
  <si>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</si>
  <si>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</si>
  <si>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</si>
  <si>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</si>
  <si>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</si>
  <si>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</si>
  <si>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</si>
  <si>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</si>
  <si>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</si>
  <si>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</si>
  <si>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</si>
  <si>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</si>
  <si>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</si>
  <si>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</si>
  <si>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</si>
  <si>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</si>
  <si>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</si>
  <si>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</si>
  <si>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</si>
  <si>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</si>
  <si>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</si>
  <si>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</si>
  <si>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</si>
  <si>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</si>
  <si>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</si>
  <si>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</si>
  <si>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</si>
  <si>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</si>
  <si>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</si>
  <si>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</si>
  <si>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</si>
  <si>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</si>
  <si>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</si>
  <si>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</si>
  <si>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</si>
  <si>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</si>
  <si>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</si>
  <si>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</si>
  <si>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</si>
  <si>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</si>
  <si>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</si>
  <si>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</si>
  <si>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</si>
  <si>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</si>
  <si>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</si>
  <si>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</si>
  <si>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</si>
  <si>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</si>
  <si>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</si>
  <si>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</si>
  <si>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</si>
  <si>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</si>
  <si>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</si>
  <si>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</si>
  <si>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</si>
  <si>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</si>
  <si>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</si>
  <si>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</si>
  <si>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</si>
  <si>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</si>
  <si>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</si>
  <si>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</si>
  <si>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</si>
  <si>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</si>
  <si>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</si>
  <si>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</si>
  <si>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</si>
  <si>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</si>
  <si>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</si>
  <si>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</si>
  <si>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</si>
  <si>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</si>
  <si>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</si>
  <si>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</si>
  <si>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</si>
  <si>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</si>
  <si>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</si>
  <si>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</si>
  <si>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</si>
  <si>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</si>
  <si>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</si>
  <si>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</si>
  <si>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</si>
  <si>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</si>
  <si>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</si>
  <si>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</si>
  <si>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</si>
  <si>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</si>
  <si>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</si>
  <si>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</si>
  <si>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</si>
  <si>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</si>
  <si>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</si>
  <si>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</si>
  <si>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</si>
  <si>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</si>
  <si>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</si>
  <si>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</si>
  <si>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</si>
  <si>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</si>
  <si>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</si>
  <si>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</si>
  <si>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</si>
  <si>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</si>
  <si>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</si>
  <si>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</si>
  <si>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</si>
  <si>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</si>
  <si>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</si>
  <si>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</si>
  <si>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</si>
  <si>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</si>
  <si>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</si>
  <si>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</si>
  <si>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</si>
  <si>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</si>
  <si>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</si>
  <si>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</si>
  <si>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</si>
  <si>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</si>
  <si>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</si>
  <si>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</si>
  <si>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</si>
  <si>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</si>
  <si>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</si>
  <si>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</si>
  <si>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</si>
  <si>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</si>
  <si>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</si>
  <si>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</si>
  <si>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</si>
  <si>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</si>
  <si>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</si>
  <si>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</si>
  <si>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</si>
  <si>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</si>
  <si>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</si>
  <si>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</si>
  <si>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</si>
  <si>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</si>
  <si>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</si>
  <si>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</si>
  <si>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</si>
  <si>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</si>
  <si>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</si>
  <si>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</si>
  <si>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</si>
  <si>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</si>
  <si>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</si>
  <si>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</si>
  <si>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</si>
  <si>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</si>
  <si>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</si>
  <si>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</si>
  <si>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</si>
  <si>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</si>
  <si>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</si>
  <si>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</si>
  <si>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</si>
  <si>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</si>
  <si>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</si>
  <si>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</si>
  <si>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</si>
  <si>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</si>
  <si>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</si>
  <si>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</si>
  <si>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</si>
  <si>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</si>
  <si>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</si>
  <si>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</si>
  <si>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</si>
  <si>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</si>
  <si>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</si>
  <si>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</si>
  <si>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</si>
  <si>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</si>
  <si>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</si>
  <si>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</si>
  <si>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</si>
  <si>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</si>
  <si>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</si>
  <si>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</si>
  <si>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</si>
  <si>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</si>
  <si>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</si>
  <si>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</si>
  <si>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</si>
  <si>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</si>
  <si>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</si>
  <si>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</si>
  <si>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</si>
  <si>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</si>
  <si>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</si>
  <si>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</si>
  <si>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</si>
  <si>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</si>
  <si>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</si>
  <si>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</si>
  <si>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</si>
  <si>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</si>
  <si>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</si>
  <si>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</si>
  <si>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</si>
  <si>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</si>
  <si>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</si>
  <si>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</si>
  <si>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</si>
  <si>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</si>
  <si>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</si>
  <si>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</si>
  <si>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</si>
  <si>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</si>
  <si>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</si>
  <si>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</si>
  <si>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</si>
  <si>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</si>
  <si>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</si>
  <si>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</si>
  <si>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</si>
  <si>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</si>
  <si>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</si>
  <si>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</si>
  <si>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</si>
  <si>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</si>
  <si>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</si>
  <si>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</si>
  <si>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</si>
  <si>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</si>
  <si>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</si>
  <si>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</si>
  <si>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</si>
  <si>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</si>
  <si>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</si>
  <si>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</si>
  <si>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</si>
  <si>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</si>
  <si>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</si>
  <si>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</si>
  <si>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</si>
  <si>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</si>
  <si>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</si>
  <si>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</si>
  <si>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</si>
  <si>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</si>
  <si>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</si>
  <si>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</si>
  <si>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</si>
  <si>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</si>
  <si>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</si>
  <si>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</si>
  <si>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</si>
  <si>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</si>
  <si>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</si>
  <si>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</si>
  <si>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</si>
  <si>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</si>
  <si>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</si>
  <si>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</si>
  <si>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</si>
  <si>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</si>
  <si>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</si>
  <si>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</si>
  <si>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</si>
  <si>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</si>
  <si>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</si>
  <si>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</si>
  <si>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</si>
  <si>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</si>
  <si>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</si>
  <si>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</si>
  <si>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</si>
  <si>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</si>
  <si>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</si>
  <si>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</si>
  <si>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</si>
  <si>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</si>
  <si>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</si>
  <si>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</si>
  <si>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</si>
  <si>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</si>
  <si>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</si>
  <si>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</si>
  <si>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</si>
  <si>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</si>
  <si>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</si>
  <si>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</si>
  <si>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</si>
  <si>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</si>
  <si>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</si>
  <si>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</si>
  <si>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</si>
  <si>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</si>
  <si>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</si>
  <si>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</si>
  <si>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</si>
  <si>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</si>
  <si>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</si>
  <si>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</si>
  <si>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</si>
  <si>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</si>
  <si>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</si>
  <si>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</si>
  <si>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</si>
  <si>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</si>
  <si>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</si>
  <si>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</si>
  <si>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</si>
  <si>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</si>
  <si>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</si>
  <si>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</si>
  <si>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</si>
  <si>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</si>
  <si>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</si>
  <si>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</si>
  <si>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</si>
  <si>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</si>
  <si>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</si>
  <si>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</si>
  <si>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</si>
  <si>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</si>
  <si>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</si>
  <si>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</si>
  <si>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</si>
  <si>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</si>
  <si>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</si>
  <si>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</si>
  <si>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</si>
  <si>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</si>
  <si>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</si>
  <si>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</si>
  <si>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</si>
  <si>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</si>
  <si>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</si>
  <si>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</si>
  <si>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</si>
  <si>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</si>
  <si>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</si>
  <si>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</si>
  <si>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</si>
  <si>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</si>
  <si>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</si>
  <si>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</si>
  <si>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</si>
  <si>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</si>
  <si>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</si>
  <si>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</si>
  <si>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</si>
  <si>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</si>
  <si>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</si>
  <si>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</si>
  <si>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</si>
  <si>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</si>
  <si>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</si>
  <si>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</si>
  <si>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</si>
  <si>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</si>
  <si>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</si>
  <si>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</si>
  <si>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</si>
  <si>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</si>
  <si>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</si>
  <si>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</si>
  <si>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</si>
  <si>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</si>
  <si>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</si>
  <si>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</si>
  <si>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</si>
  <si>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</si>
  <si>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</si>
  <si>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</si>
  <si>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</si>
  <si>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</si>
  <si>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</si>
  <si>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</si>
  <si>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</si>
  <si>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</si>
  <si>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</si>
  <si>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</si>
  <si>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</si>
  <si>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</si>
  <si>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</si>
  <si>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</si>
  <si>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</si>
  <si>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</si>
  <si>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</si>
  <si>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</si>
  <si>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</si>
  <si>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</si>
  <si>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</si>
  <si>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</si>
  <si>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</si>
  <si>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</si>
  <si>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</si>
  <si>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</si>
  <si>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</si>
  <si>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</si>
  <si>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</si>
  <si>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</si>
  <si>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</si>
  <si>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</si>
  <si>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</si>
  <si>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</si>
  <si>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</si>
  <si>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</si>
  <si>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</si>
  <si>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</si>
  <si>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</si>
  <si>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</si>
  <si>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</si>
  <si>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</si>
  <si>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</si>
  <si>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</si>
  <si>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</si>
  <si>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</si>
  <si>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</si>
  <si>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</si>
  <si>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</si>
  <si>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</si>
  <si>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</si>
  <si>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</si>
  <si>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</si>
  <si>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</si>
  <si>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</si>
  <si>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</si>
  <si>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</si>
  <si>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</si>
  <si>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</si>
  <si>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</si>
  <si>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</si>
  <si>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</si>
  <si>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</si>
  <si>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</si>
  <si>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</si>
  <si>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</si>
  <si>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</si>
  <si>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</si>
  <si>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</si>
  <si>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</si>
  <si>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</si>
  <si>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</si>
  <si>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</si>
  <si>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</si>
  <si>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</si>
  <si>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</si>
  <si>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</si>
  <si>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</si>
  <si>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</si>
  <si>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</si>
  <si>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</si>
  <si>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</si>
  <si>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</si>
  <si>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</si>
  <si>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</si>
  <si>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</si>
  <si>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</si>
  <si>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</si>
  <si>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</si>
  <si>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</si>
  <si>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</si>
  <si>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</si>
  <si>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</si>
  <si>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</si>
  <si>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</si>
  <si>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</si>
  <si>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</si>
  <si>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</si>
  <si>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</si>
  <si>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</si>
  <si>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</si>
  <si>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</si>
  <si>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</si>
  <si>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</si>
  <si>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</si>
  <si>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</si>
  <si>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</si>
  <si>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</si>
  <si>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</si>
  <si>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</si>
  <si>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</si>
  <si>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</si>
  <si>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</si>
  <si>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</si>
  <si>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</si>
  <si>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</si>
  <si>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</si>
  <si>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</si>
  <si>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</si>
  <si>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</si>
  <si>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</si>
  <si>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</si>
  <si>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</si>
  <si>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</si>
  <si>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</si>
  <si>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</si>
  <si>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</si>
  <si>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</si>
  <si>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</si>
  <si>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</si>
  <si>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</si>
  <si>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</si>
  <si>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</si>
  <si>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</si>
  <si>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</si>
  <si>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</si>
  <si>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</si>
  <si>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</si>
  <si>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</si>
  <si>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</si>
  <si>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</si>
  <si>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</si>
  <si>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</si>
  <si>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</si>
  <si>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</si>
  <si>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</si>
  <si>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</si>
  <si>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</si>
  <si>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</si>
  <si>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</si>
  <si>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</si>
  <si>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</si>
  <si>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</si>
  <si>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</si>
  <si>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</si>
  <si>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</si>
  <si>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</si>
  <si>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</si>
  <si>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</si>
  <si>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</si>
  <si>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</si>
  <si>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</si>
  <si>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</si>
  <si>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</si>
  <si>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</si>
  <si>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</si>
  <si>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</si>
  <si>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</si>
  <si>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</si>
  <si>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</si>
  <si>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</si>
  <si>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</si>
  <si>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</si>
  <si>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</si>
  <si>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</si>
  <si>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</si>
  <si>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</si>
  <si>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</si>
  <si>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</si>
  <si>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</si>
  <si>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</si>
  <si>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</si>
  <si>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</si>
  <si>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</si>
  <si>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</si>
  <si>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</si>
  <si>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</si>
  <si>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</si>
  <si>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</si>
  <si>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</si>
  <si>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</si>
  <si>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</si>
  <si>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</si>
  <si>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</si>
  <si>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</si>
  <si>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</si>
  <si>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</si>
  <si>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</si>
  <si>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</si>
  <si>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</si>
  <si>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</si>
  <si>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</si>
  <si>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</si>
  <si>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</si>
  <si>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</si>
  <si>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</si>
  <si>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</si>
  <si>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</si>
  <si>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</si>
  <si>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</si>
  <si>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</si>
  <si>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</si>
  <si>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</si>
  <si>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</si>
  <si>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</si>
  <si>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</si>
  <si>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</si>
  <si>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</si>
  <si>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</si>
  <si>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</si>
  <si>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</si>
  <si>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</si>
  <si>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</si>
  <si>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</si>
  <si>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</si>
  <si>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</si>
  <si>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</si>
  <si>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</si>
  <si>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</si>
  <si>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</si>
  <si>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</si>
  <si>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</si>
  <si>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</si>
  <si>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</si>
  <si>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</si>
  <si>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</si>
  <si>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</si>
  <si>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</si>
  <si>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</si>
  <si>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</si>
  <si>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</si>
  <si>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</si>
  <si>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</si>
  <si>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</si>
  <si>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</si>
  <si>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</si>
  <si>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</si>
  <si>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</si>
  <si>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</si>
  <si>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</si>
  <si>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</si>
  <si>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</si>
  <si>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</si>
  <si>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</si>
  <si>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</si>
  <si>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</si>
  <si>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</si>
  <si>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</si>
  <si>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</si>
  <si>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</si>
  <si>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</si>
  <si>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</si>
  <si>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</si>
  <si>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</si>
  <si>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</si>
  <si>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</si>
  <si>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</si>
  <si>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</si>
  <si>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</si>
  <si>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</si>
  <si>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</si>
  <si>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</si>
  <si>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</si>
  <si>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</si>
  <si>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</si>
  <si>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</si>
  <si>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</si>
  <si>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</si>
  <si>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</si>
  <si>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</si>
  <si>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</si>
  <si>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</si>
  <si>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</si>
  <si>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</si>
  <si>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</si>
  <si>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</si>
  <si>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</si>
  <si>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</si>
  <si>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</si>
  <si>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</si>
  <si>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</si>
  <si>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</si>
  <si>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</si>
  <si>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</si>
  <si>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</si>
  <si>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</si>
  <si>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</si>
  <si>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</si>
  <si>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</si>
  <si>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</si>
  <si>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</si>
  <si>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</si>
  <si>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</si>
  <si>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</si>
  <si>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</si>
  <si>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</si>
  <si>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</si>
  <si>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</si>
  <si>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</si>
  <si>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</si>
  <si>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</si>
  <si>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</si>
  <si>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</si>
  <si>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</si>
  <si>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</si>
  <si>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</si>
  <si>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</si>
  <si>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</si>
  <si>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</si>
  <si>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</si>
  <si>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</si>
  <si>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</si>
  <si>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</si>
  <si>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</si>
  <si>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</si>
  <si>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</si>
  <si>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</si>
  <si>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</si>
  <si>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</si>
  <si>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</si>
  <si>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</si>
  <si>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</si>
  <si>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</si>
  <si>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</si>
  <si>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</si>
  <si>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</si>
  <si>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</si>
  <si>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</si>
  <si>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</si>
  <si>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</si>
  <si>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</si>
  <si>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</si>
  <si>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</si>
  <si>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</si>
  <si>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</si>
  <si>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</si>
  <si>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</si>
  <si>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</si>
  <si>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</si>
  <si>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</si>
  <si>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</si>
  <si>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</si>
  <si>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</si>
  <si>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</si>
  <si>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</si>
  <si>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</si>
  <si>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</si>
  <si>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</si>
  <si>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</si>
  <si>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</si>
  <si>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</si>
  <si>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</si>
  <si>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</si>
  <si>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</si>
  <si>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</si>
  <si>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</si>
  <si>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</si>
  <si>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</si>
  <si>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</si>
  <si>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</si>
  <si>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</si>
  <si>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</si>
  <si>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</si>
  <si>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</si>
  <si>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</si>
  <si>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</si>
  <si>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</si>
  <si>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</si>
  <si>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</si>
  <si>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</si>
  <si>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</si>
  <si>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</si>
  <si>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</si>
  <si>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</si>
  <si>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</si>
  <si>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</si>
  <si>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</si>
  <si>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</si>
  <si>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</si>
  <si>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</si>
  <si>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</si>
  <si>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</si>
  <si>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</si>
  <si>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</si>
  <si>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</si>
  <si>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</si>
  <si>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</si>
  <si>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</si>
  <si>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</si>
  <si>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</si>
  <si>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</si>
  <si>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</si>
  <si>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</si>
  <si>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</si>
  <si>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</si>
  <si>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</si>
  <si>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</si>
  <si>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</si>
  <si>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</si>
  <si>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</si>
  <si>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</si>
  <si>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</si>
  <si>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</si>
  <si>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</si>
  <si>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</si>
  <si>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</si>
  <si>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</si>
  <si>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</si>
  <si>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</si>
  <si>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</si>
  <si>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</si>
  <si>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</si>
  <si>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</si>
  <si>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</si>
  <si>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</si>
  <si>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</si>
  <si>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</si>
  <si>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</si>
  <si>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</si>
  <si>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</si>
  <si>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</si>
  <si>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</si>
  <si>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</si>
  <si>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</si>
  <si>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</si>
  <si>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</si>
  <si>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</si>
  <si>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</si>
  <si>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</si>
  <si>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</si>
  <si>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</si>
  <si>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</si>
  <si>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</si>
  <si>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</si>
  <si>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</si>
  <si>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</si>
  <si>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</si>
  <si>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</si>
  <si>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</si>
  <si>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</si>
  <si>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</si>
  <si>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</si>
  <si>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</si>
  <si>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</si>
  <si>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</si>
  <si>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</si>
  <si>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</si>
  <si>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</si>
  <si>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</si>
  <si>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</si>
  <si>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</si>
  <si>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</si>
  <si>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</si>
  <si>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</si>
  <si>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</si>
  <si>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</si>
  <si>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</si>
  <si>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</si>
  <si>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</si>
  <si>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</si>
  <si>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</si>
  <si>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</si>
  <si>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</si>
  <si>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</si>
  <si>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</si>
  <si>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</si>
  <si>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</si>
  <si>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</si>
  <si>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</si>
  <si>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</si>
  <si>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</si>
  <si>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</si>
  <si>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</si>
  <si>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</si>
  <si>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</si>
  <si>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</si>
  <si>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</si>
  <si>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</si>
  <si>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</si>
  <si>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</si>
  <si>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</si>
  <si>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</si>
  <si>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</si>
  <si>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</si>
  <si>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</si>
  <si>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</si>
  <si>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</si>
  <si>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</si>
  <si>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</si>
  <si>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</si>
  <si>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</si>
  <si>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</si>
  <si>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</si>
  <si>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</si>
  <si>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</si>
  <si>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</si>
  <si>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</si>
  <si>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</si>
  <si>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</si>
  <si>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</si>
  <si>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</si>
  <si>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</si>
  <si>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</si>
  <si>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</si>
  <si>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</si>
  <si>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</si>
  <si>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</si>
  <si>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</si>
  <si>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</si>
  <si>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</si>
  <si>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</si>
  <si>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</si>
  <si>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</si>
  <si>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</si>
  <si>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</si>
  <si>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</si>
  <si>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</si>
  <si>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</si>
  <si>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</si>
  <si>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</si>
  <si>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</si>
  <si>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</si>
  <si>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</si>
  <si>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</si>
  <si>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</si>
  <si>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</si>
  <si>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</si>
  <si>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</si>
  <si>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</si>
  <si>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</si>
  <si>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</si>
  <si>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</si>
  <si>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</si>
  <si>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</si>
  <si>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</si>
  <si>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</si>
  <si>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</si>
  <si>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</si>
  <si>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</si>
  <si>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</si>
  <si>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</si>
  <si>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</si>
  <si>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</si>
  <si>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</si>
  <si>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</si>
  <si>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</si>
  <si>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</si>
  <si>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</si>
  <si>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</si>
  <si>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</si>
  <si>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</si>
  <si>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</si>
  <si>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</si>
  <si>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</si>
  <si>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</si>
  <si>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</si>
  <si>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</si>
  <si>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</si>
  <si>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</si>
  <si>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</si>
  <si>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</si>
  <si>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</si>
  <si>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</si>
  <si>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</si>
  <si>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</si>
  <si>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</si>
  <si>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</si>
  <si>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</si>
  <si>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</si>
  <si>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</si>
  <si>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</si>
  <si>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</si>
  <si>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</si>
  <si>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</si>
  <si>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</si>
  <si>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</si>
  <si>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</si>
  <si>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</si>
  <si>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</si>
  <si>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</si>
  <si>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</si>
  <si>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</si>
  <si>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</si>
  <si>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</si>
  <si>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</si>
  <si>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</si>
  <si>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</si>
  <si>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</si>
  <si>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</si>
  <si>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</si>
  <si>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</si>
  <si>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</si>
  <si>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</si>
  <si>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</si>
  <si>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</si>
  <si>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</si>
  <si>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</si>
  <si>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</si>
  <si>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</si>
  <si>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</si>
  <si>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</si>
  <si>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</si>
  <si>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</si>
  <si>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</si>
  <si>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</si>
  <si>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</si>
  <si>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</si>
  <si>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</si>
  <si>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</si>
  <si>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</si>
  <si>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</si>
  <si>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</si>
  <si>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</si>
  <si>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</si>
  <si>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</si>
  <si>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</si>
  <si>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</si>
  <si>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</si>
  <si>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</si>
  <si>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</si>
  <si>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</si>
  <si>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</si>
  <si>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</si>
  <si>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</si>
  <si>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</si>
  <si>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</si>
  <si>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</si>
  <si>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</si>
  <si>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</si>
  <si>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</si>
  <si>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</si>
  <si>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</si>
  <si>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</si>
  <si>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</si>
  <si>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</si>
  <si>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</si>
  <si>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</si>
  <si>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</si>
  <si>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</si>
  <si>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</si>
  <si>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</si>
  <si>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</si>
  <si>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</si>
  <si>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</si>
  <si>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</si>
  <si>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</si>
  <si>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</si>
  <si>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</si>
  <si>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</si>
  <si>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</si>
  <si>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</si>
  <si>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</si>
  <si>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</si>
  <si>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</si>
  <si>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</si>
  <si>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</si>
  <si>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</si>
  <si>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</si>
  <si>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</si>
  <si>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</si>
  <si>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</si>
  <si>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</si>
  <si>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</si>
  <si>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</si>
  <si>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</si>
  <si>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</si>
  <si>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</si>
  <si>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</si>
  <si>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</si>
  <si>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</si>
  <si>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</si>
  <si>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</si>
  <si>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</si>
  <si>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</si>
  <si>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</si>
  <si>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</si>
  <si>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</si>
  <si>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</si>
  <si>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</si>
  <si>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</si>
  <si>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</si>
  <si>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</si>
  <si>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</si>
  <si>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</si>
  <si>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</si>
  <si>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</si>
  <si>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</si>
  <si>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</si>
  <si>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</si>
  <si>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</si>
  <si>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</si>
  <si>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</si>
  <si>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</si>
  <si>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</si>
  <si>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</si>
  <si>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</si>
  <si>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</si>
  <si>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</si>
  <si>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</si>
  <si>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</si>
  <si>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</si>
  <si>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</si>
  <si>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</si>
  <si>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</si>
  <si>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</si>
  <si>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</si>
  <si>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</si>
  <si>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</si>
  <si>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</si>
  <si>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</si>
  <si>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</si>
  <si>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</si>
  <si>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</si>
  <si>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</si>
  <si>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</si>
  <si>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</si>
  <si>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</si>
  <si>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</si>
  <si>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</si>
  <si>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</si>
  <si>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</si>
  <si>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</si>
  <si>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</si>
  <si>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</si>
  <si>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</si>
  <si>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</si>
  <si>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</si>
  <si>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</si>
  <si>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</si>
  <si>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</si>
  <si>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</si>
  <si>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</si>
  <si>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</si>
  <si>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</si>
  <si>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</si>
  <si>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</si>
  <si>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</si>
  <si>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</si>
  <si>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</si>
  <si>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</si>
  <si>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</si>
  <si>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</si>
  <si>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</si>
  <si>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</si>
  <si>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</si>
  <si>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</si>
  <si>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</si>
  <si>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</si>
  <si>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</si>
  <si>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</si>
  <si>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</si>
  <si>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</si>
  <si>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</si>
  <si>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</si>
  <si>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</si>
  <si>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</si>
  <si>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</si>
  <si>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</si>
  <si>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</si>
  <si>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</si>
  <si>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</si>
  <si>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</si>
  <si>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</si>
  <si>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</si>
  <si>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</si>
  <si>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</si>
  <si>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</si>
  <si>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</si>
  <si>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</si>
  <si>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</si>
  <si>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</si>
  <si>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</si>
  <si>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</si>
  <si>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</si>
  <si>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</si>
  <si>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</si>
  <si>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</si>
  <si>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</si>
  <si>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</si>
  <si>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</si>
  <si>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</si>
  <si>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</si>
  <si>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</si>
  <si>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</si>
  <si>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</si>
  <si>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</si>
  <si>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</si>
  <si>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</si>
  <si>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</si>
  <si>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</si>
  <si>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</si>
  <si>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</si>
  <si>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</si>
  <si>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</si>
  <si>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</si>
  <si>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</si>
  <si>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</si>
  <si>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</si>
  <si>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</si>
  <si>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</si>
  <si>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</si>
  <si>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</si>
  <si>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</si>
  <si>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</si>
  <si>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</si>
  <si>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</si>
  <si>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</si>
  <si>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</si>
  <si>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</si>
  <si>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</si>
  <si>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</si>
  <si>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</si>
  <si>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</si>
  <si>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</si>
  <si>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</si>
  <si>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</si>
  <si>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</si>
  <si>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</si>
  <si>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</si>
  <si>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</si>
  <si>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</si>
  <si>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</si>
  <si>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</si>
  <si>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</si>
  <si>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</si>
  <si>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</si>
  <si>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</si>
  <si>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</si>
  <si>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</si>
  <si>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</si>
  <si>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</si>
  <si>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</si>
  <si>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</si>
  <si>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</si>
  <si>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</si>
  <si>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</si>
  <si>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</si>
  <si>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</si>
  <si>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</si>
  <si>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</si>
  <si>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</si>
  <si>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</si>
  <si>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</si>
  <si>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</si>
  <si>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</si>
  <si>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</si>
  <si>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</si>
  <si>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</si>
  <si>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</si>
  <si>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</si>
  <si>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</si>
  <si>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</si>
  <si>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</si>
  <si>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</si>
  <si>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</si>
  <si>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</si>
  <si>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</si>
  <si>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</si>
  <si>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</si>
  <si>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</si>
  <si>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</si>
  <si>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</si>
  <si>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</si>
  <si>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</si>
  <si>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</si>
  <si>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</si>
  <si>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</si>
  <si>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</si>
  <si>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</si>
  <si>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</si>
  <si>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</si>
  <si>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</si>
  <si>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</si>
  <si>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</si>
  <si>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</si>
  <si>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</si>
  <si>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</si>
  <si>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</si>
  <si>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</si>
  <si>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</si>
  <si>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</si>
  <si>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</si>
  <si>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</si>
  <si>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</si>
  <si>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</si>
  <si>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</si>
  <si>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</si>
  <si>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</si>
  <si>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</si>
  <si>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</si>
  <si>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</si>
  <si>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</si>
  <si>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</si>
  <si>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</si>
  <si>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</si>
  <si>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</si>
  <si>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</si>
  <si>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</si>
  <si>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</si>
  <si>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</si>
  <si>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</si>
  <si>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</si>
  <si>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</si>
  <si>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</si>
  <si>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</si>
  <si>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</si>
  <si>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</si>
  <si>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</si>
  <si>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</si>
  <si>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</si>
  <si>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</si>
  <si>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</si>
  <si>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</si>
  <si>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</si>
  <si>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</si>
  <si>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</si>
  <si>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</si>
  <si>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</si>
  <si>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</si>
  <si>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</si>
  <si>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</si>
  <si>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</si>
  <si>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</si>
  <si>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</si>
  <si>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</si>
  <si>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</si>
  <si>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</si>
  <si>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</si>
  <si>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</si>
  <si>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</si>
  <si>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</si>
  <si>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</si>
  <si>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</si>
  <si>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</si>
  <si>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</si>
  <si>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</si>
  <si>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</si>
  <si>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</si>
  <si>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</si>
  <si>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</si>
  <si>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</si>
  <si>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</si>
  <si>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</si>
  <si>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</si>
  <si>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</si>
  <si>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</si>
  <si>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</si>
  <si>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</si>
  <si>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</si>
  <si>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</si>
  <si>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</si>
  <si>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</si>
  <si>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</si>
  <si>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</si>
  <si>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</si>
  <si>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</si>
  <si>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</si>
  <si>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</si>
  <si>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</si>
  <si>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</si>
  <si>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</si>
  <si>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</si>
  <si>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</si>
  <si>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</si>
  <si>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</si>
  <si>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</si>
  <si>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</si>
  <si>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</si>
  <si>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</si>
  <si>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</si>
  <si>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</si>
  <si>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</si>
  <si>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</si>
  <si>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</si>
  <si>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</si>
  <si>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</si>
  <si>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</si>
  <si>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</si>
  <si>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</si>
  <si>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</si>
  <si>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</si>
  <si>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</si>
  <si>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</si>
  <si>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</si>
  <si>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</si>
  <si>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</si>
  <si>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</si>
  <si>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</si>
  <si>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</si>
  <si>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</si>
  <si>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</si>
  <si>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</si>
  <si>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</si>
  <si>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</si>
  <si>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</si>
  <si>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</si>
  <si>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</si>
  <si>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</si>
  <si>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</si>
  <si>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</si>
  <si>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</si>
  <si>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</si>
  <si>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</si>
  <si>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</si>
  <si>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</si>
  <si>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</si>
  <si>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</si>
  <si>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</si>
  <si>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</si>
  <si>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</si>
  <si>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</si>
  <si>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</si>
  <si>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</si>
  <si>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</si>
  <si>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</si>
  <si>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</si>
  <si>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</si>
  <si>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</si>
  <si>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</si>
  <si>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</si>
  <si>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</si>
  <si>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</si>
  <si>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</si>
  <si>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</si>
  <si>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</si>
  <si>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</si>
  <si>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</si>
  <si>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</si>
  <si>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</si>
  <si>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</si>
  <si>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</si>
  <si>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</si>
  <si>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</si>
  <si>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</si>
  <si>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</si>
  <si>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</si>
  <si>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</si>
  <si>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</si>
  <si>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</si>
  <si>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</si>
  <si>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</si>
  <si>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</si>
  <si>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</si>
  <si>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</si>
  <si>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</si>
  <si>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</si>
  <si>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</si>
  <si>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</si>
  <si>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</si>
  <si>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</si>
  <si>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</si>
  <si>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</si>
  <si>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</si>
  <si>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</si>
  <si>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</si>
  <si>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</si>
  <si>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</si>
  <si>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</si>
  <si>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</si>
  <si>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</si>
  <si>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</si>
  <si>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</si>
  <si>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</si>
  <si>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</si>
  <si>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</si>
  <si>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</si>
  <si>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</si>
  <si>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</si>
  <si>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</si>
  <si>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</si>
  <si>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</si>
  <si>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</si>
  <si>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</si>
  <si>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</si>
  <si>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</si>
  <si>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</si>
  <si>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</si>
  <si>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</si>
  <si>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</si>
  <si>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</si>
  <si>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</si>
  <si>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</si>
  <si>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</si>
  <si>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</si>
  <si>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</si>
  <si>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</si>
  <si>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</si>
  <si>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</si>
  <si>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</si>
  <si>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</si>
  <si>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</si>
  <si>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</si>
  <si>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</si>
  <si>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</si>
  <si>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</si>
  <si>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</si>
  <si>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</si>
  <si>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</si>
  <si>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</si>
  <si>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</si>
  <si>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</si>
  <si>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</si>
  <si>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</si>
  <si>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</si>
  <si>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</si>
  <si>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</si>
  <si>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</si>
  <si>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</si>
  <si>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</si>
  <si>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</si>
  <si>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</si>
  <si>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</si>
  <si>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</si>
  <si>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</si>
  <si>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</si>
  <si>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</si>
  <si>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</si>
  <si>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</si>
  <si>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</si>
  <si>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</si>
  <si>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</si>
  <si>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</si>
  <si>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</si>
  <si>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</si>
  <si>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</si>
  <si>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</si>
  <si>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</si>
  <si>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</si>
  <si>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</si>
  <si>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</si>
  <si>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</si>
  <si>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</si>
  <si>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</si>
  <si>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</si>
  <si>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</si>
  <si>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</si>
  <si>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</si>
  <si>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</si>
  <si>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</si>
  <si>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</si>
  <si>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</si>
  <si>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</si>
  <si>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</si>
  <si>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</si>
  <si>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</si>
  <si>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</si>
  <si>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</si>
  <si>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</si>
  <si>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</si>
  <si>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</si>
  <si>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</si>
  <si>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</si>
  <si>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</si>
  <si>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</si>
  <si>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</si>
  <si>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</si>
  <si>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</si>
  <si>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</si>
  <si>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</si>
  <si>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</si>
  <si>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</si>
  <si>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</si>
  <si>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</si>
  <si>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</si>
  <si>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</si>
  <si>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</si>
  <si>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</si>
  <si>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</si>
  <si>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</si>
  <si>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</si>
  <si>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</si>
  <si>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</si>
  <si>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</si>
  <si>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</si>
  <si>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</si>
  <si>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</si>
  <si>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</si>
  <si>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</si>
  <si>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</si>
  <si>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</si>
  <si>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</si>
  <si>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</si>
  <si>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</si>
  <si>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</si>
  <si>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</si>
  <si>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</si>
  <si>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</si>
  <si>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</si>
  <si>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</si>
  <si>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</si>
  <si>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</si>
  <si>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</si>
  <si>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</si>
  <si>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</si>
  <si>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</si>
  <si>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</si>
  <si>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</si>
  <si>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</si>
  <si>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</si>
  <si>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</si>
  <si>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</si>
  <si>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</si>
  <si>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</si>
  <si>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</si>
  <si>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</si>
  <si>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</si>
  <si>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</si>
  <si>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</si>
  <si>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</si>
  <si>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</si>
  <si>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</si>
  <si>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</si>
  <si>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</si>
  <si>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</si>
  <si>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</si>
  <si>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</si>
  <si>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</si>
  <si>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</si>
  <si>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</si>
  <si>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</si>
  <si>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</si>
  <si>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</si>
  <si>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</si>
  <si>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</si>
  <si>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</si>
  <si>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</si>
  <si>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</si>
  <si>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</si>
  <si>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</si>
  <si>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</si>
  <si>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</si>
  <si>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</si>
  <si>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</si>
  <si>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</si>
  <si>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</si>
  <si>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</si>
  <si>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</si>
  <si>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</si>
  <si>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</si>
  <si>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</si>
  <si>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</si>
  <si>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</si>
  <si>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</si>
  <si>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</si>
  <si>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</si>
  <si>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</si>
  <si>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</si>
  <si>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</si>
  <si>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</si>
  <si>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</si>
  <si>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</si>
  <si>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</si>
  <si>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</si>
  <si>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</si>
  <si>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</si>
  <si>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</si>
  <si>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</si>
  <si>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</si>
  <si>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</si>
  <si>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</si>
  <si>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</si>
  <si>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</si>
  <si>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</si>
  <si>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</si>
  <si>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</si>
  <si>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</si>
  <si>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</si>
  <si>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</si>
  <si>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</si>
  <si>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</si>
  <si>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</si>
  <si>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</si>
  <si>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</si>
  <si>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</si>
  <si>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</si>
  <si>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</si>
  <si>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</si>
  <si>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</si>
  <si>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</si>
  <si>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</si>
  <si>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</si>
  <si>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</si>
  <si>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</si>
  <si>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</si>
  <si>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</si>
  <si>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</si>
  <si>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</si>
  <si>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</si>
  <si>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</si>
  <si>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</si>
  <si>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</si>
  <si>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</si>
  <si>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</si>
  <si>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</si>
  <si>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</si>
  <si>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</si>
  <si>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</si>
  <si>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</si>
  <si>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</si>
  <si>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</si>
  <si>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</si>
  <si>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</si>
  <si>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</si>
  <si>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</si>
  <si>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</si>
  <si>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</si>
  <si>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</si>
  <si>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</si>
  <si>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</si>
  <si>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</si>
  <si>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</si>
  <si>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</si>
  <si>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</si>
  <si>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</si>
  <si>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</si>
  <si>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</si>
  <si>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</si>
  <si>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</si>
  <si>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</si>
  <si>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</si>
  <si>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</si>
  <si>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</si>
  <si>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</si>
  <si>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</si>
  <si>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</si>
  <si>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</si>
  <si>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</si>
  <si>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</si>
  <si>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</si>
  <si>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</si>
  <si>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</si>
  <si>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</si>
  <si>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</si>
  <si>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</si>
  <si>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</si>
  <si>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</si>
  <si>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</si>
  <si>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</si>
  <si>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</si>
  <si>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</si>
  <si>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</si>
  <si>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</si>
  <si>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</si>
  <si>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</si>
  <si>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</si>
  <si>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</si>
  <si>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</si>
  <si>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</si>
  <si>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</si>
  <si>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</si>
  <si>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</si>
  <si>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</si>
  <si>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</si>
  <si>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</si>
  <si>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</si>
  <si>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</si>
  <si>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</si>
  <si>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</si>
  <si>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</si>
  <si>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</si>
  <si>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</si>
  <si>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</si>
  <si>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</si>
  <si>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</si>
  <si>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</si>
  <si>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</si>
  <si>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</si>
  <si>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</si>
  <si>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</si>
  <si>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</si>
  <si>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</si>
  <si>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</si>
  <si>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</si>
  <si>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</si>
  <si>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</si>
  <si>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</si>
  <si>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</si>
  <si>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</si>
  <si>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</si>
  <si>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</si>
  <si>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</si>
  <si>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</si>
  <si>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</si>
  <si>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</si>
  <si>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</si>
  <si>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</si>
  <si>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</si>
  <si>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</si>
  <si>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</si>
  <si>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</si>
  <si>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</si>
  <si>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</si>
  <si>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</si>
  <si>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</si>
  <si>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</si>
  <si>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</si>
  <si>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</si>
  <si>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</si>
  <si>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</si>
  <si>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</si>
  <si>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</si>
  <si>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</si>
  <si>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</si>
  <si>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</si>
  <si>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</si>
  <si>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</si>
  <si>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</si>
  <si>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</si>
  <si>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</si>
  <si>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</si>
  <si>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</si>
  <si>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</si>
  <si>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</si>
  <si>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</si>
  <si>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</si>
  <si>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</si>
  <si>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</si>
  <si>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</si>
  <si>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</si>
  <si>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</si>
  <si>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</si>
  <si>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</si>
  <si>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</si>
  <si>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</si>
  <si>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</si>
  <si>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</si>
  <si>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</si>
  <si>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</si>
  <si>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</si>
  <si>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</si>
  <si>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</si>
  <si>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</si>
  <si>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</si>
  <si>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</si>
  <si>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</si>
  <si>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</si>
  <si>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</si>
  <si>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</si>
  <si>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</si>
  <si>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</si>
  <si>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</si>
  <si>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</si>
  <si>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</si>
  <si>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</si>
  <si>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</si>
  <si>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</si>
  <si>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</si>
  <si>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</si>
  <si>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</si>
  <si>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</si>
  <si>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</si>
  <si>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</si>
  <si>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</si>
  <si>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</si>
  <si>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</si>
  <si>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</si>
  <si>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</si>
  <si>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</si>
  <si>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</si>
  <si>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</si>
  <si>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</si>
  <si>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</si>
  <si>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</si>
  <si>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</si>
  <si>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</si>
  <si>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</si>
  <si>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</si>
  <si>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</si>
  <si>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</si>
  <si>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</si>
  <si>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</si>
  <si>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</si>
  <si>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</si>
  <si>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</si>
  <si>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</si>
  <si>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</si>
  <si>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</si>
  <si>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</si>
  <si>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</si>
  <si>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</si>
  <si>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</si>
  <si>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</si>
  <si>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</si>
  <si>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</si>
  <si>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</si>
  <si>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</si>
  <si>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</si>
  <si>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</si>
  <si>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</si>
  <si>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</si>
  <si>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</si>
  <si>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</si>
  <si>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</si>
  <si>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</si>
  <si>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</si>
  <si>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</si>
  <si>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</si>
  <si>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</si>
  <si>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</si>
  <si>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</si>
  <si>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</si>
  <si>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</si>
  <si>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</si>
  <si>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</si>
  <si>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</si>
  <si>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</si>
  <si>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</si>
  <si>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</si>
  <si>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</si>
  <si>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</si>
  <si>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</si>
  <si>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</si>
  <si>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</si>
  <si>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</si>
  <si>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</si>
  <si>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</si>
  <si>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</si>
  <si>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</si>
  <si>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</si>
  <si>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</si>
  <si>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</si>
  <si>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</si>
  <si>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</si>
  <si>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</si>
  <si>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</si>
  <si>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</si>
  <si>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</si>
  <si>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</si>
  <si>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</si>
  <si>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</si>
  <si>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</si>
  <si>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</si>
  <si>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</si>
  <si>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</si>
  <si>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</si>
  <si>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</si>
  <si>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</si>
  <si>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</si>
  <si>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</si>
  <si>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</si>
  <si>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</si>
  <si>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</si>
  <si>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</si>
  <si>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</si>
  <si>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</si>
  <si>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</si>
  <si>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</si>
  <si>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</si>
  <si>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</si>
  <si>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</si>
  <si>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</si>
  <si>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</si>
  <si>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</si>
  <si>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</si>
  <si>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</si>
  <si>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</si>
  <si>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</si>
  <si>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</si>
  <si>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</si>
  <si>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</si>
  <si>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</si>
  <si>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</si>
  <si>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</si>
  <si>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</si>
  <si>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</si>
  <si>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</si>
  <si>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</si>
  <si>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</si>
  <si>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</si>
  <si>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</si>
  <si>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</si>
  <si>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</si>
  <si>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</si>
  <si>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</si>
  <si>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</si>
  <si>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</si>
  <si>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</si>
  <si>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</si>
  <si>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</si>
  <si>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</si>
  <si>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</si>
  <si>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</si>
  <si>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</si>
  <si>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</si>
  <si>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</si>
  <si>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</si>
  <si>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</si>
  <si>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</si>
  <si>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</si>
  <si>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</si>
  <si>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</si>
  <si>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</si>
  <si>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</si>
  <si>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</si>
  <si>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</si>
  <si>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</si>
  <si>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</si>
  <si>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</si>
  <si>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</si>
  <si>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</si>
  <si>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</si>
  <si>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</si>
  <si>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</si>
  <si>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</si>
  <si>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</si>
  <si>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</si>
  <si>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</si>
  <si>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</si>
  <si>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</si>
  <si>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</si>
  <si>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</si>
  <si>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</si>
  <si>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</si>
  <si>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</si>
  <si>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</si>
  <si>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</si>
  <si>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</si>
  <si>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</si>
  <si>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</si>
  <si>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</si>
  <si>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</si>
  <si>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</si>
  <si>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</si>
  <si>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</si>
  <si>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</si>
  <si>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</si>
  <si>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</si>
  <si>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</si>
  <si>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</si>
  <si>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</si>
  <si>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</si>
  <si>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</si>
  <si>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</si>
  <si>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</si>
  <si>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</si>
  <si>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</si>
  <si>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</si>
  <si>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</si>
  <si>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</si>
  <si>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</si>
  <si>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</si>
  <si>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</si>
  <si>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</si>
  <si>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</si>
  <si>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</si>
  <si>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</si>
  <si>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</si>
  <si>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</si>
  <si>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</si>
  <si>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</si>
  <si>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</si>
  <si>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</si>
  <si>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</si>
  <si>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</si>
  <si>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</si>
  <si>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</si>
  <si>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</si>
  <si>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</si>
  <si>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</si>
  <si>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</si>
  <si>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</si>
  <si>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</si>
  <si>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</si>
  <si>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</si>
  <si>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</si>
  <si>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</si>
  <si>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</si>
  <si>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</si>
  <si>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</si>
  <si>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</si>
  <si>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</si>
  <si>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</si>
  <si>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</si>
  <si>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</si>
  <si>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</si>
  <si>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</si>
  <si>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</si>
  <si>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</si>
  <si>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</si>
  <si>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</si>
  <si>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</si>
  <si>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</si>
  <si>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</si>
  <si>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</si>
  <si>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</si>
  <si>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</si>
  <si>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</si>
  <si>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</si>
  <si>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</si>
  <si>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</si>
  <si>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</si>
  <si>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</si>
  <si>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</si>
  <si>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</si>
  <si>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</si>
  <si>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</si>
  <si>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</si>
  <si>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</si>
  <si>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</si>
  <si>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</si>
  <si>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</si>
  <si>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</si>
  <si>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</si>
  <si>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</si>
  <si>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</si>
  <si>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</si>
  <si>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</si>
  <si>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</si>
  <si>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</si>
  <si>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</si>
  <si>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</si>
  <si>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</si>
  <si>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</si>
  <si>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</si>
  <si>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</si>
  <si>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</si>
  <si>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</si>
  <si>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</si>
  <si>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</si>
  <si>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</si>
  <si>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</si>
  <si>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</si>
  <si>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</si>
  <si>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</si>
  <si>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</si>
  <si>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</si>
  <si>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</si>
  <si>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</si>
  <si>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</si>
  <si>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</si>
  <si>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</si>
  <si>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</si>
  <si>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</si>
  <si>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</si>
  <si>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</si>
  <si>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</si>
  <si>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</si>
  <si>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</si>
  <si>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</si>
  <si>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</si>
  <si>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</si>
  <si>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</si>
  <si>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</si>
  <si>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</si>
  <si>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</si>
  <si>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</si>
  <si>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</si>
  <si>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</si>
  <si>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</si>
  <si>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</si>
  <si>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</si>
  <si>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</si>
  <si>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</si>
  <si>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</si>
  <si>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</si>
  <si>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</si>
  <si>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</si>
  <si>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</si>
  <si>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</si>
  <si>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</si>
  <si>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</si>
  <si>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</si>
  <si>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</si>
  <si>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</si>
  <si>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</si>
  <si>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</si>
  <si>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</si>
  <si>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</si>
  <si>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</si>
  <si>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</si>
  <si>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</si>
  <si>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</si>
  <si>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</si>
  <si>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</si>
  <si>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</si>
  <si>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</si>
  <si>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</si>
  <si>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</si>
  <si>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</si>
  <si>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</si>
  <si>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</si>
  <si>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</si>
  <si>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</si>
  <si>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</si>
  <si>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</si>
  <si>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</si>
  <si>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</si>
  <si>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</si>
  <si>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</si>
  <si>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</si>
  <si>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</si>
  <si>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</si>
  <si>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</si>
  <si>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</si>
  <si>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</si>
  <si>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</si>
  <si>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</si>
  <si>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</si>
  <si>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</si>
  <si>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</si>
  <si>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</si>
  <si>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</si>
  <si>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</si>
  <si>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</si>
  <si>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</si>
  <si>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</si>
  <si>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</si>
  <si>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</si>
  <si>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</si>
  <si>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</si>
  <si>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</si>
  <si>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</si>
  <si>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</si>
  <si>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</si>
  <si>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</si>
  <si>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</si>
  <si>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</si>
  <si>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</si>
  <si>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</si>
  <si>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</si>
  <si>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</si>
  <si>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</si>
  <si>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</si>
  <si>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</si>
  <si>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</si>
  <si>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</si>
  <si>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</si>
  <si>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</si>
  <si>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</si>
  <si>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</si>
  <si>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</si>
  <si>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</si>
  <si>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</si>
  <si>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</si>
  <si>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</si>
  <si>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</si>
  <si>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</si>
  <si>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</si>
  <si>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</si>
  <si>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</si>
  <si>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</si>
  <si>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</si>
  <si>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</si>
  <si>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</si>
  <si>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</si>
  <si>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</si>
  <si>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</si>
  <si>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</si>
  <si>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</si>
  <si>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</si>
  <si>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</si>
  <si>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</si>
  <si>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</si>
  <si>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</si>
  <si>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</si>
  <si>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</si>
  <si>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</si>
  <si>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</si>
  <si>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</si>
  <si>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</si>
  <si>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</si>
  <si>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</si>
  <si>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</si>
  <si>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</si>
  <si>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</si>
  <si>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</si>
  <si>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</si>
  <si>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</si>
  <si>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</si>
  <si>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</si>
  <si>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</si>
  <si>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</si>
  <si>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</si>
  <si>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</si>
  <si>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</si>
  <si>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</si>
  <si>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</si>
  <si>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</si>
  <si>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</si>
  <si>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</si>
  <si>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</si>
  <si>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</si>
  <si>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</si>
  <si>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</si>
  <si>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</si>
  <si>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</si>
  <si>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</si>
  <si>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</si>
  <si>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</si>
  <si>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</si>
  <si>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</si>
  <si>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</si>
  <si>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</si>
  <si>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</si>
  <si>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</si>
  <si>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</si>
  <si>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</si>
  <si>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</si>
  <si>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</si>
  <si>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</si>
  <si>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</si>
  <si>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</si>
  <si>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</si>
  <si>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</si>
  <si>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</si>
  <si>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</si>
  <si>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</si>
  <si>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</si>
  <si>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</si>
  <si>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</si>
  <si>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</si>
  <si>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</si>
  <si>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</si>
  <si>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</si>
  <si>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</si>
  <si>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</si>
  <si>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</si>
  <si>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</si>
  <si>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</si>
  <si>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</si>
  <si>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</si>
  <si>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</si>
  <si>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</si>
  <si>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</si>
  <si>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</si>
  <si>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</si>
  <si>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</si>
  <si>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</si>
  <si>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</si>
  <si>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</si>
  <si>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</si>
  <si>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</si>
  <si>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</si>
  <si>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</si>
  <si>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</si>
  <si>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</si>
  <si>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</si>
  <si>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</si>
  <si>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</si>
  <si>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</si>
  <si>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</si>
  <si>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</si>
  <si>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</si>
  <si>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</si>
  <si>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</si>
  <si>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</si>
  <si>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</si>
  <si>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</si>
  <si>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</si>
  <si>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</si>
  <si>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</si>
  <si>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</si>
  <si>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</si>
  <si>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</si>
  <si>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</si>
  <si>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</si>
  <si>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</si>
  <si>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</si>
  <si>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</si>
  <si>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</si>
  <si>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</si>
  <si>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</si>
  <si>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</si>
  <si>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</si>
  <si>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</si>
  <si>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</si>
  <si>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</si>
  <si>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</si>
  <si>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</si>
  <si>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</si>
  <si>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</si>
  <si>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</si>
  <si>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</si>
  <si>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</si>
  <si>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</si>
  <si>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</si>
  <si>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</si>
  <si>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</si>
  <si>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</si>
  <si>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</si>
  <si>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</si>
  <si>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</si>
  <si>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</si>
  <si>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</si>
  <si>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</si>
  <si>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</si>
  <si>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</si>
  <si>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</si>
  <si>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</si>
  <si>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</si>
  <si>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</si>
  <si>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</si>
  <si>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</si>
  <si>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</si>
  <si>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</si>
  <si>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</si>
  <si>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</si>
  <si>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</si>
  <si>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</si>
  <si>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</si>
  <si>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</si>
  <si>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</si>
  <si>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</si>
  <si>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</si>
  <si>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</si>
  <si>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</si>
  <si>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</si>
  <si>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</si>
  <si>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</si>
  <si>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</si>
  <si>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</si>
  <si>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</si>
  <si>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</si>
  <si>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</si>
  <si>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</si>
  <si>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</si>
  <si>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</si>
  <si>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</si>
  <si>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</si>
  <si>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</si>
  <si>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</si>
  <si>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</si>
  <si>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</si>
  <si>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</si>
  <si>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</si>
  <si>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</si>
  <si>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</si>
  <si>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</si>
  <si>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</si>
  <si>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</si>
  <si>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</si>
  <si>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</si>
  <si>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</si>
  <si>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</si>
  <si>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</si>
  <si>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</si>
  <si>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</si>
  <si>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</si>
  <si>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</si>
  <si>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</si>
  <si>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</si>
  <si>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</si>
  <si>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</si>
  <si>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</si>
  <si>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</si>
  <si>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</si>
  <si>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</si>
  <si>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</si>
  <si>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</si>
  <si>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</si>
  <si>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</si>
  <si>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</si>
  <si>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</si>
  <si>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</si>
  <si>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</si>
  <si>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</si>
  <si>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</si>
  <si>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</si>
  <si>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</si>
  <si>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</si>
  <si>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</si>
  <si>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</si>
  <si>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</si>
  <si>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</si>
  <si>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</si>
  <si>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</si>
  <si>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</si>
  <si>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</si>
  <si>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</si>
  <si>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</si>
  <si>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</si>
  <si>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</si>
  <si>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</si>
  <si>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</si>
  <si>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</si>
  <si>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</si>
  <si>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</si>
  <si>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</si>
  <si>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</si>
  <si>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</si>
  <si>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</si>
  <si>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</si>
  <si>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</si>
  <si>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</si>
  <si>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</si>
  <si>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</si>
  <si>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</si>
  <si>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</si>
  <si>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</si>
  <si>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</si>
  <si>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</si>
  <si>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</si>
  <si>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</si>
  <si>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</si>
  <si>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</si>
  <si>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</si>
  <si>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</si>
  <si>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</si>
  <si>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</si>
  <si>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</si>
  <si>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</si>
  <si>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</si>
  <si>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</si>
  <si>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</si>
  <si>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</si>
  <si>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</si>
  <si>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</si>
  <si>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</si>
  <si>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</si>
  <si>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</si>
  <si>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</si>
  <si>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</si>
  <si>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</si>
  <si>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</si>
  <si>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</si>
  <si>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</si>
  <si>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</si>
  <si>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</si>
  <si>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</si>
  <si>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</si>
  <si>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</si>
  <si>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</si>
  <si>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</si>
  <si>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</si>
  <si>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</si>
  <si>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</si>
  <si>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</si>
  <si>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</si>
  <si>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</si>
  <si>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</si>
  <si>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</si>
  <si>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</si>
  <si>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</si>
  <si>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</si>
  <si>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</si>
  <si>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</si>
  <si>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</si>
  <si>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</si>
  <si>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</si>
  <si>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</si>
  <si>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</si>
  <si>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</si>
  <si>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</si>
  <si>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</si>
  <si>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</si>
  <si>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</si>
  <si>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</si>
  <si>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</si>
  <si>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</si>
  <si>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</si>
  <si>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</si>
  <si>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</si>
  <si>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</si>
  <si>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</si>
  <si>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</si>
  <si>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</si>
  <si>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</si>
  <si>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</si>
  <si>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</si>
  <si>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</si>
  <si>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</si>
  <si>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</si>
  <si>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</si>
  <si>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</si>
  <si>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</si>
  <si>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</si>
  <si>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</si>
  <si>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</si>
  <si>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</si>
  <si>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</si>
  <si>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</si>
  <si>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</si>
  <si>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</si>
  <si>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</si>
  <si>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</si>
  <si>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</si>
  <si>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</si>
  <si>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</si>
  <si>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</si>
  <si>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医药ETF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</si>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</sst>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1.2192815881249999E-2</c:v>
                </c:pt>
                <c:pt idx="1">
                  <c:v>6.6324614494999989E-2</c:v>
                </c:pt>
                <c:pt idx="2">
                  <c:v>0.11634910768749999</c:v>
                </c:pt>
                <c:pt idx="3">
                  <c:v>8.9033391031250006E-2</c:v>
                </c:pt>
                <c:pt idx="4">
                  <c:v>4.9402874397500005E-2</c:v>
                </c:pt>
                <c:pt idx="5">
                  <c:v>0.11495611629249999</c:v>
                </c:pt>
                <c:pt idx="6">
                  <c:v>0.17642174233500002</c:v>
                </c:pt>
                <c:pt idx="7">
                  <c:v>9.4950453766250012E-2</c:v>
                </c:pt>
                <c:pt idx="8">
                  <c:v>1.2346277887499999E-3</c:v>
                </c:pt>
                <c:pt idx="9">
                  <c:v>2.6779616871249998E-2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topLeftCell="C1" zoomScale="80" zoomScaleNormal="80" workbookViewId="0">
      <pane ySplit="1" topLeftCell="A58" activePane="bottomLeft" state="frozen"/>
      <selection pane="bottomLeft" activeCell="M124" sqref="M12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$F2*$T$32</f>
        <v>14.485672990063234</v>
      </c>
      <c r="I2" s="21">
        <f>$F2*$V$32</f>
        <v>1.3904065040650406</v>
      </c>
      <c r="J2" s="21">
        <f t="shared" ref="J2:J33" si="0">H2*(-$M2)</f>
        <v>49251.288166214996</v>
      </c>
      <c r="K2" s="21">
        <f t="shared" ref="K2:K33" si="1">I2*(-$M2)</f>
        <v>4727.3821138211379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-2.1861021380208404E-2</v>
      </c>
      <c r="T2" s="18" t="s">
        <v>146</v>
      </c>
      <c r="U2" s="18">
        <f>(SUM(S4:S6) - SUM(Q4:Q6))/SUM(Q4:Q6)</f>
        <v>-4.5447164288822159E-2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29.460034037725144</v>
      </c>
      <c r="I3" s="21">
        <f>$F3*$V$23</f>
        <v>3.4248120833924265</v>
      </c>
      <c r="J3" s="21">
        <f t="shared" si="0"/>
        <v>218004.25187916606</v>
      </c>
      <c r="K3" s="21">
        <f t="shared" si="1"/>
        <v>25343.609417103955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9.7118829707426855</v>
      </c>
      <c r="I4" s="21">
        <f>F4*$V$13</f>
        <v>0.95342835708927243</v>
      </c>
      <c r="J4" s="21">
        <f t="shared" si="0"/>
        <v>38459.056564141036</v>
      </c>
      <c r="K4" s="21">
        <f t="shared" si="1"/>
        <v>3775.576294073519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351136.6</v>
      </c>
      <c r="R4" s="29">
        <v>5487.19</v>
      </c>
      <c r="S4" s="40">
        <f>Q4+R4</f>
        <v>356623.79</v>
      </c>
      <c r="T4" s="26">
        <f>S4/Q4-1</f>
        <v>1.5626938348209718E-2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24.228121757177448</v>
      </c>
      <c r="I5" s="21">
        <f>E5*$V$24</f>
        <v>3.0534071255620892</v>
      </c>
      <c r="J5" s="21">
        <f t="shared" si="0"/>
        <v>95943.362158422693</v>
      </c>
      <c r="K5" s="21">
        <f t="shared" si="1"/>
        <v>12091.492217225874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-3155.53</v>
      </c>
      <c r="S5" s="40">
        <f>Q5+R5</f>
        <v>8844.4699999999993</v>
      </c>
      <c r="T5" s="26">
        <f>S5/Q5-1</f>
        <v>-0.26296083333333342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367531.43</v>
      </c>
      <c r="R6" s="29">
        <v>-35538.449999999997</v>
      </c>
      <c r="S6" s="40">
        <f>Q6+R6</f>
        <v>331992.98</v>
      </c>
      <c r="T6" s="26">
        <f>S6/Q6-1</f>
        <v>-9.6694995581738441E-2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30.734185221954334</v>
      </c>
      <c r="I7" s="21">
        <f>F7*$V$23</f>
        <v>3.5729357537937885</v>
      </c>
      <c r="J7" s="21">
        <f t="shared" si="0"/>
        <v>121707.37347893916</v>
      </c>
      <c r="K7" s="21">
        <f t="shared" si="1"/>
        <v>14148.825585023402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69331.969999999972</v>
      </c>
      <c r="R7" s="11">
        <f>V62</f>
        <v>15717.972895833336</v>
      </c>
      <c r="S7" s="11">
        <f>Q7+R7</f>
        <v>85049.942895833316</v>
      </c>
      <c r="T7" s="26">
        <f>S7/Q7-1</f>
        <v>0.22670598997595692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25.192701487374613</v>
      </c>
      <c r="I8" s="21">
        <f>E8*$V$24</f>
        <v>3.174970598408855</v>
      </c>
      <c r="J8" s="21">
        <f t="shared" si="0"/>
        <v>99763.097890003468</v>
      </c>
      <c r="K8" s="21">
        <f t="shared" si="1"/>
        <v>12572.883569699066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25.081598062953994</v>
      </c>
      <c r="I10" s="21">
        <f>E10*$V$24</f>
        <v>3.1609685230024209</v>
      </c>
      <c r="J10" s="21">
        <f t="shared" si="0"/>
        <v>99323.128329297819</v>
      </c>
      <c r="K10" s="21">
        <f t="shared" si="1"/>
        <v>12517.435351089587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30.528838951310863</v>
      </c>
      <c r="I11" s="21">
        <f>F11*$V$22</f>
        <v>3.5490636704119853</v>
      </c>
      <c r="J11" s="21">
        <f t="shared" si="0"/>
        <v>121919.97123595506</v>
      </c>
      <c r="K11" s="21">
        <f t="shared" si="1"/>
        <v>14173.540674157304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29.063243683781579</v>
      </c>
      <c r="I12" s="21">
        <f>F12*$V$17</f>
        <v>2.2277098614506925</v>
      </c>
      <c r="J12" s="21">
        <f t="shared" si="0"/>
        <v>112985.68488019559</v>
      </c>
      <c r="K12" s="21">
        <f t="shared" si="1"/>
        <v>8660.4003031784832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30.552541466024611</v>
      </c>
      <c r="I13" s="21">
        <f>F13*$V$22</f>
        <v>3.5518191546281432</v>
      </c>
      <c r="J13" s="21">
        <f t="shared" si="0"/>
        <v>122109.34247726055</v>
      </c>
      <c r="K13" s="21">
        <f t="shared" si="1"/>
        <v>14195.555615302299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2.6659999999999999</v>
      </c>
      <c r="S13" s="89">
        <v>10.39</v>
      </c>
      <c r="T13" s="32">
        <f t="shared" ref="T13:T33" si="2">S13/R13</f>
        <v>3.8972243060765193</v>
      </c>
      <c r="U13" s="31">
        <v>1.02</v>
      </c>
      <c r="V13" s="32">
        <f t="shared" ref="V13:V33" si="3">U13/R13</f>
        <v>0.38259564891222808</v>
      </c>
      <c r="W13" s="53">
        <v>0.1255</v>
      </c>
      <c r="X13" s="44">
        <f>SUMIF(C:C,"=红利",J:J)/SUMIFS(M:M,C:C,"=红利",M:M,"&lt;0")*-1</f>
        <v>10.137035354284892</v>
      </c>
      <c r="Y13" s="44">
        <f>SUMIF(C:C,"=红利",K:K)/SUMIFS(M:M,C:C,"=红利",M:M,"&lt;0")*-1</f>
        <v>0.99516612717715036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27.268662412785499</v>
      </c>
      <c r="I14" s="21">
        <f>F14*$V$17</f>
        <v>2.0901544516667663</v>
      </c>
      <c r="J14" s="21">
        <f t="shared" si="0"/>
        <v>99443.358086946158</v>
      </c>
      <c r="K14" s="21">
        <f t="shared" si="1"/>
        <v>7622.3752543383634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2.706</v>
      </c>
      <c r="S14" s="89">
        <v>9.86</v>
      </c>
      <c r="T14" s="32">
        <f t="shared" si="2"/>
        <v>3.6437546193643753</v>
      </c>
      <c r="U14" s="31">
        <v>1.1399999999999999</v>
      </c>
      <c r="V14" s="32">
        <f t="shared" si="3"/>
        <v>0.42128603104212858</v>
      </c>
      <c r="W14" s="53">
        <v>0.1222</v>
      </c>
      <c r="X14" s="44">
        <f>SUMIF(C:C,"=50ETF",J:J)/SUMIFS(M:M,C:C,"=50ETF",M:M,"&lt;0")*-1</f>
        <v>8.6939985218033993</v>
      </c>
      <c r="Y14" s="44">
        <f>SUMIF(C:C,"=50ETF",K:K)/SUMIFS(M:M,C:C,"=50ETF",M:M,"&lt;0")*-1</f>
        <v>1.0051884700665188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25.147250086475267</v>
      </c>
      <c r="I15" s="21">
        <f>E15*$V$24</f>
        <v>3.1692424766516774</v>
      </c>
      <c r="J15" s="21">
        <f t="shared" si="0"/>
        <v>199166.22068488412</v>
      </c>
      <c r="K15" s="21">
        <f t="shared" si="1"/>
        <v>25100.400415081283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3.5739999999999998</v>
      </c>
      <c r="S15" s="89">
        <v>12.39</v>
      </c>
      <c r="T15" s="32">
        <f t="shared" si="2"/>
        <v>3.4667039731393401</v>
      </c>
      <c r="U15" s="31">
        <v>1.36</v>
      </c>
      <c r="V15" s="32">
        <f t="shared" si="3"/>
        <v>0.38052602126468948</v>
      </c>
      <c r="W15" s="53">
        <v>0.1183</v>
      </c>
      <c r="X15" s="44">
        <f>SUMIF(C:C,"=300ETF",J:J)/SUMIFS(M:M,C:C,"=300ETF",M:M,"&lt;0")*-1</f>
        <v>11.838678121884824</v>
      </c>
      <c r="Y15" s="44">
        <f>SUMIF(C:C,"=300ETF",K:K)/SUMIFS(M:M,C:C,"=300ETF",M:M,"&lt;0")*-1</f>
        <v>1.2994836356548312</v>
      </c>
      <c r="Z15" s="132">
        <f>(SUMIF(C:C,"=300ETF",M:M)*-1)/$Q$2</f>
        <v>6.3755074999999994E-2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29.77035848047084</v>
      </c>
      <c r="I16" s="21">
        <f>F16*$V$22</f>
        <v>3.460888175494917</v>
      </c>
      <c r="J16" s="21">
        <f t="shared" si="0"/>
        <v>115913.86777956126</v>
      </c>
      <c r="K16" s="21">
        <f t="shared" si="1"/>
        <v>13475.314200107008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1.7829999999999999</v>
      </c>
      <c r="S16" s="89">
        <v>12.39</v>
      </c>
      <c r="T16" s="32">
        <f t="shared" si="2"/>
        <v>6.9489624228827829</v>
      </c>
      <c r="U16" s="31">
        <v>1.36</v>
      </c>
      <c r="V16" s="32">
        <f t="shared" si="3"/>
        <v>0.76275939427930461</v>
      </c>
      <c r="W16" s="115">
        <v>0.1183</v>
      </c>
      <c r="X16" s="44">
        <f>SUMIF(C:C,"=300ETF",J:J)/SUMIFS(M:M,C:C,"=300ETF",M:M,"&lt;0")*-1</f>
        <v>11.838678121884824</v>
      </c>
      <c r="Y16" s="44">
        <f>SUMIF(C:C,"=300ETF",K:K)/SUMIFS(M:M,C:C,"=300ETF",M:M,"&lt;0")*-1</f>
        <v>1.2994836356548312</v>
      </c>
      <c r="Z16" s="133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5.0307000000000004</v>
      </c>
      <c r="S17" s="89">
        <v>22.57</v>
      </c>
      <c r="T17" s="32">
        <f t="shared" si="2"/>
        <v>4.4864531774902101</v>
      </c>
      <c r="U17" s="31">
        <v>1.73</v>
      </c>
      <c r="V17" s="32">
        <f t="shared" si="3"/>
        <v>0.34388852445981671</v>
      </c>
      <c r="W17" s="115">
        <v>7.6499999999999999E-2</v>
      </c>
      <c r="X17" s="44">
        <f>SUMIF(C:C,"=500ETF",J:J)/SUMIFS(M:M,C:C,"=500ETF",M:M,"&lt;0")*-1</f>
        <v>25.536349203703217</v>
      </c>
      <c r="Y17" s="44">
        <f>SUMIF(C:C,"=500ETF",K:K)/SUMIFS(M:M,C:C,"=500ETF",M:M,"&lt;0")*-1</f>
        <v>1.9573719150379516</v>
      </c>
      <c r="Z17" s="132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9.8950525131282827</v>
      </c>
      <c r="I18" s="21">
        <f>F18*$V$13</f>
        <v>0.97141035258814712</v>
      </c>
      <c r="J18" s="21">
        <f t="shared" si="0"/>
        <v>39184.407951987996</v>
      </c>
      <c r="K18" s="21">
        <f t="shared" si="1"/>
        <v>3846.7849962490627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1.8160000000000001</v>
      </c>
      <c r="S18" s="89">
        <v>22.57</v>
      </c>
      <c r="T18" s="32">
        <f t="shared" si="2"/>
        <v>12.428414096916299</v>
      </c>
      <c r="U18" s="31">
        <v>1.73</v>
      </c>
      <c r="V18" s="32">
        <f t="shared" si="3"/>
        <v>0.95264317180616731</v>
      </c>
      <c r="W18" s="115">
        <v>7.6499999999999999E-2</v>
      </c>
      <c r="X18" s="44">
        <f>SUMIF(C:C,"=500ETF",J:J)/SUMIFS(M:M,C:C,"=500ETF",M:M,"&lt;0")*-1</f>
        <v>25.536349203703217</v>
      </c>
      <c r="Y18" s="44">
        <f>SUMIF(C:C,"=500ETF",K:K)/SUMIFS(M:M,C:C,"=500ETF",M:M,"&lt;0")*-1</f>
        <v>1.9573719150379516</v>
      </c>
      <c r="Z18" s="133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0.60829999999999995</v>
      </c>
      <c r="S19" s="89">
        <v>32.57</v>
      </c>
      <c r="T19" s="32">
        <f t="shared" si="2"/>
        <v>53.5426598717738</v>
      </c>
      <c r="U19" s="31">
        <v>2.04</v>
      </c>
      <c r="V19" s="32">
        <f t="shared" si="3"/>
        <v>3.3536084168995566</v>
      </c>
      <c r="W19" s="115">
        <v>5.1999999999999998E-2</v>
      </c>
      <c r="X19" s="44">
        <f>SUMIF(C:C,"=1000ETF",J:J)/SUMIFS(M:M,C:C,"=1000ETF",M:M,"&lt;0")*-1</f>
        <v>39.291588871606947</v>
      </c>
      <c r="Y19" s="44">
        <f>SUMIF(C:C,"=1000ETF",K:K)/SUMIFS(M:M,C:C,"=1000ETF",M:M,"&lt;0")*-1</f>
        <v>2.4610021890720959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29.543294173773035</v>
      </c>
      <c r="I20" s="21">
        <f>F20*$V$17</f>
        <v>2.264505933567893</v>
      </c>
      <c r="J20" s="21">
        <f t="shared" si="0"/>
        <v>233497.78896594909</v>
      </c>
      <c r="K20" s="21">
        <f t="shared" si="1"/>
        <v>17897.703806428526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1.3602000000000001</v>
      </c>
      <c r="S20" s="89">
        <v>48.46</v>
      </c>
      <c r="T20" s="32">
        <f>S20/R20</f>
        <v>35.627113659755913</v>
      </c>
      <c r="U20" s="31">
        <v>3.92</v>
      </c>
      <c r="V20" s="32">
        <f>U20/R20</f>
        <v>2.8819291280694013</v>
      </c>
      <c r="W20" s="115">
        <v>7.5800000000000006E-2</v>
      </c>
      <c r="X20" s="44">
        <f>SUMIF(C:C,"=创业板",J:J)/SUMIFS(M:M,C:C,"=创业板",M:M,"&lt;0")*-1</f>
        <v>47.897861464847452</v>
      </c>
      <c r="Y20" s="44">
        <f>SUMIF(C:C,"=创业板",K:K)/SUMIFS(M:M,C:C,"=创业板",M:M,"&lt;0")*-1</f>
        <v>3.874527794927817</v>
      </c>
      <c r="Z20" s="132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37.702803632236098</v>
      </c>
      <c r="I21" s="21">
        <f>F21*$V$27</f>
        <v>2.9069239500567541</v>
      </c>
      <c r="J21" s="21">
        <f t="shared" si="0"/>
        <v>150811.2145289444</v>
      </c>
      <c r="K21" s="21">
        <f t="shared" si="1"/>
        <v>11627.695800227017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1.4764999999999999</v>
      </c>
      <c r="S21" s="89">
        <v>48.46</v>
      </c>
      <c r="T21" s="32">
        <f>S21/R21</f>
        <v>32.820860142228241</v>
      </c>
      <c r="U21" s="31">
        <v>3.92</v>
      </c>
      <c r="V21" s="32">
        <f>U21/R21</f>
        <v>2.6549271926854048</v>
      </c>
      <c r="W21" s="115">
        <v>7.5800000000000006E-2</v>
      </c>
      <c r="X21" s="44">
        <f>SUMIF(C:C,"=创业板",J:J)/SUMIFS(M:M,C:C,"=创业板",M:M,"&lt;0")*-1</f>
        <v>47.897861464847452</v>
      </c>
      <c r="Y21" s="44">
        <f>SUMIF(C:C,"=创业板",K:K)/SUMIFS(M:M,C:C,"=创业板",M:M,"&lt;0")*-1</f>
        <v>3.874527794927817</v>
      </c>
      <c r="Z21" s="134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28.892758463036955</v>
      </c>
      <c r="I22" s="21">
        <f>F22*$V$17</f>
        <v>2.21464209752122</v>
      </c>
      <c r="J22" s="21">
        <f t="shared" si="0"/>
        <v>111663.86612519133</v>
      </c>
      <c r="K22" s="21">
        <f t="shared" si="1"/>
        <v>8559.0823392370858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1.1214</v>
      </c>
      <c r="S22" s="89">
        <v>26.58</v>
      </c>
      <c r="T22" s="32">
        <f t="shared" si="2"/>
        <v>23.70251471375067</v>
      </c>
      <c r="U22" s="31">
        <v>3.09</v>
      </c>
      <c r="V22" s="32">
        <f t="shared" si="3"/>
        <v>2.7554842161583735</v>
      </c>
      <c r="W22" s="115">
        <v>0.107</v>
      </c>
      <c r="X22" s="44">
        <f>SUMIF(C:C,"=医药",J:J)/SUMIFS(M:M,C:C,"=医药",M:M,"&lt;0")*-1</f>
        <v>28.977759395811386</v>
      </c>
      <c r="Y22" s="44">
        <f>SUMIF(C:C,"=医药",K:K)/SUMIFS(M:M,C:C,"=医药",M:M,"&lt;0")*-1</f>
        <v>3.3687462954498568</v>
      </c>
      <c r="Z22" s="132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29.493943188820641</v>
      </c>
      <c r="I23" s="21">
        <f>F23*$V$17</f>
        <v>2.2607231597988351</v>
      </c>
      <c r="J23" s="21">
        <f t="shared" si="0"/>
        <v>116359.2097291033</v>
      </c>
      <c r="K23" s="21">
        <f t="shared" si="1"/>
        <v>8918.9824028067669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0.70509999999999995</v>
      </c>
      <c r="S23" s="89">
        <v>26.58</v>
      </c>
      <c r="T23" s="32">
        <f t="shared" si="2"/>
        <v>37.696780598496666</v>
      </c>
      <c r="U23" s="31">
        <v>3.09</v>
      </c>
      <c r="V23" s="32">
        <f t="shared" si="3"/>
        <v>4.382357112466317</v>
      </c>
      <c r="W23" s="115">
        <v>0.107</v>
      </c>
      <c r="X23" s="44">
        <f>SUMIF(C:C,"=医药",J:J)/SUMIFS(M:M,C:C,"=医药",M:M,"&lt;0")*-1</f>
        <v>28.977759395811386</v>
      </c>
      <c r="Y23" s="44">
        <f>SUMIF(C:C,"=医药",K:K)/SUMIFS(M:M,C:C,"=医药",M:M,"&lt;0")*-1</f>
        <v>3.3687462954498568</v>
      </c>
      <c r="Z23" s="133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11.009658664666167</v>
      </c>
      <c r="I24" s="21">
        <f>F24*$V$13</f>
        <v>1.0808327081770444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0.86729999999999996</v>
      </c>
      <c r="S24" s="89">
        <v>21.9</v>
      </c>
      <c r="T24" s="32">
        <f t="shared" si="2"/>
        <v>25.25077827741266</v>
      </c>
      <c r="U24" s="31">
        <v>2.76</v>
      </c>
      <c r="V24" s="32">
        <f t="shared" si="3"/>
        <v>3.1822898650985816</v>
      </c>
      <c r="W24" s="115">
        <v>0.1176</v>
      </c>
      <c r="X24" s="44">
        <f>SUMIF(C:C,"=养老",J:J)/SUMIFS(M:M,C:C,"=养老",M:M,"&lt;0")*-1</f>
        <v>23.553920770824494</v>
      </c>
      <c r="Y24" s="44">
        <f>SUMIF(C:C,"=养老",K:K)/SUMIFS(M:M,C:C,"=养老",M:M,"&lt;0")*-1</f>
        <v>2.9324302438780858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44.893555811277331</v>
      </c>
      <c r="I25" s="21">
        <f>F25*$V$28</f>
        <v>3.5529344073647873</v>
      </c>
      <c r="J25" s="21">
        <f t="shared" si="0"/>
        <v>179610.13808975834</v>
      </c>
      <c r="K25" s="21">
        <f t="shared" si="1"/>
        <v>14214.579976985042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0.89410000000000001</v>
      </c>
      <c r="S25" s="89">
        <v>28.61</v>
      </c>
      <c r="T25" s="32">
        <f t="shared" si="2"/>
        <v>31.998657868247399</v>
      </c>
      <c r="U25" s="31">
        <v>1.52</v>
      </c>
      <c r="V25" s="32">
        <f t="shared" si="3"/>
        <v>1.7000335532938151</v>
      </c>
      <c r="W25" s="115">
        <v>4.7699999999999999E-2</v>
      </c>
      <c r="X25" s="44">
        <f>SUMIF(C:C,"=证券",J:J)/SUMIFS(M:M,C:C,"=证券",M:M,"&lt;0")*-1</f>
        <v>25.499109344801393</v>
      </c>
      <c r="Y25" s="44">
        <f>SUMIF(C:C,"=证券",K:K)/SUMIFS(M:M,C:C,"=证券",M:M,"&lt;0")*-1</f>
        <v>1.3547237400943073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28.937622994811857</v>
      </c>
      <c r="I26" s="21">
        <f>F26*$V$17</f>
        <v>2.2180809827658177</v>
      </c>
      <c r="J26" s="21">
        <f t="shared" si="0"/>
        <v>112010.8829596279</v>
      </c>
      <c r="K26" s="21">
        <f t="shared" si="1"/>
        <v>8585.6813256604437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0.70179999999999998</v>
      </c>
      <c r="S26" s="89">
        <v>25.94</v>
      </c>
      <c r="T26" s="32">
        <f t="shared" si="2"/>
        <v>36.962097463664861</v>
      </c>
      <c r="U26" s="31">
        <v>2</v>
      </c>
      <c r="V26" s="32">
        <f t="shared" si="3"/>
        <v>2.8498147620404675</v>
      </c>
      <c r="W26" s="115">
        <v>7.2099999999999997E-2</v>
      </c>
      <c r="X26" s="44">
        <f>SUMIF(C:C,"=环保",J:J)/SUMIFS(M:M,C:C,"=环保",M:M,"&lt;0")*-1</f>
        <v>32.035844850842345</v>
      </c>
      <c r="Y26" s="44">
        <f>SUMIF(C:C,"=环保",K:K)/SUMIFS(M:M,C:C,"=环保",M:M,"&lt;0")*-1</f>
        <v>2.4699957479446679</v>
      </c>
      <c r="Z26" s="132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34.287321225879687</v>
      </c>
      <c r="I27" s="21">
        <f>F27*$V$27</f>
        <v>2.6435868331441545</v>
      </c>
      <c r="J27" s="21">
        <f t="shared" si="0"/>
        <v>137149.28490351874</v>
      </c>
      <c r="K27" s="21">
        <f t="shared" si="1"/>
        <v>10574.347332576619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0.52859999999999996</v>
      </c>
      <c r="S27" s="89">
        <v>25.94</v>
      </c>
      <c r="T27" s="32">
        <f t="shared" si="2"/>
        <v>49.073023079833526</v>
      </c>
      <c r="U27" s="31">
        <v>2</v>
      </c>
      <c r="V27" s="32">
        <f t="shared" si="3"/>
        <v>3.7835792659856229</v>
      </c>
      <c r="W27" s="115">
        <v>7.2099999999999997E-2</v>
      </c>
      <c r="X27" s="44">
        <f>SUMIF(C:C,"=环保",J:J)/SUMIFS(M:M,C:C,"=环保",M:M,"&lt;0")*-1</f>
        <v>32.035844850842345</v>
      </c>
      <c r="Y27" s="44">
        <f>SUMIF(C:C,"=环保",K:K)/SUMIFS(M:M,C:C,"=环保",M:M,"&lt;0")*-1</f>
        <v>2.4699957479446679</v>
      </c>
      <c r="Z27" s="133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27.111636551573341</v>
      </c>
      <c r="I28" s="21">
        <f>F28*$V$17</f>
        <v>2.0781183533106726</v>
      </c>
      <c r="J28" s="21">
        <f t="shared" si="0"/>
        <v>213028.87085489099</v>
      </c>
      <c r="K28" s="21">
        <f t="shared" si="1"/>
        <v>16328.752617588012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0.69520000000000004</v>
      </c>
      <c r="S28" s="89">
        <v>31.21</v>
      </c>
      <c r="T28" s="32">
        <f t="shared" si="2"/>
        <v>44.893555811277331</v>
      </c>
      <c r="U28" s="31">
        <v>2.4700000000000002</v>
      </c>
      <c r="V28" s="32">
        <f t="shared" si="3"/>
        <v>3.5529344073647873</v>
      </c>
      <c r="W28" s="73">
        <v>5.7299999999999997E-2</v>
      </c>
      <c r="X28" s="44">
        <f>SUMIF(C:C,"=传媒",J:J)/SUMIFS(M:M,C:C,"=传媒",M:M,"&lt;0")*-1</f>
        <v>38.909455380899374</v>
      </c>
      <c r="Y28" s="44">
        <f>SUMIF(C:C,"=传媒",K:K)/SUMIFS(M:M,C:C,"=传媒",M:M,"&lt;0")*-1</f>
        <v>3.0793449147972267</v>
      </c>
      <c r="Z28" s="132">
        <f>(SUMIF(C:C,"=传媒",M:M)*-1)/$Q$2</f>
        <v>4.5025412500000001E-2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26.986015862603612</v>
      </c>
      <c r="I29" s="21">
        <f>F29*$V$17</f>
        <v>2.0684894746257974</v>
      </c>
      <c r="J29" s="21">
        <f t="shared" si="0"/>
        <v>1347532.6693708629</v>
      </c>
      <c r="K29" s="21">
        <f t="shared" si="1"/>
        <v>103288.94630091239</v>
      </c>
      <c r="L29" s="5" t="s">
        <v>24</v>
      </c>
      <c r="M29" s="1">
        <v>-49934.48</v>
      </c>
      <c r="N29" s="4">
        <v>9.9800000000032014</v>
      </c>
      <c r="O29" s="4"/>
      <c r="P29" s="25" t="s">
        <v>7572</v>
      </c>
      <c r="Q29" s="36" t="s">
        <v>7573</v>
      </c>
      <c r="R29" s="37">
        <v>0.7016</v>
      </c>
      <c r="S29" s="89">
        <v>31.21</v>
      </c>
      <c r="T29" s="32">
        <f t="shared" si="2"/>
        <v>44.484036488027364</v>
      </c>
      <c r="U29" s="31">
        <v>2.4700000000000002</v>
      </c>
      <c r="V29" s="32">
        <f t="shared" si="3"/>
        <v>3.5205245153933866</v>
      </c>
      <c r="W29" s="129">
        <v>5.7299999999999997E-2</v>
      </c>
      <c r="X29" s="44">
        <f>SUMIF(C:C,"=传媒",J:J)/SUMIFS(M:M,C:C,"=传媒",M:M,"&lt;0")*-1</f>
        <v>38.909455380899374</v>
      </c>
      <c r="Y29" s="44">
        <f>SUMIF(C:C,"=传媒",K:K)/SUMIFS(M:M,C:C,"=传媒",M:M,"&lt;0")*-1</f>
        <v>3.0793449147972267</v>
      </c>
      <c r="Z29" s="132"/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10.471841710427606</v>
      </c>
      <c r="I30" s="21">
        <f>F30*$V$13</f>
        <v>1.0280345086271567</v>
      </c>
      <c r="J30" s="21">
        <f t="shared" si="0"/>
        <v>209436.83420855211</v>
      </c>
      <c r="K30" s="21">
        <f t="shared" si="1"/>
        <v>20560.690172543134</v>
      </c>
      <c r="L30" s="7" t="s">
        <v>10</v>
      </c>
      <c r="M30" s="4">
        <v>-20000</v>
      </c>
      <c r="N30" s="4">
        <v>29.96</v>
      </c>
      <c r="O30" s="4"/>
      <c r="P30" s="25" t="s">
        <v>7295</v>
      </c>
      <c r="Q30" s="36">
        <v>110022</v>
      </c>
      <c r="R30" s="37">
        <v>2.5030000000000001</v>
      </c>
      <c r="S30" s="89">
        <v>31.77</v>
      </c>
      <c r="T30" s="32">
        <f t="shared" si="2"/>
        <v>12.692768677586894</v>
      </c>
      <c r="U30" s="31">
        <v>5.73</v>
      </c>
      <c r="V30" s="32">
        <f t="shared" si="3"/>
        <v>2.2892528965241712</v>
      </c>
      <c r="W30" s="73">
        <v>0.182</v>
      </c>
      <c r="X30" s="44">
        <f>SUMIF(C:C,"=消费",J:J)/SUMIF(C:C,"=消费",M:M)*-1</f>
        <v>56.132702627845646</v>
      </c>
      <c r="Y30" s="44">
        <f>SUMIF(C:C,"=消费",K:K)/SUMIFS(M:M,C:C,"=消费",M:M,"&lt;0")*-1</f>
        <v>-5.6005493016879742</v>
      </c>
      <c r="Z30" s="59">
        <f>(SUMIF(C:C,"=消费",M:M)*-1)/$Q$2</f>
        <v>-4.4255500000000003E-3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41.549104060496468</v>
      </c>
      <c r="I31" s="21">
        <f>F31*$V$19</f>
        <v>2.6024001315140559</v>
      </c>
      <c r="J31" s="21">
        <f t="shared" si="0"/>
        <v>832012.49899062968</v>
      </c>
      <c r="K31" s="21">
        <f t="shared" si="1"/>
        <v>52112.542153542665</v>
      </c>
      <c r="L31" s="5" t="s">
        <v>24</v>
      </c>
      <c r="M31" s="1">
        <v>-20024.8</v>
      </c>
      <c r="N31" s="4">
        <v>4</v>
      </c>
      <c r="O31" s="4"/>
      <c r="P31" s="25" t="s">
        <v>125</v>
      </c>
      <c r="Q31" s="36" t="s">
        <v>131</v>
      </c>
      <c r="R31" s="37">
        <v>1.0174000000000001</v>
      </c>
      <c r="S31" s="72">
        <v>8.66</v>
      </c>
      <c r="T31" s="32">
        <f t="shared" si="2"/>
        <v>8.5118930607430698</v>
      </c>
      <c r="U31" s="72">
        <v>1.08</v>
      </c>
      <c r="V31" s="32">
        <f t="shared" si="3"/>
        <v>1.061529388637704</v>
      </c>
      <c r="W31" s="73">
        <f>U31/S31</f>
        <v>0.12471131639722864</v>
      </c>
      <c r="X31" s="44">
        <f>SUMIF(C:C,"=金融地产",J:J)/SUMIFS(M:M,C:C,"=金融地产",M:M,"&lt;0")*-1</f>
        <v>7.72936635869209</v>
      </c>
      <c r="Y31" s="44">
        <f>SUMIF(C:C,"=金融地产",K:K)/SUMIFS(M:M,C:C,"=金融地产",M:M,"&lt;0")*-1</f>
        <v>0.96393945350894439</v>
      </c>
      <c r="Z31" s="33">
        <f>(SUMIF(C:C,"=海外互联网",M:M)*-1)/$Q$2</f>
        <v>2.4E-2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40.692421502548086</v>
      </c>
      <c r="I32" s="21">
        <f>F32*$V$19</f>
        <v>2.5487423968436631</v>
      </c>
      <c r="J32" s="21">
        <f t="shared" si="0"/>
        <v>408308.16428078251</v>
      </c>
      <c r="K32" s="21">
        <f t="shared" si="1"/>
        <v>25574.106697353283</v>
      </c>
      <c r="L32" s="5" t="s">
        <v>24</v>
      </c>
      <c r="M32" s="1">
        <v>-10034.01</v>
      </c>
      <c r="N32" s="4">
        <v>2.0100000000002183</v>
      </c>
      <c r="O32" s="4"/>
      <c r="P32" s="25" t="s">
        <v>126</v>
      </c>
      <c r="Q32" s="36" t="s">
        <v>132</v>
      </c>
      <c r="R32" s="37">
        <v>1.107</v>
      </c>
      <c r="S32" s="78">
        <v>15.94</v>
      </c>
      <c r="T32" s="79">
        <f t="shared" si="2"/>
        <v>14.399277326106594</v>
      </c>
      <c r="U32" s="72">
        <v>1.53</v>
      </c>
      <c r="V32" s="32">
        <f t="shared" si="3"/>
        <v>1.3821138211382114</v>
      </c>
      <c r="W32" s="115">
        <f t="shared" ref="W32:W33" si="4">U32/S32</f>
        <v>9.5984943538268516E-2</v>
      </c>
      <c r="X32" s="44">
        <f>SUMIF(C:C,"=德国30",J:J)/SUMIFS(M:M,C:C,"=德国30",M:M,"&lt;0")*-1</f>
        <v>15.749751141169229</v>
      </c>
      <c r="Y32" s="44">
        <f>SUMIF(C:C,"=德国30",K:K)/SUMIFS(M:M,C:C,"=德国30",M:M,"&lt;0")*-1</f>
        <v>1.5117389740269083</v>
      </c>
      <c r="Z32" s="33">
        <f>(SUMIF(C:C,"=德国30",M:M)*-1)/$Q$2</f>
        <v>2.8250000000000001E-2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127</v>
      </c>
      <c r="Q33" s="36" t="s">
        <v>66</v>
      </c>
      <c r="R33" s="37">
        <v>1.4716</v>
      </c>
      <c r="S33" s="72">
        <v>9.7100000000000009</v>
      </c>
      <c r="T33" s="32">
        <f t="shared" si="2"/>
        <v>6.5982603968469702</v>
      </c>
      <c r="U33" s="72">
        <v>1.06</v>
      </c>
      <c r="V33" s="32">
        <f t="shared" si="3"/>
        <v>0.72030443055178039</v>
      </c>
      <c r="W33" s="115">
        <f t="shared" si="4"/>
        <v>0.10916580844490216</v>
      </c>
      <c r="X33" s="44">
        <f>SUMIF(C:C,"=恒生",J:J)/SUMIFS(M:M,C:C,"=恒生",M:M,"&lt;0")*-1</f>
        <v>9.568797227507476</v>
      </c>
      <c r="Y33" s="44">
        <f>SUMIF(C:C,"=恒生",K:K)/SUMIFS(M:M,C:C,"=恒生",M:M,"&lt;0")*-1</f>
        <v>1.044585485186192</v>
      </c>
      <c r="Z33" s="33">
        <f>(SUMIF(C:C,"=恒生",M:M)*-1)/$Q$2</f>
        <v>8.0000000000000002E-3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33.722981460461604</v>
      </c>
      <c r="I34" s="21">
        <f>F34*$V$27</f>
        <v>2.6000756715853202</v>
      </c>
      <c r="J34" s="21">
        <f t="shared" ref="J34:J65" si="5">H34*(-$M34)</f>
        <v>134891.92584184642</v>
      </c>
      <c r="K34" s="21">
        <f t="shared" ref="K34:K65" si="6">I34*(-$M34)</f>
        <v>10400.302686341282</v>
      </c>
      <c r="L34" s="6" t="s">
        <v>16</v>
      </c>
      <c r="M34" s="4">
        <v>-4000</v>
      </c>
      <c r="N34" s="4">
        <v>4.79</v>
      </c>
      <c r="O34" s="4"/>
      <c r="P34" s="25" t="s">
        <v>7304</v>
      </c>
      <c r="Q34" s="36" t="s">
        <v>7306</v>
      </c>
      <c r="R34" s="37">
        <v>1.101</v>
      </c>
      <c r="S34" s="31"/>
      <c r="T34" s="32"/>
      <c r="U34" s="31"/>
      <c r="V34" s="32"/>
      <c r="W34" s="32"/>
      <c r="X34" s="66"/>
      <c r="Y34" s="66"/>
      <c r="Z34" s="65">
        <f>(SUMIF(C:C,"=海外互联网",M:M)*-1)/$Q$2</f>
        <v>2.4E-2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33.228925619834712</v>
      </c>
      <c r="I35" s="21">
        <f>F35*$V$26</f>
        <v>2.5619834710743805</v>
      </c>
      <c r="J35" s="21">
        <f t="shared" si="5"/>
        <v>134454.53402479339</v>
      </c>
      <c r="K35" s="21">
        <f t="shared" si="6"/>
        <v>10366.579338842976</v>
      </c>
      <c r="L35" s="5" t="s">
        <v>24</v>
      </c>
      <c r="M35" s="1">
        <v>-4046.31</v>
      </c>
      <c r="N35" s="4">
        <v>0.80999999999994543</v>
      </c>
      <c r="O35" s="4"/>
      <c r="P35" s="25" t="s">
        <v>128</v>
      </c>
      <c r="Q35" s="36" t="s">
        <v>133</v>
      </c>
      <c r="R35" s="37">
        <v>1.0589</v>
      </c>
      <c r="S35" s="74"/>
      <c r="T35" s="74"/>
      <c r="U35" s="74"/>
      <c r="V35" s="74"/>
      <c r="W35" s="74"/>
      <c r="X35" s="2"/>
      <c r="Y35" s="43"/>
      <c r="Z35" s="65">
        <f>(SUMIF(C:C,"=国债",M:M)*-1)/$Q$2</f>
        <v>-1.1850999999999999E-3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129</v>
      </c>
      <c r="Q36" s="36" t="s">
        <v>7315</v>
      </c>
      <c r="R36" s="37">
        <v>1.4790000000000001</v>
      </c>
      <c r="S36" s="74"/>
      <c r="T36" s="74"/>
      <c r="U36" s="74"/>
      <c r="V36" s="74"/>
      <c r="W36" s="74"/>
      <c r="X36" s="2"/>
      <c r="Y36" s="43"/>
      <c r="Z36" s="33">
        <f>(SUMIF(C:C,"=海外债",M:M)*-1)/$Q$2</f>
        <v>6.4313999999999994E-3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42.469303797468356</v>
      </c>
      <c r="I37" s="21">
        <f>F37*$V$28</f>
        <v>3.3610759493670885</v>
      </c>
      <c r="J37" s="21">
        <f t="shared" si="5"/>
        <v>273251.32287025318</v>
      </c>
      <c r="K37" s="21">
        <f t="shared" si="6"/>
        <v>21625.465155063292</v>
      </c>
      <c r="L37" s="5" t="s">
        <v>24</v>
      </c>
      <c r="M37" s="1">
        <v>-6434.09</v>
      </c>
      <c r="N37" s="4">
        <v>1.2899999999999636</v>
      </c>
      <c r="O37" s="4"/>
      <c r="P37" s="25" t="s">
        <v>7317</v>
      </c>
      <c r="Q37" s="36">
        <v>340001</v>
      </c>
      <c r="R37" s="37">
        <v>3.6821999999999999</v>
      </c>
      <c r="S37" s="74"/>
      <c r="T37" s="74"/>
      <c r="U37" s="74"/>
      <c r="V37" s="74"/>
      <c r="W37" s="74"/>
      <c r="X37" s="2"/>
      <c r="Y37" s="43"/>
      <c r="Z37" s="132">
        <f>(SUMIF(C:C,"=可转债",M:M)*-1)/$Q$2</f>
        <v>7.1999999999999995E-2</v>
      </c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33.931205471644347</v>
      </c>
      <c r="I38" s="21">
        <f>F38*$V$26</f>
        <v>2.6161299515531491</v>
      </c>
      <c r="J38" s="21">
        <f t="shared" si="5"/>
        <v>651141.1902490739</v>
      </c>
      <c r="K38" s="21">
        <f t="shared" si="6"/>
        <v>50203.638415502995</v>
      </c>
      <c r="L38" s="5" t="s">
        <v>24</v>
      </c>
      <c r="M38" s="1">
        <v>-19190.04</v>
      </c>
      <c r="N38" s="4">
        <v>3.8400000000001455</v>
      </c>
      <c r="O38" s="4"/>
      <c r="P38" s="25" t="s">
        <v>7316</v>
      </c>
      <c r="Q38" s="36" t="s">
        <v>7318</v>
      </c>
      <c r="R38" s="37">
        <v>2.2168000000000001</v>
      </c>
      <c r="S38" s="74"/>
      <c r="T38" s="74"/>
      <c r="U38" s="74"/>
      <c r="V38" s="74"/>
      <c r="W38" s="74"/>
      <c r="X38" s="70"/>
      <c r="Y38" s="70"/>
      <c r="Z38" s="133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7313</v>
      </c>
      <c r="Q39" s="36" t="s">
        <v>7314</v>
      </c>
      <c r="R39" s="37">
        <v>2.4900000000000002</v>
      </c>
      <c r="S39" s="74"/>
      <c r="T39" s="74"/>
      <c r="U39" s="74"/>
      <c r="V39" s="74"/>
      <c r="W39" s="74"/>
      <c r="X39" s="70"/>
      <c r="Y39" s="70"/>
      <c r="Z39" s="133"/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28.446806844871936</v>
      </c>
      <c r="I40" s="21">
        <f>F40*$V$25</f>
        <v>1.5113298288782016</v>
      </c>
      <c r="J40" s="21">
        <f t="shared" si="5"/>
        <v>364237.46633083542</v>
      </c>
      <c r="K40" s="21">
        <f t="shared" si="6"/>
        <v>19351.308941729112</v>
      </c>
      <c r="L40" s="5" t="s">
        <v>24</v>
      </c>
      <c r="M40" s="1">
        <v>-12804.16</v>
      </c>
      <c r="N40" s="4">
        <v>2.5599999999994907</v>
      </c>
      <c r="O40" s="4"/>
      <c r="P40" s="25" t="s">
        <v>7311</v>
      </c>
      <c r="Q40" s="36" t="s">
        <v>7312</v>
      </c>
      <c r="R40" s="77">
        <v>0.44400000000000001</v>
      </c>
      <c r="S40" s="76"/>
      <c r="T40" s="76"/>
      <c r="U40" s="74"/>
      <c r="V40" s="74"/>
      <c r="W40" s="74"/>
      <c r="X40" s="68"/>
      <c r="Y40" s="68"/>
      <c r="Z40" s="67">
        <f>(SUMIF(C:C,"=原油",M:M)*-1)/$Q$2</f>
        <v>2.4E-2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42.469303797468356</v>
      </c>
      <c r="I41" s="21">
        <f>F41*$V$28</f>
        <v>3.3610759493670885</v>
      </c>
      <c r="J41" s="21">
        <f t="shared" si="5"/>
        <v>273251.32287025318</v>
      </c>
      <c r="K41" s="21">
        <f t="shared" si="6"/>
        <v>21625.465155063292</v>
      </c>
      <c r="L41" s="5" t="s">
        <v>24</v>
      </c>
      <c r="M41" s="1">
        <v>-6434.09</v>
      </c>
      <c r="N41" s="4">
        <v>1.29</v>
      </c>
      <c r="O41" s="4"/>
      <c r="P41" s="25" t="s">
        <v>21</v>
      </c>
      <c r="Q41" s="36">
        <v>518880</v>
      </c>
      <c r="R41" s="37">
        <v>1.1194999999999999</v>
      </c>
      <c r="S41" s="74"/>
      <c r="T41" s="74"/>
      <c r="U41" s="74"/>
      <c r="V41" s="74"/>
      <c r="W41" s="74"/>
      <c r="X41" s="2"/>
      <c r="Y41" s="43"/>
      <c r="Z41" s="33">
        <f>(SUMIF(C:C,"=黄金",M:M)*-1)/$Q$2</f>
        <v>8.0536124999999997E-3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26.936664877651218</v>
      </c>
      <c r="I42" s="21">
        <f>F42*$V$17</f>
        <v>2.0647067008567395</v>
      </c>
      <c r="J42" s="21">
        <f t="shared" si="5"/>
        <v>177936.06591559821</v>
      </c>
      <c r="K42" s="21">
        <f t="shared" si="6"/>
        <v>13638.874347983381</v>
      </c>
      <c r="L42" s="5" t="s">
        <v>24</v>
      </c>
      <c r="M42" s="1">
        <v>-6605.72</v>
      </c>
      <c r="N42" s="4">
        <v>1.32</v>
      </c>
      <c r="O42" s="4"/>
      <c r="P42" s="25" t="s">
        <v>57</v>
      </c>
      <c r="Q42" s="36"/>
      <c r="R42" s="116"/>
      <c r="S42" s="74"/>
      <c r="T42" s="74"/>
      <c r="U42" s="74"/>
      <c r="V42" s="74"/>
      <c r="W42" s="74"/>
      <c r="X42" s="2"/>
      <c r="Y42" s="43"/>
      <c r="Z42" s="33">
        <f>(SUMIF(C:C,"=白银",M:M)*-1)/$Q$2</f>
        <v>2.0792575000000001E-2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 t="s">
        <v>58</v>
      </c>
      <c r="Q43" s="36"/>
      <c r="R43" s="74"/>
      <c r="S43" s="2"/>
      <c r="T43" s="74"/>
      <c r="U43" s="74"/>
      <c r="V43" s="74"/>
      <c r="W43" s="74"/>
      <c r="X43" s="2"/>
      <c r="Y43" s="43"/>
      <c r="Z43" s="33">
        <f>1-SUM(Z13:Z42)</f>
        <v>6.5872387500000018E-2</v>
      </c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26.505965372612163</v>
      </c>
      <c r="I44" s="21">
        <f>F44*$V$17</f>
        <v>2.0316934025085973</v>
      </c>
      <c r="J44" s="21">
        <f t="shared" si="5"/>
        <v>172291.42551851633</v>
      </c>
      <c r="K44" s="21">
        <f t="shared" si="6"/>
        <v>13206.210285646133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68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F45*$T$31</f>
        <v>8.0352270493414579</v>
      </c>
      <c r="I45" s="21">
        <f>F45*$V$31</f>
        <v>1.0020837428739924</v>
      </c>
      <c r="J45" s="21">
        <f t="shared" si="5"/>
        <v>51425.453115785334</v>
      </c>
      <c r="K45" s="21">
        <f t="shared" si="6"/>
        <v>6413.3359543935512</v>
      </c>
      <c r="L45" s="7" t="s">
        <v>10</v>
      </c>
      <c r="M45" s="1">
        <v>-6400</v>
      </c>
      <c r="N45" s="4">
        <v>7.67</v>
      </c>
      <c r="O45" s="4"/>
      <c r="P45" s="25"/>
      <c r="Q45" s="36"/>
      <c r="R45" s="74"/>
      <c r="S45" s="74"/>
      <c r="T45" s="74"/>
      <c r="U45" s="74"/>
      <c r="V45" s="74"/>
      <c r="W45" s="74"/>
      <c r="X45" s="68"/>
      <c r="Y45" s="68"/>
      <c r="Z45" s="67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26.025914882620711</v>
      </c>
      <c r="I46" s="21">
        <f>F46*$V$17</f>
        <v>1.9948973303913968</v>
      </c>
      <c r="J46" s="21">
        <f t="shared" si="5"/>
        <v>498321.57562647352</v>
      </c>
      <c r="K46" s="21">
        <f t="shared" si="6"/>
        <v>38196.558521657025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/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12.629202574146616</v>
      </c>
      <c r="I47" s="21">
        <f>F47*$V$15</f>
        <v>1.3862562954672637</v>
      </c>
      <c r="J47" s="21">
        <f t="shared" si="5"/>
        <v>82831.277215081151</v>
      </c>
      <c r="K47" s="21">
        <f t="shared" si="6"/>
        <v>9092.0530276440968</v>
      </c>
      <c r="L47" s="5" t="s">
        <v>24</v>
      </c>
      <c r="M47" s="1">
        <v>-6558.71</v>
      </c>
      <c r="N47" s="4">
        <v>1.31</v>
      </c>
      <c r="O47" s="4"/>
      <c r="P47" s="74"/>
      <c r="Q47" s="74"/>
      <c r="R47" s="74" t="s">
        <v>70</v>
      </c>
      <c r="S47" s="74"/>
      <c r="T47" s="74"/>
      <c r="U47" s="74"/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24.787653805633411</v>
      </c>
      <c r="I48" s="21">
        <f>F48*$V$17</f>
        <v>1.8999840976404874</v>
      </c>
      <c r="J48" s="21">
        <f t="shared" si="5"/>
        <v>315052.07137575292</v>
      </c>
      <c r="K48" s="21">
        <f t="shared" si="6"/>
        <v>24148.8738803745</v>
      </c>
      <c r="L48" s="5" t="s">
        <v>24</v>
      </c>
      <c r="M48" s="1">
        <v>-12710.04</v>
      </c>
      <c r="N48" s="4">
        <v>2.54</v>
      </c>
      <c r="O48" s="4"/>
      <c r="P48" s="74"/>
      <c r="Q48" s="74" t="s">
        <v>7277</v>
      </c>
      <c r="R48" s="74" t="s">
        <v>112</v>
      </c>
      <c r="S48" s="74" t="s">
        <v>113</v>
      </c>
      <c r="T48" s="74" t="s">
        <v>114</v>
      </c>
      <c r="U48" s="74" t="s">
        <v>115</v>
      </c>
      <c r="V48" s="7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24.28517104975451</v>
      </c>
      <c r="I49" s="21">
        <f>F49*$V$17</f>
        <v>1.861468582900988</v>
      </c>
      <c r="J49" s="21">
        <f t="shared" si="5"/>
        <v>157778.32779315006</v>
      </c>
      <c r="K49" s="21">
        <f t="shared" si="6"/>
        <v>12093.775236249428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74">
        <v>0</v>
      </c>
      <c r="R49" s="74">
        <v>93506.63</v>
      </c>
      <c r="S49" s="74">
        <f>$Q$2-R49</f>
        <v>706493.37</v>
      </c>
      <c r="T49" s="74">
        <v>0</v>
      </c>
      <c r="U49" s="34">
        <v>3.5000000000000003E-2</v>
      </c>
      <c r="V49" s="3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35">
        <v>6627.55</v>
      </c>
      <c r="R50" s="35">
        <f t="shared" ref="R50:R60" si="7">R49+Q50</f>
        <v>100134.18000000001</v>
      </c>
      <c r="S50" s="35">
        <f t="shared" ref="S50:S60" si="8">S49-Q50</f>
        <v>699865.82</v>
      </c>
      <c r="T50" s="35">
        <f t="shared" ref="T50:T62" si="9">(S49*$U$49)/12</f>
        <v>2060.6056625000001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24.60696790068225</v>
      </c>
      <c r="I51" s="21">
        <f>F51*$V$25</f>
        <v>1.3073258024829439</v>
      </c>
      <c r="J51" s="21">
        <f t="shared" si="5"/>
        <v>157090.39093859747</v>
      </c>
      <c r="K51" s="21">
        <f t="shared" si="6"/>
        <v>8345.9417765350645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35">
        <v>65662.720000000001</v>
      </c>
      <c r="R51" s="35">
        <f t="shared" si="7"/>
        <v>165796.90000000002</v>
      </c>
      <c r="S51" s="35">
        <f t="shared" si="8"/>
        <v>634203.1</v>
      </c>
      <c r="T51" s="35">
        <f t="shared" si="9"/>
        <v>2041.2753083333334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52.300602852521678</v>
      </c>
      <c r="I52" s="21">
        <f>F52*$V$20</f>
        <v>4.2306719600058811</v>
      </c>
      <c r="J52" s="21">
        <f t="shared" si="5"/>
        <v>337887.52172268776</v>
      </c>
      <c r="K52" s="21">
        <f t="shared" si="6"/>
        <v>27332.213890898394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35">
        <v>0</v>
      </c>
      <c r="R52" s="35">
        <f t="shared" si="7"/>
        <v>165796.90000000002</v>
      </c>
      <c r="S52" s="35">
        <f t="shared" si="8"/>
        <v>634203.1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11.953195299384445</v>
      </c>
      <c r="I53" s="21">
        <f>F53*$V$15</f>
        <v>1.3120537213206493</v>
      </c>
      <c r="J53" s="21">
        <f t="shared" si="5"/>
        <v>74201.13326827086</v>
      </c>
      <c r="K53" s="21">
        <f t="shared" si="6"/>
        <v>8144.7571626189165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35">
        <v>54032.87</v>
      </c>
      <c r="R53" s="35">
        <f t="shared" si="7"/>
        <v>219829.77000000002</v>
      </c>
      <c r="S53" s="35">
        <f t="shared" si="8"/>
        <v>580170.23</v>
      </c>
      <c r="T53" s="35">
        <f t="shared" si="9"/>
        <v>1849.7590416666669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28.239042462239954</v>
      </c>
      <c r="I54" s="21">
        <f>F54*$V$26</f>
        <v>2.177258478198917</v>
      </c>
      <c r="J54" s="21">
        <f t="shared" si="5"/>
        <v>181263.0248800228</v>
      </c>
      <c r="K54" s="21">
        <f t="shared" si="6"/>
        <v>13975.560900541464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35">
        <v>89910.99</v>
      </c>
      <c r="R54" s="35">
        <f t="shared" si="7"/>
        <v>309740.76</v>
      </c>
      <c r="S54" s="35">
        <f t="shared" si="8"/>
        <v>490259.24</v>
      </c>
      <c r="T54" s="35">
        <f t="shared" si="9"/>
        <v>1692.1631708333334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F55*$T$31</f>
        <v>7.2351091016316094</v>
      </c>
      <c r="I55" s="21">
        <f>F55*$V$31</f>
        <v>0.90229998034204839</v>
      </c>
      <c r="J55" s="21">
        <f t="shared" si="5"/>
        <v>46304.698250442299</v>
      </c>
      <c r="K55" s="21">
        <f t="shared" si="6"/>
        <v>5774.7198741891098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35">
        <v>89683.87</v>
      </c>
      <c r="R55" s="35">
        <f t="shared" si="7"/>
        <v>399424.63</v>
      </c>
      <c r="S55" s="35">
        <f t="shared" si="8"/>
        <v>400575.37</v>
      </c>
      <c r="T55" s="35">
        <f t="shared" si="9"/>
        <v>1429.9227833333334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10.179549887471868</v>
      </c>
      <c r="I56" s="21">
        <f>F56*$V$13</f>
        <v>0.99933983495873979</v>
      </c>
      <c r="J56" s="21">
        <f t="shared" si="5"/>
        <v>65149.119279819955</v>
      </c>
      <c r="K56" s="21">
        <f t="shared" si="6"/>
        <v>6395.7749437359344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35">
        <v>52162.37</v>
      </c>
      <c r="R56" s="35">
        <f t="shared" si="7"/>
        <v>451587</v>
      </c>
      <c r="S56" s="35">
        <f t="shared" si="8"/>
        <v>348413</v>
      </c>
      <c r="T56" s="35">
        <f t="shared" si="9"/>
        <v>1168.3448291666666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25.243203043929437</v>
      </c>
      <c r="I57" s="21">
        <f>E57*$V$24</f>
        <v>3.1813351781390522</v>
      </c>
      <c r="J57" s="21">
        <f t="shared" si="5"/>
        <v>161556.49948114841</v>
      </c>
      <c r="K57" s="21">
        <f t="shared" si="6"/>
        <v>20360.545140089933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35">
        <v>59031.360000000001</v>
      </c>
      <c r="R57" s="35">
        <f t="shared" si="7"/>
        <v>510618.36</v>
      </c>
      <c r="S57" s="35">
        <f t="shared" si="8"/>
        <v>289381.64</v>
      </c>
      <c r="T57" s="35">
        <f t="shared" si="9"/>
        <v>1016.2045833333335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10.109399849962491</v>
      </c>
      <c r="I58" s="21">
        <f>F58*$V$13</f>
        <v>0.99245311327831964</v>
      </c>
      <c r="J58" s="21">
        <f t="shared" si="5"/>
        <v>64700.159039759943</v>
      </c>
      <c r="K58" s="21">
        <f t="shared" si="6"/>
        <v>6351.6999249812461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35">
        <v>54609.62</v>
      </c>
      <c r="R58" s="35">
        <f t="shared" si="7"/>
        <v>565227.98</v>
      </c>
      <c r="S58" s="35">
        <f t="shared" si="8"/>
        <v>234772.02000000002</v>
      </c>
      <c r="T58" s="35">
        <f t="shared" si="9"/>
        <v>844.0297833333334</v>
      </c>
      <c r="U58" s="74"/>
      <c r="V58" s="74"/>
      <c r="W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35">
        <v>70013.06</v>
      </c>
      <c r="R59" s="35">
        <f t="shared" si="7"/>
        <v>635241.04</v>
      </c>
      <c r="S59" s="35">
        <f t="shared" si="8"/>
        <v>164758.96000000002</v>
      </c>
      <c r="T59" s="35">
        <f t="shared" si="9"/>
        <v>684.75172500000008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8.6939985218033993</v>
      </c>
      <c r="I60" s="21">
        <f>F60*$V$14</f>
        <v>1.0051884700665188</v>
      </c>
      <c r="J60" s="21">
        <f t="shared" si="5"/>
        <v>56019.692535254981</v>
      </c>
      <c r="K60" s="21">
        <f t="shared" si="6"/>
        <v>6476.9218549889129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35">
        <v>46876.7</v>
      </c>
      <c r="R60" s="35">
        <f t="shared" si="7"/>
        <v>682117.74</v>
      </c>
      <c r="S60" s="35">
        <f t="shared" si="8"/>
        <v>117882.26000000002</v>
      </c>
      <c r="T60" s="35">
        <f t="shared" si="9"/>
        <v>480.54696666666678</v>
      </c>
      <c r="U60" s="74"/>
      <c r="V60" s="74"/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$F61*$T$32</f>
        <v>17.235934959349592</v>
      </c>
      <c r="I61" s="21">
        <f>$F61*$V$32</f>
        <v>1.6543902439024392</v>
      </c>
      <c r="J61" s="21">
        <f t="shared" si="5"/>
        <v>110309.98373983739</v>
      </c>
      <c r="K61" s="21">
        <f t="shared" si="6"/>
        <v>10588.097560975611</v>
      </c>
      <c r="L61" s="7" t="s">
        <v>10</v>
      </c>
      <c r="M61" s="4">
        <v>-6400</v>
      </c>
      <c r="N61" s="4">
        <v>7.67</v>
      </c>
      <c r="O61" s="4"/>
      <c r="P61" s="3">
        <v>43555</v>
      </c>
      <c r="Q61" s="35"/>
      <c r="R61" s="35"/>
      <c r="S61" s="35"/>
      <c r="T61" s="35">
        <v>600.61</v>
      </c>
      <c r="V61" s="74" t="s">
        <v>7417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36.722928653624855</v>
      </c>
      <c r="I62" s="21">
        <f>F62*$V$28</f>
        <v>2.9063003452243956</v>
      </c>
      <c r="J62" s="21">
        <f t="shared" si="5"/>
        <v>234353.97933026467</v>
      </c>
      <c r="K62" s="21">
        <f t="shared" si="6"/>
        <v>18547.078787111623</v>
      </c>
      <c r="L62" s="5" t="s">
        <v>24</v>
      </c>
      <c r="M62" s="1">
        <v>-6381.68</v>
      </c>
      <c r="N62" s="4">
        <v>1.28</v>
      </c>
      <c r="O62" s="4"/>
      <c r="P62" s="3">
        <v>43646</v>
      </c>
      <c r="Q62" s="35"/>
      <c r="R62" s="35"/>
      <c r="S62" s="35"/>
      <c r="T62" s="35">
        <f t="shared" si="9"/>
        <v>0</v>
      </c>
      <c r="V62" s="35">
        <f>SUM(T49:T62)</f>
        <v>15717.972895833336</v>
      </c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34.909814236396521</v>
      </c>
      <c r="I64" s="21">
        <f>F64*$V$19</f>
        <v>2.1865526878185109</v>
      </c>
      <c r="J64" s="21">
        <f t="shared" si="5"/>
        <v>113828.68578990632</v>
      </c>
      <c r="K64" s="21">
        <f t="shared" si="6"/>
        <v>7129.5830215354281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24.321062675174431</v>
      </c>
      <c r="I65" s="21">
        <f>F65*$V$17</f>
        <v>1.8642196910966664</v>
      </c>
      <c r="J65" s="21">
        <f t="shared" si="5"/>
        <v>158244.99429602243</v>
      </c>
      <c r="K65" s="21">
        <f t="shared" si="6"/>
        <v>12129.545420120459</v>
      </c>
      <c r="L65" s="5" t="s">
        <v>24</v>
      </c>
      <c r="M65" s="1">
        <v>-6506.5</v>
      </c>
      <c r="N65" s="4">
        <v>1.3</v>
      </c>
      <c r="O65" s="4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33.142906460627984</v>
      </c>
      <c r="I66" s="21">
        <f>F66*$V$19</f>
        <v>2.0758836100608256</v>
      </c>
      <c r="J66" s="21">
        <f t="shared" ref="J66:J99" si="10">H66*(-$M66)</f>
        <v>106701.59877560416</v>
      </c>
      <c r="K66" s="21">
        <f t="shared" ref="K66:K99" si="11">I66*(-$M66)</f>
        <v>6683.1827295742241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23.07831514500964</v>
      </c>
      <c r="I67" s="21">
        <f>F67*$V$17</f>
        <v>1.7689625698212972</v>
      </c>
      <c r="J67" s="21">
        <f t="shared" si="10"/>
        <v>142486.21005474386</v>
      </c>
      <c r="K67" s="21">
        <f t="shared" si="11"/>
        <v>10921.627974953783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11.564924454392838</v>
      </c>
      <c r="I68" s="21">
        <f>F68*$V$15</f>
        <v>1.269434806939004</v>
      </c>
      <c r="J68" s="21">
        <f t="shared" si="10"/>
        <v>73317.804615780638</v>
      </c>
      <c r="K68" s="21">
        <f t="shared" si="11"/>
        <v>8047.7977625069952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29.817763509898342</v>
      </c>
      <c r="I69" s="21">
        <f>F69*$V$22</f>
        <v>3.4663991439272337</v>
      </c>
      <c r="J69" s="21">
        <f t="shared" si="10"/>
        <v>191342.97386409846</v>
      </c>
      <c r="K69" s="21">
        <f t="shared" si="11"/>
        <v>22244.160618512571</v>
      </c>
      <c r="L69" s="5" t="s">
        <v>24</v>
      </c>
      <c r="M69" s="4">
        <v>-6417.08</v>
      </c>
      <c r="N69" s="4">
        <v>1.28</v>
      </c>
      <c r="O69" s="4"/>
      <c r="P69" s="3"/>
      <c r="Q69" s="3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10.101605401350339</v>
      </c>
      <c r="I71" s="21">
        <f>F71*$V$13</f>
        <v>0.99168792198049527</v>
      </c>
      <c r="J71" s="21">
        <f t="shared" si="10"/>
        <v>64650.274568642169</v>
      </c>
      <c r="K71" s="21">
        <f t="shared" si="11"/>
        <v>6346.8027006751699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22.665098581805601</v>
      </c>
      <c r="I74" s="21">
        <f>E74*$V$24</f>
        <v>2.8564233829124865</v>
      </c>
      <c r="J74" s="21">
        <f t="shared" si="10"/>
        <v>145056.63092355584</v>
      </c>
      <c r="K74" s="21">
        <f t="shared" si="11"/>
        <v>18281.109650639915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29.460034037725144</v>
      </c>
      <c r="I75" s="21">
        <f>F75*$V$23</f>
        <v>3.4248120833924265</v>
      </c>
      <c r="J75" s="21">
        <f t="shared" si="10"/>
        <v>188544.21784144093</v>
      </c>
      <c r="K75" s="21">
        <f t="shared" si="11"/>
        <v>21918.797333711529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25.243203043929437</v>
      </c>
      <c r="I76" s="21">
        <f>E76*$V$24</f>
        <v>2.8538775510204082</v>
      </c>
      <c r="J76" s="21">
        <f t="shared" si="10"/>
        <v>161556.49948114841</v>
      </c>
      <c r="K76" s="21">
        <f t="shared" si="11"/>
        <v>18264.816326530614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32.862082853855007</v>
      </c>
      <c r="I77" s="21">
        <f>F77*$V$28</f>
        <v>2.6007479861910241</v>
      </c>
      <c r="J77" s="21">
        <f t="shared" si="10"/>
        <v>209320.62329171461</v>
      </c>
      <c r="K77" s="21">
        <f t="shared" si="11"/>
        <v>16565.906425201381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23.100747410897092</v>
      </c>
      <c r="I78" s="21">
        <f>F78*$V$17</f>
        <v>1.7706820124435962</v>
      </c>
      <c r="J78" s="21">
        <f t="shared" si="10"/>
        <v>142763.54302924048</v>
      </c>
      <c r="K78" s="21">
        <f t="shared" si="11"/>
        <v>10942.885664181922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23.024477706879757</v>
      </c>
      <c r="I79" s="21">
        <f>F79*$V$17</f>
        <v>1.7648359075277793</v>
      </c>
      <c r="J79" s="21">
        <f t="shared" si="10"/>
        <v>11818.464406941379</v>
      </c>
      <c r="K79" s="21">
        <f t="shared" si="11"/>
        <v>905.89027133400907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22.750804063052854</v>
      </c>
      <c r="I81" s="21">
        <f>F81*$V$17</f>
        <v>1.7438587075357304</v>
      </c>
      <c r="J81" s="21">
        <f t="shared" si="10"/>
        <v>150010.15668622655</v>
      </c>
      <c r="K81" s="21">
        <f t="shared" si="11"/>
        <v>11498.341651181741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11.637725237828766</v>
      </c>
      <c r="I82" s="21">
        <f>F82*$V$15</f>
        <v>1.2774258533855627</v>
      </c>
      <c r="J82" s="21">
        <f t="shared" si="10"/>
        <v>74243.799172747633</v>
      </c>
      <c r="K82" s="21">
        <f t="shared" si="11"/>
        <v>8149.4404257414681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31.32245602498767</v>
      </c>
      <c r="I84" s="21">
        <f>F84*$V$19</f>
        <v>1.9618609238862406</v>
      </c>
      <c r="J84" s="21">
        <f t="shared" si="10"/>
        <v>98967.371730231796</v>
      </c>
      <c r="K84" s="21">
        <f t="shared" si="11"/>
        <v>6198.7546309386826</v>
      </c>
      <c r="L84" s="5" t="s">
        <v>24</v>
      </c>
      <c r="M84" s="1">
        <v>-3159.63</v>
      </c>
      <c r="N84" s="4">
        <v>0.63</v>
      </c>
      <c r="O84" s="4"/>
      <c r="P84" s="3"/>
      <c r="Q84" s="58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22.320104558013792</v>
      </c>
      <c r="I85" s="21">
        <f>F85*$V$17</f>
        <v>1.710845409187588</v>
      </c>
      <c r="J85" s="21">
        <f t="shared" si="10"/>
        <v>144384.06916383404</v>
      </c>
      <c r="K85" s="21">
        <f t="shared" si="11"/>
        <v>11067.099674498577</v>
      </c>
      <c r="L85" s="5" t="s">
        <v>24</v>
      </c>
      <c r="M85" s="1">
        <v>-6468.79</v>
      </c>
      <c r="N85" s="4">
        <v>1.29</v>
      </c>
      <c r="O85" s="4"/>
      <c r="P85" s="15"/>
      <c r="Q85" s="3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11.903572630398207</v>
      </c>
      <c r="I86" s="21">
        <f>F86*$V$16</f>
        <v>1.3066068424004489</v>
      </c>
      <c r="J86" s="21">
        <f t="shared" si="10"/>
        <v>76182.864834548527</v>
      </c>
      <c r="K86" s="21">
        <f t="shared" si="11"/>
        <v>8362.2837913628737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15"/>
      <c r="Q87" s="58"/>
      <c r="R87" s="58"/>
      <c r="V87" s="15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23.011034244206158</v>
      </c>
      <c r="I88" s="21">
        <f>E88*$V$24</f>
        <v>2.9000207540643372</v>
      </c>
      <c r="J88" s="21">
        <f t="shared" si="10"/>
        <v>147270.61916291941</v>
      </c>
      <c r="K88" s="21">
        <f t="shared" si="11"/>
        <v>18560.132826011759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58"/>
      <c r="U88" s="58"/>
      <c r="V88" s="58"/>
      <c r="W88" s="58"/>
      <c r="X88" s="58"/>
      <c r="Y88" s="58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F89*$T$31</f>
        <v>7.9177629251032036</v>
      </c>
      <c r="I89" s="21">
        <f>F89*$V$31</f>
        <v>0.98743463731079228</v>
      </c>
      <c r="J89" s="21">
        <f t="shared" si="10"/>
        <v>50673.682720660501</v>
      </c>
      <c r="K89" s="21">
        <f t="shared" si="11"/>
        <v>6319.5816787890708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47.562196735774144</v>
      </c>
      <c r="I90" s="21">
        <f>F90*$V$20</f>
        <v>3.8473753859726507</v>
      </c>
      <c r="J90" s="21">
        <f t="shared" si="10"/>
        <v>304778.55668284069</v>
      </c>
      <c r="K90" s="21">
        <f t="shared" si="11"/>
        <v>24653.981473312746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20.767791758602179</v>
      </c>
      <c r="I91" s="21">
        <f>F91*$V$17</f>
        <v>1.5918599797244914</v>
      </c>
      <c r="J91" s="21">
        <f t="shared" si="10"/>
        <v>134614.74940008347</v>
      </c>
      <c r="K91" s="21">
        <f t="shared" si="11"/>
        <v>10318.277202576181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26.350049638349169</v>
      </c>
      <c r="I92" s="21">
        <f>F92*$V$23</f>
        <v>3.0632676216139552</v>
      </c>
      <c r="J92" s="21">
        <f t="shared" si="10"/>
        <v>168640.31768543468</v>
      </c>
      <c r="K92" s="21">
        <f t="shared" si="11"/>
        <v>19604.912778329312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20.479141035678335</v>
      </c>
      <c r="I93" s="21">
        <f>F93*$V$25</f>
        <v>1.0880214741080416</v>
      </c>
      <c r="J93" s="21">
        <f t="shared" si="10"/>
        <v>130738.42678894977</v>
      </c>
      <c r="K93" s="21">
        <f t="shared" si="11"/>
        <v>6945.9073302762554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23.402924706772609</v>
      </c>
      <c r="I94" s="21">
        <f>F94*$V$27</f>
        <v>1.8043889519485434</v>
      </c>
      <c r="J94" s="21">
        <f t="shared" si="10"/>
        <v>149778.7181233447</v>
      </c>
      <c r="K94" s="21">
        <f t="shared" si="11"/>
        <v>11548.089292470679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26.203032194015034</v>
      </c>
      <c r="I95" s="21">
        <f>F95*$V$23</f>
        <v>3.046176428875337</v>
      </c>
      <c r="J95" s="21">
        <f t="shared" si="10"/>
        <v>167699.4060416962</v>
      </c>
      <c r="K95" s="21">
        <f t="shared" si="11"/>
        <v>19495.529144802156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9.8833608402100523</v>
      </c>
      <c r="I96" s="21">
        <f>F96*$V$13</f>
        <v>0.97026256564141045</v>
      </c>
      <c r="J96" s="21">
        <f t="shared" si="10"/>
        <v>63253.509377344337</v>
      </c>
      <c r="K96" s="21">
        <f t="shared" si="11"/>
        <v>6209.6804201050272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10.875126191811555</v>
      </c>
      <c r="I97" s="21">
        <f>F97*$V$16</f>
        <v>1.1937184520471116</v>
      </c>
      <c r="J97" s="21">
        <f t="shared" si="10"/>
        <v>69600.807627593953</v>
      </c>
      <c r="K97" s="21">
        <f t="shared" si="11"/>
        <v>7639.7980931015145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20.332885462555065</v>
      </c>
      <c r="I98" s="21">
        <f>F98*$V$18</f>
        <v>1.5585242290748895</v>
      </c>
      <c r="J98" s="21">
        <f t="shared" si="10"/>
        <v>130130.46696035242</v>
      </c>
      <c r="K98" s="21">
        <f t="shared" si="11"/>
        <v>9974.5550660792924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F99*$T$30</f>
        <v>21.742712744706349</v>
      </c>
      <c r="I99" s="21">
        <f>F99*$V$30</f>
        <v>3.9214902117459056</v>
      </c>
      <c r="J99" s="21">
        <f t="shared" si="10"/>
        <v>139153.36156612064</v>
      </c>
      <c r="K99" s="21">
        <f t="shared" si="11"/>
        <v>25097.537355173798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7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43.789591601760918</v>
      </c>
      <c r="I100" s="21">
        <f>F100*$V$21</f>
        <v>3.5422038604808672</v>
      </c>
      <c r="J100" s="21">
        <f>H100*(-M100)</f>
        <v>280253.3862512699</v>
      </c>
      <c r="K100" s="21">
        <f>I100*(-$M100)</f>
        <v>22670.104707077549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20.294050501556555</v>
      </c>
      <c r="I102" s="21">
        <f>E102*$V$24</f>
        <v>2.5576063645797298</v>
      </c>
      <c r="J102" s="21">
        <f>H102*(-$M102)</f>
        <v>129881.92320996195</v>
      </c>
      <c r="K102" s="21">
        <f>I102*(-$M102)</f>
        <v>16368.68073331027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10.03145536384096</v>
      </c>
      <c r="I104" s="21">
        <f>F104*$V$13</f>
        <v>0.98480120030007501</v>
      </c>
      <c r="J104" s="21">
        <f>H104*(-$M104)</f>
        <v>64201.314328582142</v>
      </c>
      <c r="K104" s="21">
        <f>I104*(-$M104)</f>
        <v>6302.7276819204799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22.010721365638766</v>
      </c>
      <c r="I106" s="21">
        <f>F106*$V$18</f>
        <v>1.6871310572687221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11.26426808749299</v>
      </c>
      <c r="I107" s="21">
        <f>F107*$V$16</f>
        <v>1.2364329781267527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18.866332599118941</v>
      </c>
      <c r="I109" s="21">
        <f>F109*$V$18</f>
        <v>1.4461123348017619</v>
      </c>
      <c r="J109" s="21">
        <f t="shared" si="14"/>
        <v>120744.52863436122</v>
      </c>
      <c r="K109" s="21">
        <f t="shared" si="15"/>
        <v>9255.1189427312765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F110*$T$33</f>
        <v>9.568797227507476</v>
      </c>
      <c r="I110" s="21">
        <f>F110*$V$33</f>
        <v>1.044585485186192</v>
      </c>
      <c r="J110" s="21">
        <f t="shared" si="14"/>
        <v>61240.302256047849</v>
      </c>
      <c r="K110" s="21">
        <f t="shared" si="15"/>
        <v>6685.3471051916285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$F113*$T$32</f>
        <v>15.536820234869014</v>
      </c>
      <c r="I113" s="21">
        <f>$F113*$V$32</f>
        <v>1.49130081300813</v>
      </c>
      <c r="J113" s="21">
        <f t="shared" si="14"/>
        <v>99435.649503161694</v>
      </c>
      <c r="K113" s="21">
        <f t="shared" si="15"/>
        <v>9544.3252032520322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9.8833608402100523</v>
      </c>
      <c r="I115" s="21">
        <f>F115*$V$13</f>
        <v>0.97026256564141045</v>
      </c>
      <c r="J115" s="21">
        <f t="shared" si="14"/>
        <v>63253.509377344337</v>
      </c>
      <c r="K115" s="21">
        <f t="shared" si="15"/>
        <v>6209.6804201050272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20.518782428225528</v>
      </c>
      <c r="I116" s="21">
        <f>E116*$V$24</f>
        <v>2.5859287443791072</v>
      </c>
      <c r="J116" s="21">
        <f t="shared" si="14"/>
        <v>131320.20754064337</v>
      </c>
      <c r="K116" s="21">
        <f t="shared" si="15"/>
        <v>16549.943964026286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11.25731912507011</v>
      </c>
      <c r="I119" s="21">
        <f>F119*$V$16</f>
        <v>1.2356702187324735</v>
      </c>
      <c r="J119" s="21">
        <f t="shared" si="14"/>
        <v>72046.842400448702</v>
      </c>
      <c r="K119" s="21">
        <f t="shared" si="15"/>
        <v>7908.2893998878308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8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26.160508477945417</v>
      </c>
      <c r="I121" s="21">
        <f>F121*$V$17</f>
        <v>2.0052139861251912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$F122*$T$32</f>
        <v>15.148039747064137</v>
      </c>
      <c r="I122" s="21">
        <f>$F122*$V$32</f>
        <v>1.4539837398373985</v>
      </c>
      <c r="J122" s="21">
        <f t="shared" ref="J122:J127" si="16">H122*(-$M122)</f>
        <v>96947.454381210482</v>
      </c>
      <c r="K122" s="21">
        <f t="shared" ref="K122:K127" si="17">I122*(-$M122)</f>
        <v>9305.4959349593501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Q123" s="58"/>
      <c r="R123" s="58"/>
      <c r="T123" s="87"/>
      <c r="U123" s="15"/>
      <c r="V123" s="15"/>
    </row>
    <row r="124" spans="1:22">
      <c r="A124" s="3">
        <v>43581</v>
      </c>
      <c r="B124" s="66" t="s">
        <v>7574</v>
      </c>
      <c r="C124" s="66" t="s">
        <v>7575</v>
      </c>
      <c r="D124" s="3" t="s">
        <v>7576</v>
      </c>
      <c r="E124" s="21">
        <v>0.81399999999999995</v>
      </c>
      <c r="F124" s="21">
        <v>0.81399999999999995</v>
      </c>
      <c r="G124" s="20">
        <v>7852.99</v>
      </c>
      <c r="H124" s="21">
        <f>$F124*$T$29</f>
        <v>36.210005701254275</v>
      </c>
      <c r="I124" s="21">
        <f>$F124*$V$29</f>
        <v>2.8657069555302166</v>
      </c>
      <c r="J124" s="21">
        <f t="shared" si="16"/>
        <v>231744.03648802737</v>
      </c>
      <c r="K124" s="21">
        <f t="shared" si="17"/>
        <v>18340.524515393387</v>
      </c>
      <c r="L124" s="7" t="s">
        <v>10</v>
      </c>
      <c r="M124" s="1">
        <v>-6400</v>
      </c>
      <c r="N124" s="4">
        <v>7.67</v>
      </c>
      <c r="P124" s="3"/>
      <c r="T124" s="25"/>
      <c r="U124" s="15"/>
    </row>
    <row r="125" spans="1:22">
      <c r="A125" s="3">
        <v>43600</v>
      </c>
      <c r="B125" s="131" t="s">
        <v>7298</v>
      </c>
      <c r="C125" s="131" t="s">
        <v>7299</v>
      </c>
      <c r="D125" s="14" t="s">
        <v>12</v>
      </c>
      <c r="E125" s="22">
        <v>2.6779999999999999</v>
      </c>
      <c r="F125" s="22">
        <v>2.6779999999999999</v>
      </c>
      <c r="G125" s="22">
        <v>3730.54</v>
      </c>
      <c r="H125" s="21">
        <f>F125*$T$30</f>
        <v>33.991234518577699</v>
      </c>
      <c r="I125" s="21">
        <f>F125*$V$30</f>
        <v>6.1306192568917304</v>
      </c>
      <c r="J125" s="21">
        <f t="shared" si="16"/>
        <v>-337887.8272578505</v>
      </c>
      <c r="K125" s="21">
        <f t="shared" si="17"/>
        <v>-60941.052885976838</v>
      </c>
      <c r="L125" s="7" t="s">
        <v>10</v>
      </c>
      <c r="M125" s="69">
        <v>9940.44</v>
      </c>
      <c r="N125" s="4">
        <v>49.95</v>
      </c>
      <c r="P125" s="3"/>
      <c r="U125" s="15"/>
    </row>
    <row r="126" spans="1:22">
      <c r="A126" s="3">
        <v>43600</v>
      </c>
      <c r="B126" s="131" t="s">
        <v>7320</v>
      </c>
      <c r="C126" s="131" t="s">
        <v>97</v>
      </c>
      <c r="D126" s="3" t="s">
        <v>11</v>
      </c>
      <c r="E126" s="21">
        <v>1.6220000000000001</v>
      </c>
      <c r="F126" s="21">
        <v>2.5430000000000001</v>
      </c>
      <c r="G126" s="21">
        <v>3942.59</v>
      </c>
      <c r="H126" s="21"/>
      <c r="I126" s="21"/>
      <c r="J126" s="21">
        <f t="shared" si="16"/>
        <v>0</v>
      </c>
      <c r="K126" s="21">
        <f t="shared" si="17"/>
        <v>0</v>
      </c>
      <c r="L126" s="7" t="s">
        <v>10</v>
      </c>
      <c r="M126" s="1">
        <v>-6400</v>
      </c>
      <c r="N126" s="4">
        <v>5.12</v>
      </c>
      <c r="P126" s="3"/>
      <c r="U126" s="15"/>
    </row>
    <row r="127" spans="1:22">
      <c r="A127" s="3">
        <v>43600</v>
      </c>
      <c r="B127" s="131" t="s">
        <v>36</v>
      </c>
      <c r="C127" s="131" t="s">
        <v>36</v>
      </c>
      <c r="D127" s="3" t="s">
        <v>11</v>
      </c>
      <c r="E127" s="21">
        <v>3.7160000000000002</v>
      </c>
      <c r="F127" s="21">
        <v>3.7160000000000002</v>
      </c>
      <c r="G127" s="20">
        <v>1700</v>
      </c>
      <c r="H127" s="21">
        <f>F127*$T$15</f>
        <v>12.882271964185788</v>
      </c>
      <c r="I127" s="21">
        <f>F127*$V$15</f>
        <v>1.4140346950195861</v>
      </c>
      <c r="J127" s="21">
        <f t="shared" si="16"/>
        <v>81396.120114829333</v>
      </c>
      <c r="K127" s="21">
        <f t="shared" si="17"/>
        <v>8934.5216590934542</v>
      </c>
      <c r="L127" s="5" t="s">
        <v>24</v>
      </c>
      <c r="M127" s="1">
        <v>-6318.46</v>
      </c>
      <c r="N127" s="4">
        <v>1.26</v>
      </c>
      <c r="P127" s="3"/>
      <c r="U127" s="15"/>
    </row>
    <row r="128" spans="1:22">
      <c r="A128" s="3">
        <v>43615</v>
      </c>
      <c r="B128" s="131" t="s">
        <v>7320</v>
      </c>
      <c r="C128" s="131" t="s">
        <v>97</v>
      </c>
      <c r="D128" s="3" t="s">
        <v>11</v>
      </c>
      <c r="E128" s="21">
        <v>1.5940000000000001</v>
      </c>
      <c r="F128" s="21">
        <v>2.5150000000000001</v>
      </c>
      <c r="G128" s="21">
        <v>4011.84</v>
      </c>
      <c r="H128" s="21"/>
      <c r="I128" s="21"/>
      <c r="J128" s="21">
        <f t="shared" ref="J128" si="18">H128*(-$M128)</f>
        <v>0</v>
      </c>
      <c r="K128" s="21">
        <f t="shared" ref="K128" si="19">I128*(-$M128)</f>
        <v>0</v>
      </c>
      <c r="L128" s="7" t="s">
        <v>10</v>
      </c>
      <c r="M128" s="1">
        <v>-6400</v>
      </c>
      <c r="N128" s="4">
        <v>5.12</v>
      </c>
      <c r="P128" s="3"/>
      <c r="U128" s="15"/>
    </row>
    <row r="129" spans="1:21">
      <c r="A129" s="3">
        <v>43615</v>
      </c>
      <c r="B129" s="131" t="s">
        <v>7303</v>
      </c>
      <c r="C129" s="131" t="s">
        <v>7305</v>
      </c>
      <c r="D129" s="61" t="s">
        <v>11</v>
      </c>
      <c r="E129" s="21">
        <v>1.1140000000000001</v>
      </c>
      <c r="F129" s="21">
        <v>1.1140000000000001</v>
      </c>
      <c r="G129" s="20">
        <v>5738.18</v>
      </c>
      <c r="H129" s="21"/>
      <c r="I129" s="21"/>
      <c r="J129" s="21"/>
      <c r="K129" s="21"/>
      <c r="L129" s="7" t="s">
        <v>10</v>
      </c>
      <c r="M129" s="4">
        <v>-6400</v>
      </c>
      <c r="N129" s="4">
        <v>7.67</v>
      </c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43625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766793.21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2.5580981373786924E-2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P158" s="36"/>
      <c r="R158" s="15"/>
    </row>
    <row r="159" spans="1:18">
      <c r="R159" s="15"/>
    </row>
    <row r="160" spans="1:18">
      <c r="R160" s="15"/>
    </row>
    <row r="161" spans="14:18">
      <c r="R161" s="15"/>
    </row>
    <row r="162" spans="14:18">
      <c r="R162" s="15"/>
    </row>
    <row r="167" spans="14:18">
      <c r="N167">
        <f>SUMIF(C:C,"=医药",J:J)/SUMIF(C:C,"=医药",M:M)*-1</f>
        <v>28.977759395811386</v>
      </c>
    </row>
  </sheetData>
  <autoFilter ref="A1:W125" xr:uid="{00000000-0009-0000-0000-000000000000}"/>
  <sortState ref="A2:F54">
    <sortCondition ref="A1"/>
  </sortState>
  <mergeCells count="7">
    <mergeCell ref="Z22:Z23"/>
    <mergeCell ref="Z26:Z27"/>
    <mergeCell ref="Z37:Z39"/>
    <mergeCell ref="Z20:Z21"/>
    <mergeCell ref="Z15:Z16"/>
    <mergeCell ref="Z17:Z18"/>
    <mergeCell ref="Z28:Z29"/>
  </mergeCells>
  <phoneticPr fontId="3" type="noConversion"/>
  <conditionalFormatting sqref="N2:N16 N26:N42 N19:N24 N105 N130:N134">
    <cfRule type="cellIs" dxfId="85" priority="114" operator="greaterThan">
      <formula>3</formula>
    </cfRule>
  </conditionalFormatting>
  <conditionalFormatting sqref="N43:N47 N143:N145">
    <cfRule type="cellIs" dxfId="84" priority="113" operator="greaterThan">
      <formula>3</formula>
    </cfRule>
  </conditionalFormatting>
  <conditionalFormatting sqref="N48">
    <cfRule type="cellIs" dxfId="83" priority="111" operator="greaterThan">
      <formula>3</formula>
    </cfRule>
  </conditionalFormatting>
  <conditionalFormatting sqref="N49">
    <cfRule type="cellIs" dxfId="82" priority="110" operator="greaterThan">
      <formula>3</formula>
    </cfRule>
  </conditionalFormatting>
  <conditionalFormatting sqref="N50">
    <cfRule type="cellIs" dxfId="81" priority="109" operator="greaterThan">
      <formula>3</formula>
    </cfRule>
  </conditionalFormatting>
  <conditionalFormatting sqref="N52">
    <cfRule type="cellIs" dxfId="80" priority="108" operator="greaterThan">
      <formula>3</formula>
    </cfRule>
  </conditionalFormatting>
  <conditionalFormatting sqref="N53">
    <cfRule type="cellIs" dxfId="79" priority="107" operator="greaterThan">
      <formula>3</formula>
    </cfRule>
  </conditionalFormatting>
  <conditionalFormatting sqref="N54 N60 N78">
    <cfRule type="cellIs" dxfId="78" priority="106" operator="greaterThan">
      <formula>3</formula>
    </cfRule>
  </conditionalFormatting>
  <conditionalFormatting sqref="N51">
    <cfRule type="cellIs" dxfId="77" priority="105" operator="greaterThan">
      <formula>3</formula>
    </cfRule>
  </conditionalFormatting>
  <conditionalFormatting sqref="N25">
    <cfRule type="cellIs" dxfId="76" priority="103" operator="greaterThan">
      <formula>3</formula>
    </cfRule>
  </conditionalFormatting>
  <conditionalFormatting sqref="N55">
    <cfRule type="cellIs" dxfId="75" priority="101" operator="greaterThan">
      <formula>3</formula>
    </cfRule>
  </conditionalFormatting>
  <conditionalFormatting sqref="N56">
    <cfRule type="cellIs" dxfId="74" priority="100" operator="greaterThan">
      <formula>3</formula>
    </cfRule>
  </conditionalFormatting>
  <conditionalFormatting sqref="N57">
    <cfRule type="cellIs" dxfId="73" priority="98" operator="greaterThan">
      <formula>3</formula>
    </cfRule>
  </conditionalFormatting>
  <conditionalFormatting sqref="N58">
    <cfRule type="cellIs" dxfId="72" priority="97" operator="greaterThan">
      <formula>3</formula>
    </cfRule>
  </conditionalFormatting>
  <conditionalFormatting sqref="N59">
    <cfRule type="cellIs" dxfId="71" priority="96" operator="greaterThan">
      <formula>3</formula>
    </cfRule>
  </conditionalFormatting>
  <conditionalFormatting sqref="N70">
    <cfRule type="cellIs" dxfId="70" priority="95" operator="greaterThan">
      <formula>3</formula>
    </cfRule>
  </conditionalFormatting>
  <conditionalFormatting sqref="N61">
    <cfRule type="cellIs" dxfId="69" priority="93" operator="greaterThan">
      <formula>3</formula>
    </cfRule>
  </conditionalFormatting>
  <conditionalFormatting sqref="N62:N63 N69">
    <cfRule type="cellIs" dxfId="68" priority="92" operator="greaterThan">
      <formula>3</formula>
    </cfRule>
  </conditionalFormatting>
  <conditionalFormatting sqref="N66">
    <cfRule type="cellIs" dxfId="67" priority="88" operator="greaterThan">
      <formula>3</formula>
    </cfRule>
  </conditionalFormatting>
  <conditionalFormatting sqref="N65">
    <cfRule type="cellIs" dxfId="66" priority="89" operator="greaterThan">
      <formula>3</formula>
    </cfRule>
  </conditionalFormatting>
  <conditionalFormatting sqref="N64">
    <cfRule type="cellIs" dxfId="65" priority="90" operator="greaterThan">
      <formula>3</formula>
    </cfRule>
  </conditionalFormatting>
  <conditionalFormatting sqref="N68">
    <cfRule type="cellIs" dxfId="64" priority="86" operator="greaterThan">
      <formula>3</formula>
    </cfRule>
  </conditionalFormatting>
  <conditionalFormatting sqref="N67">
    <cfRule type="cellIs" dxfId="63" priority="87" operator="greaterThan">
      <formula>3</formula>
    </cfRule>
  </conditionalFormatting>
  <conditionalFormatting sqref="N17:N18">
    <cfRule type="cellIs" dxfId="62" priority="85" operator="greaterThan">
      <formula>3</formula>
    </cfRule>
  </conditionalFormatting>
  <conditionalFormatting sqref="N77">
    <cfRule type="cellIs" dxfId="61" priority="84" operator="greaterThan">
      <formula>3</formula>
    </cfRule>
  </conditionalFormatting>
  <conditionalFormatting sqref="N71">
    <cfRule type="cellIs" dxfId="60" priority="83" operator="greaterThan">
      <formula>3</formula>
    </cfRule>
  </conditionalFormatting>
  <conditionalFormatting sqref="N74">
    <cfRule type="cellIs" dxfId="59" priority="82" operator="greaterThan">
      <formula>3</formula>
    </cfRule>
  </conditionalFormatting>
  <conditionalFormatting sqref="N76">
    <cfRule type="cellIs" dxfId="58" priority="81" operator="greaterThan">
      <formula>3</formula>
    </cfRule>
  </conditionalFormatting>
  <conditionalFormatting sqref="N72">
    <cfRule type="cellIs" dxfId="57" priority="78" operator="greaterThan">
      <formula>3</formula>
    </cfRule>
  </conditionalFormatting>
  <conditionalFormatting sqref="N79">
    <cfRule type="cellIs" dxfId="56" priority="77" operator="greaterThan">
      <formula>3</formula>
    </cfRule>
  </conditionalFormatting>
  <conditionalFormatting sqref="N81">
    <cfRule type="cellIs" dxfId="55" priority="76" operator="greaterThan">
      <formula>3</formula>
    </cfRule>
  </conditionalFormatting>
  <conditionalFormatting sqref="N82">
    <cfRule type="cellIs" dxfId="54" priority="75" operator="greaterThan">
      <formula>3</formula>
    </cfRule>
  </conditionalFormatting>
  <conditionalFormatting sqref="N84">
    <cfRule type="cellIs" dxfId="53" priority="74" operator="greaterThan">
      <formula>3</formula>
    </cfRule>
  </conditionalFormatting>
  <conditionalFormatting sqref="N137:N142">
    <cfRule type="cellIs" dxfId="52" priority="69" operator="greaterThan">
      <formula>3</formula>
    </cfRule>
  </conditionalFormatting>
  <conditionalFormatting sqref="N85">
    <cfRule type="cellIs" dxfId="51" priority="68" operator="greaterThan">
      <formula>3</formula>
    </cfRule>
  </conditionalFormatting>
  <conditionalFormatting sqref="N86">
    <cfRule type="cellIs" dxfId="50" priority="67" operator="greaterThan">
      <formula>3</formula>
    </cfRule>
  </conditionalFormatting>
  <conditionalFormatting sqref="N87">
    <cfRule type="cellIs" dxfId="49" priority="66" operator="greaterThan">
      <formula>3</formula>
    </cfRule>
  </conditionalFormatting>
  <conditionalFormatting sqref="N88">
    <cfRule type="cellIs" dxfId="48" priority="65" operator="greaterThan">
      <formula>3</formula>
    </cfRule>
  </conditionalFormatting>
  <conditionalFormatting sqref="N89">
    <cfRule type="cellIs" dxfId="47" priority="63" operator="greaterThan">
      <formula>3</formula>
    </cfRule>
  </conditionalFormatting>
  <conditionalFormatting sqref="N90">
    <cfRule type="cellIs" dxfId="46" priority="62" operator="greaterThan">
      <formula>3</formula>
    </cfRule>
  </conditionalFormatting>
  <conditionalFormatting sqref="N75">
    <cfRule type="cellIs" dxfId="45" priority="59" operator="greaterThan">
      <formula>3</formula>
    </cfRule>
  </conditionalFormatting>
  <conditionalFormatting sqref="N92">
    <cfRule type="cellIs" dxfId="44" priority="58" operator="greaterThan">
      <formula>3</formula>
    </cfRule>
  </conditionalFormatting>
  <conditionalFormatting sqref="N91">
    <cfRule type="cellIs" dxfId="43" priority="57" operator="greaterThan">
      <formula>3</formula>
    </cfRule>
  </conditionalFormatting>
  <conditionalFormatting sqref="N93">
    <cfRule type="cellIs" dxfId="42" priority="56" operator="greaterThan">
      <formula>3</formula>
    </cfRule>
  </conditionalFormatting>
  <conditionalFormatting sqref="N95">
    <cfRule type="cellIs" dxfId="41" priority="53" operator="greaterThan">
      <formula>3</formula>
    </cfRule>
  </conditionalFormatting>
  <conditionalFormatting sqref="N94">
    <cfRule type="cellIs" dxfId="40" priority="54" operator="greaterThan">
      <formula>3</formula>
    </cfRule>
  </conditionalFormatting>
  <conditionalFormatting sqref="N96">
    <cfRule type="cellIs" dxfId="39" priority="51" operator="greaterThan">
      <formula>3</formula>
    </cfRule>
  </conditionalFormatting>
  <conditionalFormatting sqref="N97">
    <cfRule type="cellIs" dxfId="38" priority="50" operator="greaterThan">
      <formula>3</formula>
    </cfRule>
  </conditionalFormatting>
  <conditionalFormatting sqref="N98">
    <cfRule type="cellIs" dxfId="37" priority="48" operator="greaterThan">
      <formula>3</formula>
    </cfRule>
  </conditionalFormatting>
  <conditionalFormatting sqref="N99">
    <cfRule type="cellIs" dxfId="36" priority="47" operator="greaterThan">
      <formula>3</formula>
    </cfRule>
  </conditionalFormatting>
  <conditionalFormatting sqref="N100">
    <cfRule type="cellIs" dxfId="35" priority="46" operator="greaterThan">
      <formula>3</formula>
    </cfRule>
  </conditionalFormatting>
  <conditionalFormatting sqref="N101">
    <cfRule type="cellIs" dxfId="34" priority="45" operator="greaterThan">
      <formula>3</formula>
    </cfRule>
  </conditionalFormatting>
  <conditionalFormatting sqref="N102">
    <cfRule type="cellIs" dxfId="33" priority="44" operator="greaterThan">
      <formula>3</formula>
    </cfRule>
  </conditionalFormatting>
  <conditionalFormatting sqref="N103">
    <cfRule type="cellIs" dxfId="32" priority="41" operator="greaterThan">
      <formula>3</formula>
    </cfRule>
  </conditionalFormatting>
  <conditionalFormatting sqref="N104">
    <cfRule type="cellIs" dxfId="31" priority="40" operator="greaterThan">
      <formula>3</formula>
    </cfRule>
  </conditionalFormatting>
  <conditionalFormatting sqref="N135:N136">
    <cfRule type="cellIs" dxfId="30" priority="39" operator="greaterThan">
      <formula>3</formula>
    </cfRule>
  </conditionalFormatting>
  <conditionalFormatting sqref="N124:N125">
    <cfRule type="cellIs" dxfId="29" priority="38" operator="greaterThan">
      <formula>3</formula>
    </cfRule>
  </conditionalFormatting>
  <conditionalFormatting sqref="N106">
    <cfRule type="cellIs" dxfId="28" priority="35" operator="greaterThan">
      <formula>3</formula>
    </cfRule>
  </conditionalFormatting>
  <conditionalFormatting sqref="N107">
    <cfRule type="cellIs" dxfId="25" priority="33" operator="greaterThan">
      <formula>3</formula>
    </cfRule>
  </conditionalFormatting>
  <conditionalFormatting sqref="N108">
    <cfRule type="cellIs" dxfId="24" priority="28" operator="greaterThan">
      <formula>3</formula>
    </cfRule>
  </conditionalFormatting>
  <conditionalFormatting sqref="N109">
    <cfRule type="cellIs" dxfId="23" priority="27" operator="greaterThan">
      <formula>3</formula>
    </cfRule>
  </conditionalFormatting>
  <conditionalFormatting sqref="N110">
    <cfRule type="cellIs" dxfId="22" priority="26" operator="greaterThan">
      <formula>3</formula>
    </cfRule>
  </conditionalFormatting>
  <conditionalFormatting sqref="N113">
    <cfRule type="cellIs" dxfId="21" priority="22" operator="greaterThan">
      <formula>3</formula>
    </cfRule>
  </conditionalFormatting>
  <conditionalFormatting sqref="N111">
    <cfRule type="cellIs" dxfId="20" priority="24" operator="greaterThan">
      <formula>3</formula>
    </cfRule>
  </conditionalFormatting>
  <conditionalFormatting sqref="N112">
    <cfRule type="cellIs" dxfId="19" priority="23" operator="greaterThan">
      <formula>3</formula>
    </cfRule>
  </conditionalFormatting>
  <conditionalFormatting sqref="N114">
    <cfRule type="cellIs" dxfId="18" priority="21" operator="greaterThan">
      <formula>3</formula>
    </cfRule>
  </conditionalFormatting>
  <conditionalFormatting sqref="N115">
    <cfRule type="cellIs" dxfId="17" priority="20" operator="greaterThan">
      <formula>3</formula>
    </cfRule>
  </conditionalFormatting>
  <conditionalFormatting sqref="N116">
    <cfRule type="cellIs" dxfId="16" priority="19" operator="greaterThan">
      <formula>3</formula>
    </cfRule>
  </conditionalFormatting>
  <conditionalFormatting sqref="N117">
    <cfRule type="cellIs" dxfId="15" priority="18" operator="greaterThan">
      <formula>3</formula>
    </cfRule>
  </conditionalFormatting>
  <conditionalFormatting sqref="N118">
    <cfRule type="cellIs" dxfId="14" priority="17" operator="greaterThan">
      <formula>3</formula>
    </cfRule>
  </conditionalFormatting>
  <conditionalFormatting sqref="N119">
    <cfRule type="cellIs" dxfId="13" priority="16" operator="greaterThan">
      <formula>3</formula>
    </cfRule>
  </conditionalFormatting>
  <conditionalFormatting sqref="N120">
    <cfRule type="cellIs" dxfId="12" priority="14" operator="greaterThan">
      <formula>3</formula>
    </cfRule>
  </conditionalFormatting>
  <conditionalFormatting sqref="N73">
    <cfRule type="cellIs" dxfId="11" priority="12" operator="greaterThan">
      <formula>3</formula>
    </cfRule>
  </conditionalFormatting>
  <conditionalFormatting sqref="N80">
    <cfRule type="cellIs" dxfId="10" priority="11" operator="greaterThan">
      <formula>3</formula>
    </cfRule>
  </conditionalFormatting>
  <conditionalFormatting sqref="N83">
    <cfRule type="cellIs" dxfId="9" priority="10" operator="greaterThan">
      <formula>3</formula>
    </cfRule>
  </conditionalFormatting>
  <conditionalFormatting sqref="N122">
    <cfRule type="cellIs" dxfId="8" priority="9" operator="greaterThan">
      <formula>3</formula>
    </cfRule>
  </conditionalFormatting>
  <conditionalFormatting sqref="N123">
    <cfRule type="cellIs" dxfId="7" priority="8" operator="greaterThan">
      <formula>3</formula>
    </cfRule>
  </conditionalFormatting>
  <conditionalFormatting sqref="N121">
    <cfRule type="cellIs" dxfId="6" priority="7" operator="greaterThan">
      <formula>3</formula>
    </cfRule>
  </conditionalFormatting>
  <conditionalFormatting sqref="N129">
    <cfRule type="cellIs" dxfId="5" priority="1" operator="greaterThan">
      <formula>3</formula>
    </cfRule>
  </conditionalFormatting>
  <conditionalFormatting sqref="N126">
    <cfRule type="cellIs" dxfId="4" priority="5" operator="greaterThan">
      <formula>3</formula>
    </cfRule>
  </conditionalFormatting>
  <conditionalFormatting sqref="N127">
    <cfRule type="cellIs" dxfId="3" priority="4" operator="greaterThan">
      <formula>3</formula>
    </cfRule>
  </conditionalFormatting>
  <conditionalFormatting sqref="N128">
    <cfRule type="cellIs" dxfId="2" priority="3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tabSelected="1" zoomScale="90" zoomScaleNormal="90" workbookViewId="0">
      <pane ySplit="1" topLeftCell="A36" activePane="bottomLeft" state="frozen"/>
      <selection pane="bottomLeft" activeCell="C98" sqref="C98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30"/>
      <c r="N1" s="119"/>
    </row>
    <row r="2" spans="1:15">
      <c r="A2" s="135" t="str">
        <f>"A股"&amp;" , "&amp;TEXT(SUM(E2:E19),"0.00%")</f>
        <v>A股 , 47.56%</v>
      </c>
      <c r="B2" s="135" t="str">
        <f>"大盘股"&amp;" , "&amp;TEXT(SUM(E2:E4),"0.00%")</f>
        <v>大盘股 , 5.14%</v>
      </c>
      <c r="C2" s="121" t="str">
        <f>"上证50"&amp;" , "&amp;TEXT(SUM(E2:E2),"0.00%")</f>
        <v>上证50 , 0.62%</v>
      </c>
      <c r="D2" s="121" t="s">
        <v>7551</v>
      </c>
      <c r="E2" s="122">
        <f t="shared" ref="E2:E32" si="0">F2/$F$33</f>
        <v>6.1627080530171161E-3</v>
      </c>
      <c r="F2" s="35">
        <f t="shared" ref="F2:F24" si="1">SUM(G2:I2)</f>
        <v>7300.8</v>
      </c>
      <c r="G2" s="35">
        <v>7300.8</v>
      </c>
      <c r="H2" s="35"/>
      <c r="I2" s="35"/>
      <c r="K2" s="119">
        <f>K4+K6+K8+K10</f>
        <v>1215943.49</v>
      </c>
      <c r="M2" s="130"/>
      <c r="N2" s="119"/>
    </row>
    <row r="3" spans="1:15">
      <c r="A3" s="135"/>
      <c r="B3" s="136"/>
      <c r="C3" s="135" t="str">
        <f>"沪深300"&amp;" , "&amp;TEXT(SUM(E3:E4),"0.00%")</f>
        <v>沪深300 , 4.53%</v>
      </c>
      <c r="D3" s="121" t="s">
        <v>7552</v>
      </c>
      <c r="E3" s="122">
        <f t="shared" si="0"/>
        <v>2.7407371141765578E-2</v>
      </c>
      <c r="F3" s="35">
        <f t="shared" si="1"/>
        <v>32468.799999999999</v>
      </c>
      <c r="G3" s="35">
        <v>32468.799999999999</v>
      </c>
      <c r="I3" s="35"/>
      <c r="K3" s="119" t="s">
        <v>7447</v>
      </c>
      <c r="M3" s="119"/>
      <c r="N3" s="34"/>
    </row>
    <row r="4" spans="1:15">
      <c r="A4" s="135"/>
      <c r="B4" s="136"/>
      <c r="C4" s="136"/>
      <c r="D4" s="121" t="s">
        <v>7553</v>
      </c>
      <c r="E4" s="122">
        <f t="shared" si="0"/>
        <v>1.787917182279682E-2</v>
      </c>
      <c r="F4" s="35">
        <f t="shared" si="1"/>
        <v>21180.99</v>
      </c>
      <c r="H4" s="35">
        <v>21180.99</v>
      </c>
      <c r="K4" s="119">
        <v>800000</v>
      </c>
      <c r="M4" s="119"/>
      <c r="N4" s="34"/>
    </row>
    <row r="5" spans="1:15">
      <c r="A5" s="135"/>
      <c r="B5" s="135" t="str">
        <f>"中小盘股"&amp;" , "&amp;TEXT(SUM(E5:E9),"0.00%")</f>
        <v>中小盘股 , 17.96%</v>
      </c>
      <c r="C5" s="135" t="str">
        <f>"中证500"&amp;" , "&amp;TEXT(SUM(E5:E6),"0.00%")</f>
        <v>中证500 , 13.51%</v>
      </c>
      <c r="D5" s="121" t="s">
        <v>7555</v>
      </c>
      <c r="E5" s="122">
        <f t="shared" si="0"/>
        <v>0.12323618143050323</v>
      </c>
      <c r="F5" s="35">
        <f t="shared" si="1"/>
        <v>145994.70000000001</v>
      </c>
      <c r="G5" s="35">
        <v>145994.70000000001</v>
      </c>
      <c r="I5" s="35"/>
      <c r="K5" s="119" t="s">
        <v>7444</v>
      </c>
      <c r="M5" s="119"/>
      <c r="N5" s="34"/>
    </row>
    <row r="6" spans="1:15">
      <c r="A6" s="135"/>
      <c r="B6" s="135"/>
      <c r="C6" s="135"/>
      <c r="D6" s="121" t="s">
        <v>7554</v>
      </c>
      <c r="E6" s="122">
        <f t="shared" si="0"/>
        <v>1.1818069781222511E-2</v>
      </c>
      <c r="F6" s="35">
        <f t="shared" si="1"/>
        <v>14000.56</v>
      </c>
      <c r="G6" s="35"/>
      <c r="H6" s="35">
        <v>14000.56</v>
      </c>
      <c r="I6" s="35"/>
      <c r="K6" s="119">
        <v>100000</v>
      </c>
      <c r="N6" s="123"/>
      <c r="O6" s="123"/>
    </row>
    <row r="7" spans="1:15">
      <c r="A7" s="135"/>
      <c r="B7" s="135"/>
      <c r="C7" s="121" t="str">
        <f>"中证1000"&amp;" , "&amp;TEXT(SUM(E7:E7),"0.00%")</f>
        <v>中证1000 , 2.80%</v>
      </c>
      <c r="D7" s="121" t="s">
        <v>7556</v>
      </c>
      <c r="E7" s="122">
        <f t="shared" si="0"/>
        <v>2.802188618978723E-2</v>
      </c>
      <c r="F7" s="35">
        <f t="shared" si="1"/>
        <v>33196.800000000003</v>
      </c>
      <c r="G7" s="35">
        <v>33196.800000000003</v>
      </c>
      <c r="H7" s="35"/>
      <c r="I7" s="35"/>
      <c r="K7" s="119" t="s">
        <v>7445</v>
      </c>
      <c r="O7" s="124"/>
    </row>
    <row r="8" spans="1:15">
      <c r="A8" s="135"/>
      <c r="B8" s="135"/>
      <c r="C8" s="135" t="str">
        <f>"创业板"&amp;" , "&amp;TEXT(SUM(E8:E9),"0.00%")</f>
        <v>创业板 , 1.66%</v>
      </c>
      <c r="D8" s="121" t="s">
        <v>7557</v>
      </c>
      <c r="E8" s="122">
        <f t="shared" si="0"/>
        <v>1.0584852879357527E-2</v>
      </c>
      <c r="F8" s="35">
        <f t="shared" si="1"/>
        <v>12539.6</v>
      </c>
      <c r="G8" s="35">
        <v>12539.6</v>
      </c>
      <c r="I8" s="35"/>
      <c r="K8" s="119">
        <v>16634.060000000001</v>
      </c>
      <c r="N8" s="123"/>
      <c r="O8" s="123"/>
    </row>
    <row r="9" spans="1:15">
      <c r="A9" s="135"/>
      <c r="B9" s="135"/>
      <c r="C9" s="135"/>
      <c r="D9" s="121" t="s">
        <v>7463</v>
      </c>
      <c r="E9" s="122">
        <f t="shared" si="0"/>
        <v>5.9713473917719128E-3</v>
      </c>
      <c r="F9" s="35">
        <f t="shared" si="1"/>
        <v>7074.1</v>
      </c>
      <c r="G9" s="35"/>
      <c r="H9" s="125">
        <v>7074.1</v>
      </c>
      <c r="I9" s="35"/>
      <c r="K9" s="119" t="s">
        <v>7448</v>
      </c>
      <c r="O9" s="124"/>
    </row>
    <row r="10" spans="1:15">
      <c r="A10" s="135"/>
      <c r="B10" s="121" t="str">
        <f>"红利价值"&amp;" , "&amp;TEXT(SUM(E10:E10),"0.00%")</f>
        <v>红利价值 , 5.90%</v>
      </c>
      <c r="C10" s="121" t="str">
        <f>"中证红利"&amp;" , "&amp;TEXT(SUM(E10:E10),"0.00%")</f>
        <v>中证红利 , 5.90%</v>
      </c>
      <c r="D10" s="121" t="s">
        <v>7464</v>
      </c>
      <c r="E10" s="122">
        <f t="shared" si="0"/>
        <v>5.8985923553652723E-2</v>
      </c>
      <c r="F10" s="35">
        <f t="shared" si="1"/>
        <v>69879.09</v>
      </c>
      <c r="G10" s="35"/>
      <c r="H10" s="35">
        <v>69879.09</v>
      </c>
      <c r="I10" s="35"/>
      <c r="K10" s="119">
        <v>299309.43</v>
      </c>
      <c r="N10" s="123"/>
      <c r="O10" s="123"/>
    </row>
    <row r="11" spans="1:15">
      <c r="A11" s="135"/>
      <c r="B11" s="135" t="str">
        <f>"行业股"&amp;" , "&amp;TEXT(SUM(E11:E19),"0.00%")</f>
        <v>行业股 , 18.55%</v>
      </c>
      <c r="C11" s="121" t="str">
        <f>"养老产业"&amp;" , "&amp;TEXT(SUM(E11:E11),"0.00%")</f>
        <v>养老产业 , 4.65%</v>
      </c>
      <c r="D11" s="121" t="s">
        <v>7466</v>
      </c>
      <c r="E11" s="122">
        <f t="shared" si="0"/>
        <v>4.6481031912576784E-2</v>
      </c>
      <c r="F11" s="35">
        <f t="shared" si="1"/>
        <v>55064.87</v>
      </c>
      <c r="G11" s="35"/>
      <c r="H11" s="35">
        <v>55064.87</v>
      </c>
      <c r="I11" s="35"/>
      <c r="O11" s="124"/>
    </row>
    <row r="12" spans="1:15">
      <c r="A12" s="135"/>
      <c r="B12" s="135"/>
      <c r="C12" s="135" t="str">
        <f>"全指医药"&amp;" , "&amp;TEXT(SUM(E12:E13),"0.00%")</f>
        <v>全指医药 , 3.80%</v>
      </c>
      <c r="D12" s="121" t="s">
        <v>7558</v>
      </c>
      <c r="E12" s="122">
        <f t="shared" si="0"/>
        <v>1.362602707580313E-2</v>
      </c>
      <c r="F12" s="35">
        <f t="shared" si="1"/>
        <v>16142.4</v>
      </c>
      <c r="G12" s="35">
        <v>16142.4</v>
      </c>
      <c r="I12" s="35"/>
      <c r="N12" s="123"/>
      <c r="O12" s="123"/>
    </row>
    <row r="13" spans="1:15">
      <c r="A13" s="135"/>
      <c r="B13" s="135"/>
      <c r="C13" s="135"/>
      <c r="D13" s="121" t="s">
        <v>7467</v>
      </c>
      <c r="E13" s="122">
        <f t="shared" si="0"/>
        <v>2.4411433018703875E-2</v>
      </c>
      <c r="F13" s="35">
        <f t="shared" si="1"/>
        <v>28919.59</v>
      </c>
      <c r="H13" s="35">
        <v>28919.59</v>
      </c>
      <c r="O13" s="124"/>
    </row>
    <row r="14" spans="1:15">
      <c r="A14" s="135"/>
      <c r="B14" s="135"/>
      <c r="C14" s="121" t="str">
        <f>"中证传媒"&amp;" , "&amp;TEXT(SUM(E14:E14),"0.00%")</f>
        <v>中证传媒 , 2.47%</v>
      </c>
      <c r="D14" s="121" t="s">
        <v>49</v>
      </c>
      <c r="E14" s="122">
        <f t="shared" si="0"/>
        <v>2.4684638980850424E-2</v>
      </c>
      <c r="F14" s="35">
        <f t="shared" si="1"/>
        <v>29243.25</v>
      </c>
      <c r="G14" s="35">
        <v>23733.599999999999</v>
      </c>
      <c r="H14" s="35">
        <v>5509.65</v>
      </c>
      <c r="I14" s="35"/>
      <c r="N14" s="123"/>
      <c r="O14" s="123"/>
    </row>
    <row r="15" spans="1:15">
      <c r="A15" s="135"/>
      <c r="B15" s="135"/>
      <c r="C15" s="135" t="str">
        <f>"中证环保"&amp;" , "&amp;TEXT(SUM(E15:E16),"0.00%")</f>
        <v>中证环保 , 3.34%</v>
      </c>
      <c r="D15" s="121" t="s">
        <v>7471</v>
      </c>
      <c r="E15" s="122">
        <f t="shared" si="0"/>
        <v>2.0000270116504619E-2</v>
      </c>
      <c r="F15" s="35">
        <f>SUM(G15:I15)</f>
        <v>23693.8</v>
      </c>
      <c r="G15" s="35">
        <v>23693.8</v>
      </c>
      <c r="K15" s="126"/>
      <c r="O15" s="124"/>
    </row>
    <row r="16" spans="1:15">
      <c r="A16" s="135"/>
      <c r="B16" s="135"/>
      <c r="C16" s="135"/>
      <c r="D16" s="121" t="s">
        <v>7559</v>
      </c>
      <c r="E16" s="122">
        <f t="shared" si="0"/>
        <v>1.3446551540761421E-2</v>
      </c>
      <c r="F16" s="35">
        <f t="shared" si="1"/>
        <v>15929.779999999999</v>
      </c>
      <c r="H16" s="35">
        <v>7085.31</v>
      </c>
      <c r="I16" s="35">
        <v>8844.4699999999993</v>
      </c>
      <c r="N16" s="123"/>
      <c r="O16" s="123"/>
    </row>
    <row r="17" spans="1:15">
      <c r="A17" s="135"/>
      <c r="B17" s="135"/>
      <c r="C17" s="121" t="str">
        <f>"全指消费"&amp;" , "&amp;TEXT(SUM(E17:E17),"0.00%")</f>
        <v>全指消费 , 0.00%</v>
      </c>
      <c r="D17" s="121" t="s">
        <v>7560</v>
      </c>
      <c r="E17" s="122">
        <f t="shared" si="0"/>
        <v>0</v>
      </c>
      <c r="F17" s="35">
        <f t="shared" si="1"/>
        <v>0</v>
      </c>
      <c r="G17" s="35"/>
      <c r="H17" s="125">
        <v>0</v>
      </c>
      <c r="I17" s="35"/>
      <c r="O17" s="124"/>
    </row>
    <row r="18" spans="1:15">
      <c r="A18" s="135"/>
      <c r="B18" s="135"/>
      <c r="C18" s="121" t="str">
        <f>"金融地产"&amp;" , "&amp;TEXT(SUM(E18:E18),"0.00%")</f>
        <v>金融地产 , 1.82%</v>
      </c>
      <c r="D18" s="121" t="s">
        <v>7561</v>
      </c>
      <c r="E18" s="122">
        <f t="shared" si="0"/>
        <v>1.8175616245481876E-2</v>
      </c>
      <c r="F18" s="35">
        <f t="shared" si="1"/>
        <v>21532.18</v>
      </c>
      <c r="G18" s="35"/>
      <c r="H18" s="35">
        <v>21532.18</v>
      </c>
      <c r="I18" s="35"/>
      <c r="N18" s="123"/>
    </row>
    <row r="19" spans="1:15">
      <c r="A19" s="135"/>
      <c r="B19" s="135"/>
      <c r="C19" s="121" t="str">
        <f>"证券公司"&amp;" , "&amp;TEXT(SUM(E19:E19),"0.00%")</f>
        <v>证券公司 , 2.47%</v>
      </c>
      <c r="D19" s="121" t="s">
        <v>7562</v>
      </c>
      <c r="E19" s="122">
        <f t="shared" si="0"/>
        <v>2.4704264633139576E-2</v>
      </c>
      <c r="F19" s="35">
        <f t="shared" si="1"/>
        <v>29266.5</v>
      </c>
      <c r="G19" s="35">
        <v>29266.5</v>
      </c>
      <c r="H19" s="35"/>
      <c r="I19" s="35"/>
      <c r="O19" s="124"/>
    </row>
    <row r="20" spans="1:15">
      <c r="A20" s="135" t="str">
        <f>"海外新兴"&amp;" , "&amp;TEXT(SUM(E20:E21),"0.00%")</f>
        <v>海外新兴 , 1.74%</v>
      </c>
      <c r="B20" s="121" t="str">
        <f>"香港"&amp;" , "&amp;TEXT(SUM(E20:E20),"0.00%")</f>
        <v>香港 , 0.55%</v>
      </c>
      <c r="C20" s="121" t="str">
        <f>"恒生"&amp;" , "&amp;TEXT(SUM(E20:E20),"0.00%")</f>
        <v>恒生 , 0.55%</v>
      </c>
      <c r="D20" s="121" t="s">
        <v>7563</v>
      </c>
      <c r="E20" s="122">
        <f t="shared" si="0"/>
        <v>5.47548101840675E-3</v>
      </c>
      <c r="F20" s="35">
        <f t="shared" si="1"/>
        <v>6486.66</v>
      </c>
      <c r="G20" s="35"/>
      <c r="H20" s="125">
        <v>6486.66</v>
      </c>
      <c r="I20" s="35"/>
      <c r="N20" s="123"/>
    </row>
    <row r="21" spans="1:15" ht="28.5">
      <c r="A21" s="135"/>
      <c r="B21" s="121" t="str">
        <f>"海外互联"&amp;" , "&amp;TEXT(SUM(E21:E21),"0.00%")</f>
        <v>海外互联 , 1.19%</v>
      </c>
      <c r="C21" s="121" t="str">
        <f>"海外互联网"&amp;" , "&amp;TEXT(SUM(E21:E21),"0.00%")</f>
        <v>海外互联网 , 1.19%</v>
      </c>
      <c r="D21" s="121" t="s">
        <v>7480</v>
      </c>
      <c r="E21" s="122">
        <f t="shared" si="0"/>
        <v>1.1937976185853658E-2</v>
      </c>
      <c r="F21" s="35">
        <f t="shared" si="1"/>
        <v>14142.61</v>
      </c>
      <c r="G21" s="35"/>
      <c r="H21" s="125">
        <v>14142.61</v>
      </c>
      <c r="I21" s="35"/>
      <c r="O21" s="124"/>
    </row>
    <row r="22" spans="1:15">
      <c r="A22" s="121" t="str">
        <f>"海外成熟"&amp;" , "&amp;TEXT(SUM(E22:E22),"0.00%")</f>
        <v>海外成熟 , 1.94%</v>
      </c>
      <c r="B22" s="121" t="str">
        <f>"海外成熟"&amp;" , "&amp;TEXT(SUM(E22:E22),"0.00%")</f>
        <v>海外成熟 , 1.94%</v>
      </c>
      <c r="C22" s="121" t="str">
        <f>"德国30"&amp;" , "&amp;TEXT(SUM(E22:E22),"0.00%")</f>
        <v>德国30 , 1.94%</v>
      </c>
      <c r="D22" s="121" t="s">
        <v>7564</v>
      </c>
      <c r="E22" s="122">
        <f t="shared" si="0"/>
        <v>1.9445763138213546E-2</v>
      </c>
      <c r="F22" s="35">
        <f t="shared" si="1"/>
        <v>23036.89</v>
      </c>
      <c r="G22" s="35"/>
      <c r="H22" s="125">
        <v>23036.89</v>
      </c>
      <c r="I22" s="35"/>
      <c r="N22" s="123"/>
      <c r="O22" s="123"/>
    </row>
    <row r="23" spans="1:15">
      <c r="A23" s="135" t="str">
        <f>"商品"&amp;" , "&amp;TEXT(SUM(E23:E25),"0.00%")</f>
        <v>商品 , 3.54%</v>
      </c>
      <c r="B23" s="121" t="str">
        <f>"原油"&amp;" , "&amp;TEXT(SUM(E23:E23),"0.00%")</f>
        <v>原油 , 1.56%</v>
      </c>
      <c r="C23" s="121" t="str">
        <f>"原油"&amp;" , "&amp;TEXT(SUM(E23:E23),"0.00%")</f>
        <v>原油 , 1.56%</v>
      </c>
      <c r="D23" s="121" t="s">
        <v>7565</v>
      </c>
      <c r="E23" s="122">
        <f t="shared" si="0"/>
        <v>1.5593395313816287E-2</v>
      </c>
      <c r="F23" s="35">
        <f t="shared" si="1"/>
        <v>18473.09</v>
      </c>
      <c r="G23" s="35"/>
      <c r="H23" s="125">
        <v>18473.09</v>
      </c>
      <c r="I23" s="35"/>
      <c r="O23" s="124"/>
    </row>
    <row r="24" spans="1:15">
      <c r="A24" s="135"/>
      <c r="B24" s="121" t="str">
        <f>"黄金"&amp;" , "&amp;TEXT(SUM(E24:E24),"0.00%")</f>
        <v>黄金 , 0.60%</v>
      </c>
      <c r="C24" s="121" t="str">
        <f>"黄金"&amp;" , "&amp;TEXT(SUM(E24:E24),"0.00%")</f>
        <v>黄金 , 0.60%</v>
      </c>
      <c r="D24" s="121" t="s">
        <v>7566</v>
      </c>
      <c r="E24" s="122">
        <f t="shared" si="0"/>
        <v>6.0006381502421755E-3</v>
      </c>
      <c r="F24" s="35">
        <f t="shared" si="1"/>
        <v>7108.8</v>
      </c>
      <c r="G24" s="35">
        <v>7108.8</v>
      </c>
      <c r="H24" s="35"/>
      <c r="I24" s="35"/>
      <c r="N24" s="123"/>
      <c r="O24" s="123"/>
    </row>
    <row r="25" spans="1:15">
      <c r="A25" s="135"/>
      <c r="B25" s="121" t="str">
        <f>"白银"&amp;" , "&amp;TEXT(SUM(E25:E25),"0.00%")</f>
        <v>白银 , 1.38%</v>
      </c>
      <c r="C25" s="121" t="str">
        <f>"白银"&amp;" , "&amp;TEXT(SUM(E25:E25),"0.00%")</f>
        <v>白银 , 1.38%</v>
      </c>
      <c r="D25" s="121" t="s">
        <v>7567</v>
      </c>
      <c r="E25" s="122">
        <f t="shared" si="0"/>
        <v>1.3788324889378848E-2</v>
      </c>
      <c r="F25" s="35">
        <v>16334.67</v>
      </c>
      <c r="G25" s="35"/>
      <c r="H25" s="35"/>
      <c r="I25" s="35"/>
      <c r="O25" s="124"/>
    </row>
    <row r="26" spans="1:15">
      <c r="A26" s="135" t="str">
        <f>"债券"&amp;" , "&amp;TEXT(SUM(E26:E29),"0.00%")</f>
        <v>债券 , 5.61%</v>
      </c>
      <c r="B26" s="135" t="str">
        <f>"国内债券"&amp;" , "&amp;TEXT(SUM(E26:E28),"0.00%")</f>
        <v>国内债券 , 5.01%</v>
      </c>
      <c r="C26" s="135" t="str">
        <f>"可转债"&amp;" , "&amp;TEXT(SUM(E26:E28),"0.00%")</f>
        <v>可转债 , 5.01%</v>
      </c>
      <c r="D26" s="121" t="s">
        <v>7484</v>
      </c>
      <c r="E26" s="122">
        <f t="shared" si="0"/>
        <v>2.8335879744132136E-2</v>
      </c>
      <c r="F26" s="35">
        <f t="shared" ref="F26:F31" si="2">SUM(G26:I26)</f>
        <v>33568.78</v>
      </c>
      <c r="G26" s="35"/>
      <c r="H26" s="125">
        <v>33568.78</v>
      </c>
      <c r="I26" s="35"/>
      <c r="J26" s="122"/>
      <c r="N26" s="123"/>
      <c r="O26" s="123"/>
    </row>
    <row r="27" spans="1:15">
      <c r="A27" s="135"/>
      <c r="B27" s="135"/>
      <c r="C27" s="135"/>
      <c r="D27" s="121" t="s">
        <v>7485</v>
      </c>
      <c r="E27" s="122">
        <f t="shared" si="0"/>
        <v>5.653031973353006E-3</v>
      </c>
      <c r="F27" s="35">
        <f t="shared" si="2"/>
        <v>6697</v>
      </c>
      <c r="G27" s="35"/>
      <c r="H27" s="125">
        <v>6697</v>
      </c>
      <c r="I27" s="35"/>
      <c r="J27" s="122"/>
      <c r="O27" s="124"/>
    </row>
    <row r="28" spans="1:15">
      <c r="A28" s="135"/>
      <c r="B28" s="135"/>
      <c r="C28" s="135"/>
      <c r="D28" s="121" t="s">
        <v>7487</v>
      </c>
      <c r="E28" s="122">
        <f t="shared" si="0"/>
        <v>1.6100750079768775E-2</v>
      </c>
      <c r="F28" s="35">
        <f t="shared" si="2"/>
        <v>19074.14</v>
      </c>
      <c r="G28" s="35"/>
      <c r="H28" s="125">
        <v>19074.14</v>
      </c>
      <c r="I28" s="35"/>
      <c r="N28" s="123"/>
      <c r="O28" s="123"/>
    </row>
    <row r="29" spans="1:15">
      <c r="A29" s="135"/>
      <c r="B29" s="121" t="str">
        <f>"海外债券"&amp;" , "&amp;TEXT(SUM(E29:E29),"0.00%")</f>
        <v>海外债券 , 0.61%</v>
      </c>
      <c r="C29" s="121" t="str">
        <f>"美元债"&amp;" , "&amp;TEXT(SUM(E29:E29),"0.00%")</f>
        <v>美元债 , 0.61%</v>
      </c>
      <c r="D29" s="121" t="s">
        <v>7568</v>
      </c>
      <c r="E29" s="122">
        <f t="shared" si="0"/>
        <v>6.051496023378582E-3</v>
      </c>
      <c r="F29" s="35">
        <f t="shared" si="2"/>
        <v>7169.05</v>
      </c>
      <c r="G29" s="35"/>
      <c r="H29" s="125">
        <v>7169.05</v>
      </c>
      <c r="I29" s="35"/>
      <c r="O29" s="124"/>
    </row>
    <row r="30" spans="1:15">
      <c r="A30" s="135" t="str">
        <f>"现金"&amp;" , "&amp;TEXT(SUM(E30:E31),"0.00%")</f>
        <v>现金 , 14.34%</v>
      </c>
      <c r="B30" s="121" t="str">
        <f>"低风险理财"&amp;" , "&amp;TEXT(SUM(E30:E30),"0.00%")</f>
        <v>低风险理财 , 5.49%</v>
      </c>
      <c r="C30" s="121" t="str">
        <f>"货币基金"&amp;" , "&amp;TEXT(SUM(E30:E30),"0.00%")</f>
        <v>货币基金 , 5.49%</v>
      </c>
      <c r="D30" s="121" t="s">
        <v>7569</v>
      </c>
      <c r="E30" s="122">
        <f t="shared" si="0"/>
        <v>5.4905459223381275E-2</v>
      </c>
      <c r="F30" s="35">
        <f t="shared" si="2"/>
        <v>65045.07</v>
      </c>
      <c r="G30" s="35"/>
      <c r="H30" s="35">
        <f>64000+1045.07</f>
        <v>65045.07</v>
      </c>
      <c r="I30" s="35"/>
      <c r="N30" s="123"/>
      <c r="O30" s="123"/>
    </row>
    <row r="31" spans="1:15">
      <c r="A31" s="135"/>
      <c r="B31" s="121" t="str">
        <f>"中低风险理财"&amp;" , "&amp;TEXT(SUM(E31:E31),"0.00%")</f>
        <v>中低风险理财 , 8.85%</v>
      </c>
      <c r="C31" s="121" t="str">
        <f>"地产定期"&amp;" , "&amp;TEXT(SUM(E31:E31),"0.00%")</f>
        <v>地产定期 , 8.85%</v>
      </c>
      <c r="D31" s="121" t="s">
        <v>7441</v>
      </c>
      <c r="E31" s="122">
        <f t="shared" si="0"/>
        <v>8.8463155264655063E-2</v>
      </c>
      <c r="F31" s="35">
        <f t="shared" si="2"/>
        <v>104800</v>
      </c>
      <c r="G31" s="35"/>
      <c r="H31" s="35">
        <f>100000+4800</f>
        <v>104800</v>
      </c>
      <c r="I31" s="35"/>
      <c r="O31" s="124"/>
    </row>
    <row r="32" spans="1:15">
      <c r="A32" s="121" t="str">
        <f>"冻结资金"&amp;" , "&amp;TEXT(SUM(E32:E32),"0.00%")</f>
        <v>冻结资金 , 25.27%</v>
      </c>
      <c r="B32" s="121" t="str">
        <f>"住房公积金"&amp;" , "&amp;TEXT(SUM(E32:E32),"0.00%")</f>
        <v>住房公积金 , 25.27%</v>
      </c>
      <c r="C32" s="121" t="str">
        <f>"公积金"&amp;" , "&amp;TEXT(SUM(E32:E32),"0.00%")</f>
        <v>公积金 , 25.27%</v>
      </c>
      <c r="D32" s="121" t="s">
        <v>7570</v>
      </c>
      <c r="E32" s="122">
        <f t="shared" si="0"/>
        <v>0.25265130322772333</v>
      </c>
      <c r="F32" s="35">
        <f>K10</f>
        <v>299309.43</v>
      </c>
      <c r="G32" s="35"/>
      <c r="H32" s="35"/>
      <c r="I32" s="35"/>
      <c r="N32" s="123"/>
      <c r="O32" s="123"/>
    </row>
    <row r="33" spans="1:16">
      <c r="C33" s="119"/>
      <c r="D33" s="119" t="s">
        <v>7424</v>
      </c>
      <c r="E33" s="124">
        <f>SUM(E2:E32)</f>
        <v>0.99999999999999989</v>
      </c>
      <c r="F33" s="35">
        <f>SUM(F2:F32)</f>
        <v>1184674.0000000002</v>
      </c>
      <c r="H33" s="119"/>
      <c r="I33" s="119"/>
      <c r="O33" s="124"/>
    </row>
    <row r="34" spans="1:16">
      <c r="D34" s="119" t="s">
        <v>7442</v>
      </c>
      <c r="E34" s="127">
        <f>F33/$K$2-1</f>
        <v>-2.5716236204364806E-2</v>
      </c>
      <c r="H34" s="119"/>
      <c r="I34" s="119"/>
      <c r="N34" s="123"/>
      <c r="O34" s="123"/>
    </row>
    <row r="35" spans="1:16">
      <c r="P35" s="124"/>
    </row>
    <row r="36" spans="1:16">
      <c r="A36" s="128"/>
      <c r="O36" s="123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4"/>
    </row>
    <row r="38" spans="1:16">
      <c r="A38" s="119" t="str">
        <f>C2</f>
        <v>上证50 , 0.62%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7300.8</v>
      </c>
      <c r="D38" s="34">
        <f t="shared" ref="D38:D62" si="3">C38/B38-1</f>
        <v>0.13305056731678033</v>
      </c>
      <c r="E38" s="34">
        <f>B38/$K$2</f>
        <v>5.2991689605575336E-3</v>
      </c>
      <c r="F38" s="34">
        <f>(C38-B38)/$K$2</f>
        <v>7.0505743650965257E-4</v>
      </c>
      <c r="O38" s="123"/>
    </row>
    <row r="39" spans="1:16">
      <c r="A39" s="119" t="str">
        <f>C3</f>
        <v>沪深300 , 4.53%</v>
      </c>
      <c r="B39" s="35">
        <f>SUMIFS(交易明细!M:M,交易明细!M:M,"&lt;0",交易明细!C:C,"=300ETF")*-1 - SUMIFS(交易明细!M:M,交易明细!M:M,"&gt;0",交易明细!C:C,"=300ETF")</f>
        <v>51004.06</v>
      </c>
      <c r="C39" s="35">
        <f>F3+F4</f>
        <v>53649.79</v>
      </c>
      <c r="D39" s="34">
        <f t="shared" si="3"/>
        <v>5.1872929331508111E-2</v>
      </c>
      <c r="E39" s="34">
        <f t="shared" ref="E39:E61" si="4">B39/$K$2</f>
        <v>4.1946077609248109E-2</v>
      </c>
      <c r="F39" s="34">
        <f t="shared" ref="F39:F61" si="5">(C39-B39)/$K$2</f>
        <v>2.1758659195584848E-3</v>
      </c>
      <c r="P39" s="124"/>
    </row>
    <row r="40" spans="1:16">
      <c r="A40" s="119" t="str">
        <f>C5</f>
        <v>中证500 , 13.51%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159995.26</v>
      </c>
      <c r="D40" s="34">
        <f t="shared" si="3"/>
        <v>-0.11076846275824115</v>
      </c>
      <c r="E40" s="34">
        <f t="shared" si="4"/>
        <v>0.14797176964202505</v>
      </c>
      <c r="F40" s="34">
        <f t="shared" si="5"/>
        <v>-1.6390605454863687E-2</v>
      </c>
    </row>
    <row r="41" spans="1:16">
      <c r="A41" s="119" t="str">
        <f>C7</f>
        <v>中证1000 , 2.80%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33196.800000000003</v>
      </c>
      <c r="D41" s="34">
        <f t="shared" si="3"/>
        <v>-0.16377760083307857</v>
      </c>
      <c r="E41" s="34">
        <f t="shared" si="4"/>
        <v>3.2648334668908006E-2</v>
      </c>
      <c r="F41" s="34">
        <f t="shared" si="5"/>
        <v>-5.3470659232691779E-3</v>
      </c>
    </row>
    <row r="42" spans="1:16">
      <c r="A42" s="119" t="str">
        <f>C8</f>
        <v>创业板 , 1.66%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19613.7</v>
      </c>
      <c r="D42" s="34">
        <f t="shared" si="3"/>
        <v>1.791577855867299E-2</v>
      </c>
      <c r="E42" s="34">
        <f t="shared" si="4"/>
        <v>1.5846534118127479E-2</v>
      </c>
      <c r="F42" s="34">
        <f t="shared" si="5"/>
        <v>2.8390299618282654E-4</v>
      </c>
    </row>
    <row r="43" spans="1:16">
      <c r="A43" s="119" t="str">
        <f>C10</f>
        <v>中证红利 , 5.90%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69879.09</v>
      </c>
      <c r="D43" s="34">
        <f t="shared" si="3"/>
        <v>5.3665410132689884E-2</v>
      </c>
      <c r="E43" s="34">
        <f t="shared" si="4"/>
        <v>5.4542008362576125E-2</v>
      </c>
      <c r="F43" s="34">
        <f t="shared" si="5"/>
        <v>2.9270192482382519E-3</v>
      </c>
    </row>
    <row r="44" spans="1:16">
      <c r="A44" s="119" t="str">
        <f>C11</f>
        <v>养老产业 , 4.65%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55064.87</v>
      </c>
      <c r="D44" s="34">
        <f t="shared" si="3"/>
        <v>-5.3868213058419157E-2</v>
      </c>
      <c r="E44" s="34">
        <f t="shared" si="4"/>
        <v>4.786406644604841E-2</v>
      </c>
      <c r="F44" s="34">
        <f t="shared" si="5"/>
        <v>-2.578351729158069E-3</v>
      </c>
    </row>
    <row r="45" spans="1:16">
      <c r="A45" s="119" t="str">
        <f>C12</f>
        <v>全指医药 , 3.80%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45061.99</v>
      </c>
      <c r="D45" s="34">
        <f t="shared" si="3"/>
        <v>-7.7750998854300479E-2</v>
      </c>
      <c r="E45" s="34">
        <f t="shared" si="4"/>
        <v>4.0183594387268769E-2</v>
      </c>
      <c r="F45" s="34">
        <f t="shared" si="5"/>
        <v>-3.1243146011662088E-3</v>
      </c>
    </row>
    <row r="46" spans="1:16">
      <c r="A46" s="119" t="str">
        <f>C14</f>
        <v>中证传媒 , 2.47%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29243.25</v>
      </c>
      <c r="D46" s="34">
        <f t="shared" si="3"/>
        <v>-0.18814597201080618</v>
      </c>
      <c r="E46" s="34">
        <f t="shared" si="4"/>
        <v>2.962335856578335E-2</v>
      </c>
      <c r="F46" s="34">
        <f t="shared" si="5"/>
        <v>-5.5735155915839496E-3</v>
      </c>
    </row>
    <row r="47" spans="1:16">
      <c r="A47" s="119" t="str">
        <f>C15</f>
        <v>中证环保 , 3.34%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39623.58</v>
      </c>
      <c r="D47" s="34">
        <f t="shared" si="3"/>
        <v>-0.17545748922645865</v>
      </c>
      <c r="E47" s="34">
        <f t="shared" si="4"/>
        <v>3.9520940237115783E-2</v>
      </c>
      <c r="F47" s="34">
        <f t="shared" si="5"/>
        <v>-6.9342449458732608E-3</v>
      </c>
    </row>
    <row r="48" spans="1:16">
      <c r="A48" s="119" t="str">
        <f t="shared" ref="A48:A57" si="6">C17</f>
        <v>全指消费 , 0.00%</v>
      </c>
      <c r="B48" s="35">
        <f>SUMIFS(交易明细!M:M,交易明细!M:M,"&lt;0",交易明细!C:C,"=消费")*-1 - SUMIFS(交易明细!M:M,交易明细!M:M,"&gt;0",交易明细!C:C,"=消费")</f>
        <v>-3540.4400000000005</v>
      </c>
      <c r="C48" s="35">
        <f t="shared" ref="C48:C56" si="7">F17</f>
        <v>0</v>
      </c>
      <c r="D48" s="34">
        <f t="shared" si="3"/>
        <v>-1</v>
      </c>
      <c r="E48" s="34">
        <f t="shared" si="4"/>
        <v>-2.9116813644028809E-3</v>
      </c>
      <c r="F48" s="34">
        <f t="shared" si="5"/>
        <v>2.9116813644028809E-3</v>
      </c>
    </row>
    <row r="49" spans="1:6">
      <c r="A49" s="119" t="str">
        <f t="shared" si="6"/>
        <v>金融地产 , 1.82%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21532.18</v>
      </c>
      <c r="D49" s="34">
        <f t="shared" si="3"/>
        <v>0.12146770833333331</v>
      </c>
      <c r="E49" s="34">
        <f t="shared" si="4"/>
        <v>1.5790207487356177E-2</v>
      </c>
      <c r="F49" s="34">
        <f t="shared" si="5"/>
        <v>1.9180003175969964E-3</v>
      </c>
    </row>
    <row r="50" spans="1:6">
      <c r="A50" s="119" t="str">
        <f t="shared" si="6"/>
        <v>证券公司 , 2.47%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29266.5</v>
      </c>
      <c r="D50" s="34">
        <f t="shared" si="3"/>
        <v>0.14446905457975334</v>
      </c>
      <c r="E50" s="34">
        <f t="shared" si="4"/>
        <v>2.1030681286019304E-2</v>
      </c>
      <c r="F50" s="34">
        <f t="shared" si="5"/>
        <v>3.0382826425593193E-3</v>
      </c>
    </row>
    <row r="51" spans="1:6">
      <c r="A51" s="119" t="str">
        <f t="shared" si="6"/>
        <v>恒生 , 0.55%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6486.66</v>
      </c>
      <c r="D51" s="34">
        <f t="shared" si="3"/>
        <v>1.3540625000000084E-2</v>
      </c>
      <c r="E51" s="34">
        <f t="shared" si="4"/>
        <v>5.2634024957853923E-3</v>
      </c>
      <c r="F51" s="34">
        <f t="shared" si="5"/>
        <v>7.1269759419493963E-5</v>
      </c>
    </row>
    <row r="52" spans="1:6">
      <c r="A52" s="119" t="str">
        <f t="shared" si="6"/>
        <v>海外互联网 , 1.19%</v>
      </c>
      <c r="B52" s="35">
        <f>SUMIFS(交易明细!M:M,交易明细!M:M,"&lt;0",交易明细!C:C,"=海外互联网")*-1 - SUMIFS(交易明细!M:M,交易明细!M:M,"&gt;0",交易明细!C:C,"=海外互联网")</f>
        <v>19200</v>
      </c>
      <c r="C52" s="35">
        <f t="shared" si="7"/>
        <v>14142.61</v>
      </c>
      <c r="D52" s="34">
        <f t="shared" si="3"/>
        <v>-0.2634057291666666</v>
      </c>
      <c r="E52" s="34">
        <f t="shared" si="4"/>
        <v>1.5790207487356177E-2</v>
      </c>
      <c r="F52" s="34">
        <f t="shared" si="5"/>
        <v>-4.1592311169000125E-3</v>
      </c>
    </row>
    <row r="53" spans="1:6">
      <c r="A53" s="119" t="str">
        <f t="shared" si="6"/>
        <v>德国30 , 1.94%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23036.89</v>
      </c>
      <c r="D53" s="34">
        <f t="shared" si="3"/>
        <v>1.933141592920351E-2</v>
      </c>
      <c r="E53" s="34">
        <f t="shared" si="4"/>
        <v>1.8586390063242166E-2</v>
      </c>
      <c r="F53" s="34">
        <f t="shared" si="5"/>
        <v>3.5930123693494955E-4</v>
      </c>
    </row>
    <row r="54" spans="1:6">
      <c r="A54" s="119" t="str">
        <f t="shared" si="6"/>
        <v>原油 , 1.56%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18473.09</v>
      </c>
      <c r="D54" s="34">
        <f t="shared" si="3"/>
        <v>-3.7859895833333379E-2</v>
      </c>
      <c r="E54" s="34">
        <f t="shared" si="4"/>
        <v>1.5790207487356177E-2</v>
      </c>
      <c r="F54" s="34">
        <f t="shared" si="5"/>
        <v>-5.9781561065802482E-4</v>
      </c>
    </row>
    <row r="55" spans="1:6">
      <c r="A55" s="119" t="str">
        <f t="shared" si="6"/>
        <v>黄金 , 0.60%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7108.8</v>
      </c>
      <c r="D55" s="34">
        <f t="shared" si="3"/>
        <v>0.10335579219884239</v>
      </c>
      <c r="E55" s="34">
        <f t="shared" si="4"/>
        <v>5.298675516573554E-3</v>
      </c>
      <c r="F55" s="34">
        <f t="shared" si="5"/>
        <v>5.476488056200703E-4</v>
      </c>
    </row>
    <row r="56" spans="1:6">
      <c r="A56" s="119" t="str">
        <f t="shared" si="6"/>
        <v>白银 , 1.38%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16334.67</v>
      </c>
      <c r="D56" s="34">
        <f t="shared" si="3"/>
        <v>-1.7998612485466636E-2</v>
      </c>
      <c r="E56" s="34">
        <f t="shared" si="4"/>
        <v>1.367996139360062E-2</v>
      </c>
      <c r="F56" s="34">
        <f t="shared" si="5"/>
        <v>-2.4622032393956171E-4</v>
      </c>
    </row>
    <row r="57" spans="1:6">
      <c r="A57" s="119" t="str">
        <f t="shared" si="6"/>
        <v>可转债 , 5.01%</v>
      </c>
      <c r="B57" s="35">
        <f>SUMIFS(交易明细!M:M,交易明细!M:M,"&lt;0",交易明细!C:C,"=可转债")*-1 - SUMIFS(交易明细!M:M,交易明细!M:M,"&gt;0",交易明细!C:C,"=可转债")</f>
        <v>57600</v>
      </c>
      <c r="C57" s="35">
        <f>F26+F27+F28</f>
        <v>59339.92</v>
      </c>
      <c r="D57" s="34">
        <f t="shared" si="3"/>
        <v>3.0206944444444384E-2</v>
      </c>
      <c r="E57" s="34">
        <f t="shared" si="4"/>
        <v>4.737062246206853E-2</v>
      </c>
      <c r="F57" s="34">
        <f t="shared" si="5"/>
        <v>1.4309217610104547E-3</v>
      </c>
    </row>
    <row r="58" spans="1:6">
      <c r="A58" s="119" t="str">
        <f>C29</f>
        <v>美元债 , 0.61%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7169.05</v>
      </c>
      <c r="D58" s="34">
        <f t="shared" si="3"/>
        <v>0.39336886214510081</v>
      </c>
      <c r="E58" s="34">
        <f t="shared" si="4"/>
        <v>4.2313808514242704E-3</v>
      </c>
      <c r="F58" s="34">
        <f t="shared" si="5"/>
        <v>1.6644934708273337E-3</v>
      </c>
    </row>
    <row r="59" spans="1:6">
      <c r="A59" s="119" t="str">
        <f>C30</f>
        <v>货币基金 , 5.49%</v>
      </c>
      <c r="B59" s="117">
        <v>64000</v>
      </c>
      <c r="C59" s="35">
        <f>F30</f>
        <v>65045.07</v>
      </c>
      <c r="D59" s="34">
        <f t="shared" si="3"/>
        <v>1.632921874999993E-2</v>
      </c>
      <c r="E59" s="34">
        <f t="shared" si="4"/>
        <v>5.2634024957853923E-2</v>
      </c>
      <c r="F59" s="34">
        <f t="shared" si="5"/>
        <v>8.5947250722975593E-4</v>
      </c>
    </row>
    <row r="60" spans="1:6">
      <c r="A60" s="119" t="str">
        <f>C31</f>
        <v>地产定期 , 8.85%</v>
      </c>
      <c r="B60" s="119">
        <f>K6</f>
        <v>100000</v>
      </c>
      <c r="C60" s="35">
        <f>F31</f>
        <v>104800</v>
      </c>
      <c r="D60" s="34">
        <f t="shared" si="3"/>
        <v>4.8000000000000043E-2</v>
      </c>
      <c r="E60" s="34">
        <f t="shared" si="4"/>
        <v>8.2240663996646757E-2</v>
      </c>
      <c r="F60" s="34">
        <f t="shared" si="5"/>
        <v>3.9475518718390442E-3</v>
      </c>
    </row>
    <row r="61" spans="1:6">
      <c r="A61" s="119" t="str">
        <f>C32</f>
        <v>公积金 , 25.27%</v>
      </c>
      <c r="B61" s="119">
        <f>K10</f>
        <v>299309.43</v>
      </c>
      <c r="C61" s="35">
        <f>F32</f>
        <v>299309.43</v>
      </c>
      <c r="D61" s="34">
        <f t="shared" si="3"/>
        <v>0</v>
      </c>
      <c r="E61" s="34">
        <f t="shared" si="4"/>
        <v>0.2461540626365786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1211559.6000000001</v>
      </c>
      <c r="C62" s="81">
        <f>SUM(C37:C61)</f>
        <v>1184674.0000000002</v>
      </c>
      <c r="D62" s="80">
        <f t="shared" si="3"/>
        <v>-2.219090171048943E-2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7300.8</v>
      </c>
      <c r="D67" s="34">
        <f t="shared" ref="D67:D95" si="8">C67/$C$96</f>
        <v>9.5531462456519937E-3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32468.799999999999</v>
      </c>
      <c r="D68" s="34">
        <f t="shared" si="8"/>
        <v>4.2485644699324109E-2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21180.99</v>
      </c>
      <c r="D69" s="34">
        <f t="shared" si="8"/>
        <v>2.7715468866109528E-2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145994.70000000001</v>
      </c>
      <c r="D70" s="34">
        <f t="shared" si="8"/>
        <v>0.19103505371878277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14000.56</v>
      </c>
      <c r="D71" s="34">
        <f t="shared" si="8"/>
        <v>1.8319827580679581E-2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33196.800000000003</v>
      </c>
      <c r="D72" s="34">
        <f t="shared" si="8"/>
        <v>4.3438237629802229E-2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12539.6</v>
      </c>
      <c r="D73" s="34">
        <f t="shared" si="8"/>
        <v>1.6408151526131075E-2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7074.1</v>
      </c>
      <c r="D74" s="34">
        <f t="shared" si="8"/>
        <v>9.2565077602956899E-3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69879.09</v>
      </c>
      <c r="D75" s="34">
        <f t="shared" si="8"/>
        <v>9.1437262530555244E-2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55064.87</v>
      </c>
      <c r="D76" s="34">
        <f t="shared" si="8"/>
        <v>7.2052755329253662E-2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16142.4</v>
      </c>
      <c r="D77" s="34">
        <f t="shared" si="8"/>
        <v>2.1122439726579654E-2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28919.59</v>
      </c>
      <c r="D78" s="34">
        <f t="shared" si="8"/>
        <v>3.7841479376821023E-2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23733.599999999999</v>
      </c>
      <c r="D79" s="34">
        <f t="shared" si="8"/>
        <v>3.1055576339004787E-2</v>
      </c>
    </row>
    <row r="80" spans="1:4">
      <c r="A80" s="130" t="str">
        <f>基金成本!A16</f>
        <v>广发传媒</v>
      </c>
      <c r="B80" s="130" t="str">
        <f>基金成本!B16</f>
        <v>004752</v>
      </c>
      <c r="C80" s="35">
        <f>H14</f>
        <v>5509.65</v>
      </c>
      <c r="D80" s="34">
        <f t="shared" si="8"/>
        <v>7.2094143398472093E-3</v>
      </c>
    </row>
    <row r="81" spans="1:4">
      <c r="A81" s="119" t="str">
        <f>基金成本!A17</f>
        <v>环保ETF</v>
      </c>
      <c r="B81" s="119" t="str">
        <f>基金成本!B17</f>
        <v>512580</v>
      </c>
      <c r="C81" s="35">
        <f>G15</f>
        <v>23693.8</v>
      </c>
      <c r="D81" s="34">
        <f t="shared" si="8"/>
        <v>3.1003497769453922E-2</v>
      </c>
    </row>
    <row r="82" spans="1:4">
      <c r="A82" s="119" t="str">
        <f>基金成本!A18</f>
        <v>广发环保</v>
      </c>
      <c r="B82" s="119" t="str">
        <f>基金成本!B18</f>
        <v>001064</v>
      </c>
      <c r="C82" s="83">
        <f>H16+I16</f>
        <v>15929.779999999999</v>
      </c>
      <c r="D82" s="34">
        <f t="shared" si="8"/>
        <v>2.0844225016582046E-2</v>
      </c>
    </row>
    <row r="83" spans="1:4">
      <c r="A83" s="119" t="str">
        <f>基金成本!A19</f>
        <v>易方达消费</v>
      </c>
      <c r="B83" s="119" t="str">
        <f>基金成本!B19</f>
        <v>110022</v>
      </c>
      <c r="C83" s="35">
        <f>H17</f>
        <v>0</v>
      </c>
      <c r="D83" s="34">
        <f t="shared" si="8"/>
        <v>0</v>
      </c>
    </row>
    <row r="84" spans="1:4">
      <c r="A84" s="119" t="str">
        <f>基金成本!A20</f>
        <v>广发金融地产</v>
      </c>
      <c r="B84" s="119" t="str">
        <f>基金成本!B20</f>
        <v>001469</v>
      </c>
      <c r="C84" s="35">
        <f>H18</f>
        <v>21532.18</v>
      </c>
      <c r="D84" s="34">
        <f t="shared" si="8"/>
        <v>2.8175003359591135E-2</v>
      </c>
    </row>
    <row r="85" spans="1:4">
      <c r="A85" s="119" t="str">
        <f>基金成本!A21</f>
        <v>证券ETF</v>
      </c>
      <c r="B85" s="119" t="str">
        <f>基金成本!B21</f>
        <v>512880</v>
      </c>
      <c r="C85" s="35">
        <f>G19</f>
        <v>29266.5</v>
      </c>
      <c r="D85" s="34">
        <f t="shared" si="8"/>
        <v>3.8295413461315757E-2</v>
      </c>
    </row>
    <row r="86" spans="1:4">
      <c r="A86" s="119" t="str">
        <f>基金成本!A22</f>
        <v>华夏恒生ETF</v>
      </c>
      <c r="B86" s="119" t="str">
        <f>基金成本!B22</f>
        <v>000071</v>
      </c>
      <c r="C86" s="35">
        <f>H20</f>
        <v>6486.66</v>
      </c>
      <c r="D86" s="34">
        <f t="shared" si="8"/>
        <v>8.4878385417791139E-3</v>
      </c>
    </row>
    <row r="87" spans="1:4">
      <c r="A87" s="119" t="str">
        <f>基金成本!A23</f>
        <v>交银海外互联网</v>
      </c>
      <c r="B87" s="119" t="str">
        <f>基金成本!B23</f>
        <v>164906</v>
      </c>
      <c r="C87" s="35">
        <f>H21</f>
        <v>14142.61</v>
      </c>
      <c r="D87" s="34">
        <f t="shared" si="8"/>
        <v>1.8505700967732353E-2</v>
      </c>
    </row>
    <row r="88" spans="1:4">
      <c r="A88" s="119" t="str">
        <f>基金成本!A24</f>
        <v>华安德国30</v>
      </c>
      <c r="B88" s="119" t="str">
        <f>基金成本!B24</f>
        <v>000614</v>
      </c>
      <c r="C88" s="35">
        <f>H22</f>
        <v>23036.89</v>
      </c>
      <c r="D88" s="34">
        <f t="shared" si="8"/>
        <v>3.0143926585442411E-2</v>
      </c>
    </row>
    <row r="89" spans="1:4">
      <c r="A89" s="119" t="str">
        <f>基金成本!A25</f>
        <v>华宝油气</v>
      </c>
      <c r="B89" s="119" t="str">
        <f>基金成本!B25</f>
        <v>162411</v>
      </c>
      <c r="C89" s="35">
        <f>H23</f>
        <v>18473.09</v>
      </c>
      <c r="D89" s="34">
        <f t="shared" si="8"/>
        <v>2.4172163376491806E-2</v>
      </c>
    </row>
    <row r="90" spans="1:4">
      <c r="A90" s="119" t="str">
        <f>基金成本!A26</f>
        <v>黄金ETF</v>
      </c>
      <c r="B90" s="119" t="str">
        <f>基金成本!B26</f>
        <v>518880</v>
      </c>
      <c r="C90" s="35">
        <f>G24</f>
        <v>7108.8</v>
      </c>
      <c r="D90" s="34">
        <f t="shared" si="8"/>
        <v>9.3019129453061171E-3</v>
      </c>
    </row>
    <row r="91" spans="1:4">
      <c r="A91" s="119" t="str">
        <f>基金成本!A27</f>
        <v>兴全可转债</v>
      </c>
      <c r="B91" s="119">
        <f>基金成本!B27</f>
        <v>340001</v>
      </c>
      <c r="C91" s="35">
        <f>H26</f>
        <v>33568.78</v>
      </c>
      <c r="D91" s="34">
        <f t="shared" si="8"/>
        <v>4.3924975979086914E-2</v>
      </c>
    </row>
    <row r="92" spans="1:4">
      <c r="A92" s="119" t="str">
        <f>基金成本!A28</f>
        <v>易方达安心债</v>
      </c>
      <c r="B92" s="119">
        <f>基金成本!B28</f>
        <v>110027</v>
      </c>
      <c r="C92" s="35">
        <f>H28</f>
        <v>19074.14</v>
      </c>
      <c r="D92" s="34">
        <f t="shared" si="8"/>
        <v>2.495864137218394E-2</v>
      </c>
    </row>
    <row r="93" spans="1:4">
      <c r="A93" s="119" t="str">
        <f>基金成本!A29</f>
        <v>长信可转债</v>
      </c>
      <c r="B93" s="119">
        <f>基金成本!B29</f>
        <v>519977</v>
      </c>
      <c r="C93" s="35">
        <f>H27</f>
        <v>6697</v>
      </c>
      <c r="D93" s="34">
        <f t="shared" si="8"/>
        <v>8.763069856335114E-3</v>
      </c>
    </row>
    <row r="94" spans="1:4">
      <c r="A94" s="119" t="str">
        <f>基金成本!A30</f>
        <v>华夏海外债</v>
      </c>
      <c r="B94" s="119" t="str">
        <f>基金成本!B30</f>
        <v>001061</v>
      </c>
      <c r="C94" s="35">
        <f>H29</f>
        <v>7169.05</v>
      </c>
      <c r="D94" s="34">
        <f t="shared" si="8"/>
        <v>9.3807504783573626E-3</v>
      </c>
    </row>
    <row r="95" spans="1:4">
      <c r="A95" s="119" t="s">
        <v>7440</v>
      </c>
      <c r="B95" s="119" t="s">
        <v>7492</v>
      </c>
      <c r="C95" s="35">
        <f>C59</f>
        <v>65045.07</v>
      </c>
      <c r="D95" s="34">
        <f t="shared" si="8"/>
        <v>8.5111914621503276E-2</v>
      </c>
    </row>
    <row r="96" spans="1:4">
      <c r="C96" s="35">
        <f>SUM(C67:C95)</f>
        <v>764229.90000000014</v>
      </c>
      <c r="D96" s="84">
        <f>SUM(D67:D95)</f>
        <v>0.99999999999999978</v>
      </c>
    </row>
  </sheetData>
  <mergeCells count="15"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  <mergeCell ref="A30:A31"/>
    <mergeCell ref="A23:A25"/>
    <mergeCell ref="C26:C28"/>
    <mergeCell ref="B26:B28"/>
    <mergeCell ref="A26:A2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9"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6.3755074999999994E-2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4.5025412500000001E-2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-4.4255500000000003E-3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2.4E-2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7.1999999999999995E-2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6.3755074999999994E-2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5.2627196808920036E-2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-4.4255500000000003E-3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-3.30237648692227E-3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2.4E-2</v>
      </c>
      <c r="L50" s="108"/>
      <c r="M50" s="108"/>
      <c r="N50" s="108">
        <v>11419.48</v>
      </c>
      <c r="O50" s="108"/>
      <c r="P50" s="109">
        <f t="shared" si="42"/>
        <v>2.4E-2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7.1999999999999995E-2</v>
      </c>
      <c r="L55" s="108"/>
      <c r="M55" s="108"/>
      <c r="N55" s="108"/>
      <c r="O55" s="108"/>
      <c r="P55" s="109">
        <f t="shared" si="42"/>
        <v>7.1999999999999995E-2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0.93531271250000003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0.75249751318973357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6.3755074999999994E-2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0.18076740056611101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-4.4255500000000003E-3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-1.1229661091704703E-2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2.4E-2</v>
      </c>
      <c r="L75" s="108"/>
      <c r="M75" s="108"/>
      <c r="N75" s="108">
        <v>11419.48</v>
      </c>
      <c r="O75" s="108"/>
      <c r="P75" s="109">
        <f t="shared" si="87"/>
        <v>2.4E-2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7.1999999999999995E-2</v>
      </c>
      <c r="L80" s="108"/>
      <c r="M80" s="108"/>
      <c r="N80" s="108"/>
      <c r="O80" s="108"/>
      <c r="P80" s="109">
        <f t="shared" si="87"/>
        <v>7.1999999999999995E-2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0.93531271250000003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2.3676699152385505</v>
      </c>
    </row>
    <row r="83" spans="1:16">
      <c r="P83" s="108" t="s">
        <v>7540</v>
      </c>
    </row>
    <row r="84" spans="1:16">
      <c r="P84" s="114">
        <f>P82*0.7</f>
        <v>1.6573689406669854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0.1222</v>
      </c>
      <c r="D2" s="35">
        <f>交易明细!X14</f>
        <v>8.6939985218033993</v>
      </c>
      <c r="E2" s="86">
        <v>14.95</v>
      </c>
      <c r="F2" s="34">
        <f t="shared" ref="F2:F15" si="0">$E2*$K$4/$D2-1</f>
        <v>-0.48412689641570417</v>
      </c>
      <c r="G2" s="34">
        <f t="shared" ref="G2:G15" si="1">$E2*$K$6/$D2-1</f>
        <v>-0.14021149402617361</v>
      </c>
      <c r="H2" s="34">
        <f t="shared" ref="H2:H15" si="2">$E2*$K$8/$D2-1</f>
        <v>0.20370390836335672</v>
      </c>
      <c r="I2" s="34">
        <f t="shared" ref="I2:I15" si="3">$E2*$K$10/$D2-1</f>
        <v>0.71957701194765278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6.3755074999999994E-2</v>
      </c>
      <c r="C3" s="34">
        <f>交易明细!W15</f>
        <v>0.1183</v>
      </c>
      <c r="D3" s="35">
        <f>交易明细!X15</f>
        <v>11.838678121884824</v>
      </c>
      <c r="E3" s="35">
        <v>19</v>
      </c>
      <c r="F3" s="34">
        <f t="shared" si="0"/>
        <v>-0.51852732701102366</v>
      </c>
      <c r="G3" s="34">
        <f t="shared" si="1"/>
        <v>-0.19754554501837285</v>
      </c>
      <c r="H3" s="34">
        <f t="shared" si="2"/>
        <v>0.12343623697427786</v>
      </c>
      <c r="I3" s="34">
        <f t="shared" si="3"/>
        <v>0.6049089099632543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7.6499999999999999E-2</v>
      </c>
      <c r="D4" s="35">
        <f>交易明细!X17</f>
        <v>25.536349203703217</v>
      </c>
      <c r="E4" s="35">
        <v>83.24</v>
      </c>
      <c r="F4" s="34">
        <f t="shared" si="0"/>
        <v>-2.2099838908115288E-2</v>
      </c>
      <c r="G4" s="34">
        <f t="shared" si="1"/>
        <v>0.62983360181980785</v>
      </c>
      <c r="H4" s="34">
        <f t="shared" si="2"/>
        <v>1.281767042547731</v>
      </c>
      <c r="I4" s="34">
        <f t="shared" si="3"/>
        <v>2.2596672036396157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5.1999999999999998E-2</v>
      </c>
      <c r="D5" s="35">
        <f>交易明细!X19</f>
        <v>39.291588871606947</v>
      </c>
      <c r="E5" s="35">
        <v>144.82</v>
      </c>
      <c r="F5" s="34">
        <f t="shared" si="0"/>
        <v>0.10573283615402818</v>
      </c>
      <c r="G5" s="34">
        <f t="shared" si="1"/>
        <v>0.84288806025671348</v>
      </c>
      <c r="H5" s="34">
        <f t="shared" si="2"/>
        <v>1.580043284359399</v>
      </c>
      <c r="I5" s="34">
        <f t="shared" si="3"/>
        <v>2.685776120513427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7.5800000000000006E-2</v>
      </c>
      <c r="D6" s="35">
        <f>交易明细!X20</f>
        <v>47.897861464847452</v>
      </c>
      <c r="E6" s="35">
        <v>137.86000000000001</v>
      </c>
      <c r="F6" s="34">
        <f t="shared" si="0"/>
        <v>-0.13653765042614885</v>
      </c>
      <c r="G6" s="34">
        <f t="shared" si="1"/>
        <v>0.43910391595641851</v>
      </c>
      <c r="H6" s="34">
        <f t="shared" si="2"/>
        <v>1.0147454823389861</v>
      </c>
      <c r="I6" s="34">
        <f t="shared" si="3"/>
        <v>1.878207831912837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0.1255</v>
      </c>
      <c r="D7" s="35">
        <f>交易明细!X13</f>
        <v>10.137035354284892</v>
      </c>
      <c r="E7" s="35">
        <v>21.73</v>
      </c>
      <c r="F7" s="34">
        <f t="shared" si="0"/>
        <v>-0.35691257136195742</v>
      </c>
      <c r="G7" s="34">
        <f t="shared" si="1"/>
        <v>7.1812381063404374E-2</v>
      </c>
      <c r="H7" s="34">
        <f t="shared" si="2"/>
        <v>0.50053733348876572</v>
      </c>
      <c r="I7" s="34">
        <f t="shared" si="3"/>
        <v>1.1436247621268087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0.1176</v>
      </c>
      <c r="D8" s="35">
        <f>交易明细!X24</f>
        <v>23.553920770824494</v>
      </c>
      <c r="E8" s="35">
        <v>52.47</v>
      </c>
      <c r="F8" s="34">
        <f t="shared" si="0"/>
        <v>-0.33170361940344617</v>
      </c>
      <c r="G8" s="34">
        <f t="shared" si="1"/>
        <v>0.11382730099425631</v>
      </c>
      <c r="H8" s="34">
        <f t="shared" si="2"/>
        <v>0.55935822139195879</v>
      </c>
      <c r="I8" s="34">
        <f t="shared" si="3"/>
        <v>1.2276546019885126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0.107</v>
      </c>
      <c r="D9" s="35">
        <f>交易明细!X22</f>
        <v>28.977759395811386</v>
      </c>
      <c r="E9" s="35">
        <v>74.42</v>
      </c>
      <c r="F9" s="34">
        <f t="shared" si="0"/>
        <v>-0.22954705727775726</v>
      </c>
      <c r="G9" s="34">
        <f t="shared" si="1"/>
        <v>0.2840882378704046</v>
      </c>
      <c r="H9" s="34">
        <f t="shared" si="2"/>
        <v>0.79772353301856636</v>
      </c>
      <c r="I9" s="34">
        <f t="shared" si="3"/>
        <v>1.5681764757408092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4.5025412500000001E-2</v>
      </c>
      <c r="C10" s="34">
        <f>交易明细!W28</f>
        <v>5.7299999999999997E-2</v>
      </c>
      <c r="D10" s="35">
        <f>交易明细!X28</f>
        <v>38.909455380899374</v>
      </c>
      <c r="E10" s="35">
        <v>121.16</v>
      </c>
      <c r="F10" s="34">
        <f t="shared" si="0"/>
        <v>-6.5831180514461574E-2</v>
      </c>
      <c r="G10" s="34">
        <f t="shared" si="1"/>
        <v>0.5569480324758973</v>
      </c>
      <c r="H10" s="34">
        <f t="shared" si="2"/>
        <v>1.1797272454662564</v>
      </c>
      <c r="I10" s="34">
        <f t="shared" si="3"/>
        <v>2.1138960649517946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7.2099999999999997E-2</v>
      </c>
      <c r="D11" s="35">
        <f>交易明细!X26</f>
        <v>32.035844850842345</v>
      </c>
      <c r="E11" s="35">
        <v>71.13</v>
      </c>
      <c r="F11" s="34">
        <f t="shared" si="0"/>
        <v>-0.33390238030701058</v>
      </c>
      <c r="G11" s="34">
        <f t="shared" si="1"/>
        <v>0.11016269948831581</v>
      </c>
      <c r="H11" s="34">
        <f t="shared" si="2"/>
        <v>0.55422777928364209</v>
      </c>
      <c r="I11" s="34">
        <f t="shared" si="3"/>
        <v>1.2203253989766316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交易明细!Z30</f>
        <v>-4.4255500000000003E-3</v>
      </c>
      <c r="C12" s="34">
        <f>交易明细!W30</f>
        <v>0.182</v>
      </c>
      <c r="D12" s="35">
        <f>交易明细!X30</f>
        <v>56.132702627845646</v>
      </c>
      <c r="E12" s="35">
        <v>41.41</v>
      </c>
      <c r="F12" s="34">
        <f t="shared" si="0"/>
        <v>-0.77868516179662184</v>
      </c>
      <c r="G12" s="34">
        <f t="shared" si="1"/>
        <v>-0.6311419363277031</v>
      </c>
      <c r="H12" s="34">
        <f t="shared" si="2"/>
        <v>-0.48359871085878436</v>
      </c>
      <c r="I12" s="34">
        <f t="shared" si="3"/>
        <v>-0.26228387265540609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交易明细!Z31</f>
        <v>2.4E-2</v>
      </c>
      <c r="C13" s="34">
        <f>C2</f>
        <v>0.1222</v>
      </c>
      <c r="D13" s="35">
        <f>交易明细!Y31</f>
        <v>0.96393945350894439</v>
      </c>
      <c r="E13" s="35">
        <v>3.5</v>
      </c>
      <c r="F13" s="34">
        <f t="shared" si="0"/>
        <v>8.9280033281942117E-2</v>
      </c>
      <c r="G13" s="34">
        <f t="shared" si="1"/>
        <v>0.81546672213657012</v>
      </c>
      <c r="H13" s="34">
        <f t="shared" si="2"/>
        <v>1.5416534109911977</v>
      </c>
      <c r="I13" s="34">
        <f t="shared" si="3"/>
        <v>2.6309334442731402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1.3547237400943073</v>
      </c>
      <c r="E14" s="86">
        <v>5.04</v>
      </c>
      <c r="F14" s="34">
        <f t="shared" si="0"/>
        <v>0.1160947101249914</v>
      </c>
      <c r="G14" s="34">
        <f t="shared" si="1"/>
        <v>0.86015785020831892</v>
      </c>
      <c r="H14" s="34">
        <f t="shared" si="2"/>
        <v>1.6042209902916462</v>
      </c>
      <c r="I14" s="34">
        <f t="shared" si="3"/>
        <v>2.7203157004166378</v>
      </c>
      <c r="P14" s="34"/>
      <c r="Q14" s="34"/>
      <c r="R14" s="35"/>
    </row>
    <row r="15" spans="1:23">
      <c r="A15" s="102" t="s">
        <v>7437</v>
      </c>
      <c r="B15" s="85">
        <f>交易明细!Z33</f>
        <v>8.0000000000000002E-3</v>
      </c>
      <c r="C15" s="34">
        <v>0.1116</v>
      </c>
      <c r="D15" s="35">
        <f>交易明细!X33</f>
        <v>9.568797227507476</v>
      </c>
      <c r="E15" s="35">
        <v>14.46</v>
      </c>
      <c r="F15" s="34">
        <f t="shared" si="0"/>
        <v>-0.54665148640316819</v>
      </c>
      <c r="G15" s="34">
        <f t="shared" si="1"/>
        <v>-0.2444191440052802</v>
      </c>
      <c r="H15" s="34">
        <f t="shared" si="2"/>
        <v>5.7813198392607568E-2</v>
      </c>
      <c r="I15" s="34">
        <f t="shared" si="3"/>
        <v>0.5111617119894396</v>
      </c>
      <c r="P15" s="34"/>
      <c r="Q15" s="34"/>
    </row>
    <row r="16" spans="1:23">
      <c r="A16" s="102" t="s">
        <v>7305</v>
      </c>
      <c r="B16" s="85">
        <f>交易明细!Z34</f>
        <v>2.4E-2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交易明细!Z32</f>
        <v>2.8250000000000001E-2</v>
      </c>
      <c r="C17" s="34">
        <f>交易明细!U32 / 交易明细!S32</f>
        <v>9.5984943538268516E-2</v>
      </c>
      <c r="D17" s="35">
        <f>交易明细!X32</f>
        <v>15.749751141169229</v>
      </c>
      <c r="E17" s="86">
        <v>24.7</v>
      </c>
      <c r="F17" s="34">
        <f>$E17*$K$4/$D17-1</f>
        <v>-0.52951637561875176</v>
      </c>
      <c r="G17" s="34">
        <f>$E17*$K$6/$D17-1</f>
        <v>-0.21586062603125289</v>
      </c>
      <c r="H17" s="34">
        <f>$E17*$K$8/$D17-1</f>
        <v>9.7795123556245978E-2</v>
      </c>
      <c r="I17" s="34">
        <f>$E17*$K$10/$D17-1</f>
        <v>0.56827874793749422</v>
      </c>
    </row>
    <row r="18" spans="1:16">
      <c r="A18" s="104" t="s">
        <v>7310</v>
      </c>
      <c r="B18" s="85">
        <f>交易明细!Z40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交易明细!Z37</f>
        <v>7.1999999999999995E-2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交易明细!Z36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9.3533474999999977E-2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7.180943749999999E-2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0.29046027499999999</v>
      </c>
      <c r="F25" s="92">
        <f>SUM(B15:B17)</f>
        <v>6.0249999999999998E-2</v>
      </c>
      <c r="G25" s="34">
        <f>SUM(B19:B19)</f>
        <v>7.1999999999999995E-2</v>
      </c>
      <c r="H25" s="34">
        <f>SUM(B18:B18)</f>
        <v>2.4E-2</v>
      </c>
      <c r="I25" s="34">
        <f>SUM(B20:B21)</f>
        <v>9.9964874999999981E-2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-4.6990562500000013E-2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6.0602750000000039E-3</v>
      </c>
      <c r="F27" s="92">
        <f t="shared" si="4"/>
        <v>-4.8850000000000005E-2</v>
      </c>
      <c r="G27" s="92">
        <f t="shared" si="4"/>
        <v>3.2099999999999997E-2</v>
      </c>
      <c r="H27" s="92">
        <f t="shared" si="4"/>
        <v>-1.4999999999999979E-3</v>
      </c>
      <c r="I27" s="92">
        <f t="shared" si="4"/>
        <v>-3.973512500000001E-2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-0.10633782385910517</v>
      </c>
      <c r="D30" s="34">
        <f>($B30/$D$2)^(1/$D$29)-1+$C$2*$K$2</f>
        <v>-3.2340981849323547E-2</v>
      </c>
      <c r="E30" s="34">
        <f>($B30/$D$2)^(1/$E$29)-1+$C$2*$K$2</f>
        <v>1.4264650641800936E-3</v>
      </c>
      <c r="F30" s="34">
        <f>($B30/$D$2)^(1/$F$29)-1+$C$2*$K$2</f>
        <v>2.7603534183549328E-2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-4.7736040766122985E-2</v>
      </c>
      <c r="K30" s="96">
        <f t="shared" si="5"/>
        <v>4.8326115145766395E-2</v>
      </c>
      <c r="L30" s="96">
        <f t="shared" si="5"/>
        <v>9.2255758175489658E-2</v>
      </c>
      <c r="M30" s="96">
        <f t="shared" si="5"/>
        <v>0.12634967054238469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4.2540579811684576E-2</v>
      </c>
      <c r="D31" s="34">
        <f>($B31/$D$2)^(1/$D$29)-1+$C$2*$K$2</f>
        <v>6.1888104885669648E-2</v>
      </c>
      <c r="E31" s="34">
        <f>($B31/$D$2)^(1/$E$29)-1+$C$2*$K$2</f>
        <v>7.0299945890486049E-2</v>
      </c>
      <c r="F31" s="34">
        <f>($B31/$D$2)^(1/$F$29)-1+$C$2*$K$2</f>
        <v>7.6656652203765385E-2</v>
      </c>
      <c r="H31" s="86" t="s">
        <v>7513</v>
      </c>
      <c r="I31" s="95">
        <f>K6</f>
        <v>0.5</v>
      </c>
      <c r="J31" s="96">
        <f t="shared" si="5"/>
        <v>0.22303261259849624</v>
      </c>
      <c r="K31" s="96">
        <f t="shared" si="5"/>
        <v>0.2155595690736371</v>
      </c>
      <c r="L31" s="96">
        <f t="shared" si="5"/>
        <v>0.21327804305969336</v>
      </c>
      <c r="M31" s="96">
        <f t="shared" si="5"/>
        <v>0.21192038076475675</v>
      </c>
    </row>
    <row r="32" spans="1:16">
      <c r="B32" s="35">
        <f>E$2*$K$8</f>
        <v>10.464999999999998</v>
      </c>
      <c r="C32" s="34">
        <f>($B32/$D$2)^(1/$C$29)-1+$C$2*$K$2</f>
        <v>0.15540077676469921</v>
      </c>
      <c r="D32" s="34">
        <f>($B32/$D$2)^(1/$D$29)-1+$C$2*$K$2</f>
        <v>0.12942674390953979</v>
      </c>
      <c r="E32" s="34">
        <f>($B32/$D$2)^(1/$E$29)-1+$C$2*$K$2</f>
        <v>0.11849007579627124</v>
      </c>
      <c r="F32" s="34">
        <f>($B32/$D$2)^(1/$F$29)-1+$C$2*$K$2</f>
        <v>0.11036327855758299</v>
      </c>
      <c r="H32" s="86" t="s">
        <v>7514</v>
      </c>
      <c r="I32" s="95">
        <f>K8</f>
        <v>0.7</v>
      </c>
      <c r="J32" s="96">
        <f t="shared" si="5"/>
        <v>0.42829410650198879</v>
      </c>
      <c r="K32" s="96">
        <f t="shared" si="5"/>
        <v>0.33542404265507392</v>
      </c>
      <c r="L32" s="96">
        <f t="shared" si="5"/>
        <v>0.29795620307273024</v>
      </c>
      <c r="M32" s="96">
        <f t="shared" si="5"/>
        <v>0.27071990407146296</v>
      </c>
    </row>
    <row r="33" spans="1:13">
      <c r="B33" s="35">
        <f>E$2*$K$10</f>
        <v>14.95</v>
      </c>
      <c r="C33" s="34">
        <f>($B33/$D$2)^(1/$C$29)-1+$C$2*$K$2</f>
        <v>0.28969705765148235</v>
      </c>
      <c r="D33" s="34">
        <f>($B33/$D$2)^(1/$D$29)-1+$C$2*$K$2</f>
        <v>0.20616091503760936</v>
      </c>
      <c r="E33" s="34">
        <f>($B33/$D$2)^(1/$E$29)-1+$C$2*$K$2</f>
        <v>0.17216714281512946</v>
      </c>
      <c r="F33" s="34">
        <f>($B33/$D$2)^(1/$F$29)-1+$C$2*$K$2</f>
        <v>0.14735399025371199</v>
      </c>
      <c r="I33" s="95">
        <f>K10</f>
        <v>1</v>
      </c>
      <c r="J33" s="96">
        <f t="shared" si="5"/>
        <v>0.67254191028687993</v>
      </c>
      <c r="K33" s="96">
        <f t="shared" si="5"/>
        <v>0.4716083241405683</v>
      </c>
      <c r="L33" s="96">
        <f t="shared" si="5"/>
        <v>0.39227583406230521</v>
      </c>
      <c r="M33" s="96">
        <f t="shared" si="5"/>
        <v>0.33524834995260439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-0.12750155041519645</v>
      </c>
      <c r="D35" s="34">
        <f>($B35/$D$3)^(1/$D$29)-1+$C$3*$K$2</f>
        <v>-4.7273834010665483E-2</v>
      </c>
      <c r="E35" s="34">
        <f>($B35/$D$3)^(1/$E$29)-1+$C$3*$K$2</f>
        <v>-1.0423736856650934E-2</v>
      </c>
      <c r="F35" s="34">
        <f>($B35/$D$3)^(1/$F$29)-1+$C$3*$K$2</f>
        <v>1.8241630291967625E-2</v>
      </c>
      <c r="I35" s="97" t="s">
        <v>7521</v>
      </c>
    </row>
    <row r="36" spans="1:13">
      <c r="A36" s="85">
        <f>B3</f>
        <v>6.3755074999999994E-2</v>
      </c>
      <c r="B36" s="35">
        <f>$E$3*$K$6</f>
        <v>9.5</v>
      </c>
      <c r="C36" s="34">
        <f>($B36/$D$3)^(1/$C$29)-1+$C$3*$K$2</f>
        <v>1.7991178355089066E-2</v>
      </c>
      <c r="D36" s="34">
        <f>($B36/$D$3)^(1/$D$29)-1+$C$3*$K$2</f>
        <v>4.5663611977065977E-2</v>
      </c>
      <c r="E36" s="34">
        <f>($B36/$D$3)^(1/$E$29)-1+$C$3*$K$2</f>
        <v>5.7774072805395982E-2</v>
      </c>
      <c r="F36" s="34">
        <f>($B36/$D$3)^(1/$F$29)-1+$C$3*$K$2</f>
        <v>6.695739160082298E-2</v>
      </c>
    </row>
    <row r="37" spans="1:13">
      <c r="B37" s="35">
        <f>$E$3*$K$8</f>
        <v>13.299999999999999</v>
      </c>
      <c r="C37" s="34">
        <f>($B37/$D$3)^(1/$C$29)-1+$C$3*$K$2</f>
        <v>0.12828479797607711</v>
      </c>
      <c r="D37" s="34">
        <f>($B37/$D$3)^(1/$D$29)-1+$C$3*$K$2</f>
        <v>0.11227646830261545</v>
      </c>
      <c r="E37" s="34">
        <f>($B37/$D$3)^(1/$E$29)-1+$C$3*$K$2</f>
        <v>0.10549144192156273</v>
      </c>
      <c r="F37" s="34">
        <f>($B37/$D$3)^(1/$F$29)-1+$C$3*$K$2</f>
        <v>0.10043220482885534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0.25952701906494019</v>
      </c>
      <c r="D38" s="34">
        <f>($B38/$D$3)^(1/$D$29)-1+$C$3*$K$2</f>
        <v>0.18795880941120174</v>
      </c>
      <c r="E38" s="34">
        <f>($B38/$D$3)^(1/$E$29)-1+$C$3*$K$2</f>
        <v>0.15864191951976842</v>
      </c>
      <c r="F38" s="34">
        <f>($B38/$D$3)^(1/$F$29)-1+$C$3*$K$2</f>
        <v>0.13716851751117326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4.995344379261539E-2</v>
      </c>
      <c r="D40" s="34">
        <f>($B40/$D$4)^(1/$D$29)-1+$C$4*$K$2</f>
        <v>5.2915433742100768E-2</v>
      </c>
      <c r="E40" s="34">
        <f>($B40/$D$4)^(1/$E$29)-1+$C$4*$K$2</f>
        <v>5.4187562281231491E-2</v>
      </c>
      <c r="F40" s="34">
        <f>($B40/$D$4)^(1/$F$29)-1+$C$4*$K$2</f>
        <v>5.5142725345984897E-2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0.23420687363570664</v>
      </c>
      <c r="D41" s="34">
        <f>($B41/$D$4)^(1/$D$29)-1+$C$4*$K$2</f>
        <v>0.16000207775555514</v>
      </c>
      <c r="E41" s="34">
        <f>($B41/$D$4)^(1/$E$29)-1+$C$4*$K$2</f>
        <v>0.12965000116818831</v>
      </c>
      <c r="F41" s="34">
        <f>($B41/$D$4)^(1/$F$29)-1+$C$4*$K$2</f>
        <v>0.10743551147329371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0.37388380372519664</v>
      </c>
      <c r="D42" s="34">
        <f>($B42/$D$4)^(1/$D$29)-1+$C$4*$K$2</f>
        <v>0.23675636292275387</v>
      </c>
      <c r="E42" s="34">
        <f>($B42/$D$4)^(1/$E$29)-1+$C$4*$K$2</f>
        <v>0.18245036335898474</v>
      </c>
      <c r="F42" s="34">
        <f>($B42/$D$4)^(1/$F$29)-1+$C$4*$K$2</f>
        <v>0.14336826099325034</v>
      </c>
    </row>
    <row r="43" spans="1:13">
      <c r="B43" s="86">
        <f>$E$4*$K$10</f>
        <v>83.24</v>
      </c>
      <c r="C43" s="34">
        <f>($B43/$D$4)^(1/$C$29)-1+$C$4*$K$2</f>
        <v>0.54009024978084996</v>
      </c>
      <c r="D43" s="34">
        <f>($B43/$D$4)^(1/$D$29)-1+$C$4*$K$2</f>
        <v>0.32396091039299396</v>
      </c>
      <c r="E43" s="34">
        <f>($B43/$D$4)^(1/$E$29)-1+$C$4*$K$2</f>
        <v>0.2412625845643715</v>
      </c>
      <c r="F43" s="34">
        <f>($B43/$D$4)^(1/$F$29)-1+$C$4*$K$2</f>
        <v>0.182801990254363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7.3070309920158477E-2</v>
      </c>
      <c r="D45" s="34">
        <f>($B45/$D$5)^(1/$D$29)-1+$C$5*$K$2</f>
        <v>5.9305062086832581E-2</v>
      </c>
      <c r="E45" s="34">
        <f>($B45/$D$5)^(1/$E$29)-1+$C$5*$K$2</f>
        <v>5.3461906718889139E-2</v>
      </c>
      <c r="F45" s="34">
        <f>($B45/$D$5)^(1/$F$29)-1+$C$5*$K$2</f>
        <v>4.9101510783363077E-2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0.26502592057565849</v>
      </c>
      <c r="D46" s="34">
        <f>($B46/$D$5)^(1/$D$29)-1+$C$5*$K$2</f>
        <v>0.16905554661323249</v>
      </c>
      <c r="E46" s="34">
        <f>($B46/$D$5)^(1/$E$29)-1+$C$5*$K$2</f>
        <v>0.13026046698554991</v>
      </c>
      <c r="F46" s="34">
        <f>($B46/$D$5)^(1/$F$29)-1+$C$5*$K$2</f>
        <v>0.10204070788151495</v>
      </c>
    </row>
    <row r="47" spans="1:13">
      <c r="B47" s="86">
        <f>$E$5*$K$8</f>
        <v>101.374</v>
      </c>
      <c r="C47" s="34">
        <f>($B47/$D$5)^(1/$C$29)-1+$C$5*$K$2</f>
        <v>0.41054164005315391</v>
      </c>
      <c r="D47" s="34">
        <f>($B47/$D$5)^(1/$D$29)-1+$C$5*$K$2</f>
        <v>0.24771913780317764</v>
      </c>
      <c r="E47" s="34">
        <f>($B47/$D$5)^(1/$E$29)-1+$C$5*$K$2</f>
        <v>0.18399570080016101</v>
      </c>
      <c r="F47" s="34">
        <f>($B47/$D$5)^(1/$F$29)-1+$C$5*$K$2</f>
        <v>0.13841763575230023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0.58369586505001203</v>
      </c>
      <c r="D48" s="34">
        <f>($B48/$D$5)^(1/$D$29)-1+$C$5*$K$2</f>
        <v>0.33709294744989543</v>
      </c>
      <c r="E48" s="34">
        <f>($B48/$D$5)^(1/$E$29)-1+$C$5*$K$2</f>
        <v>0.24384923828553315</v>
      </c>
      <c r="F48" s="34">
        <f>($B48/$D$5)^(1/$F$29)-1+$C$5*$K$2</f>
        <v>0.17833882030320355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9.0930284158183203E-3</v>
      </c>
      <c r="D50" s="34">
        <f>($B50/$D$6)^(1/$D$29)-1+$C$6*$K$2</f>
        <v>2.7915849431210997E-2</v>
      </c>
      <c r="E50" s="34">
        <f>($B50/$D$6)^(1/$E$29)-1+$C$6*$K$2</f>
        <v>3.6096245365805628E-2</v>
      </c>
      <c r="F50" s="34">
        <f>($B50/$D$6)^(1/$F$29)-1+$C$6*$K$2</f>
        <v>4.2276734684629384E-2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0.18585895067318819</v>
      </c>
      <c r="D51" s="34">
        <f>($B51/$D$6)^(1/$D$29)-1+$C$6*$K$2</f>
        <v>0.13236985190782086</v>
      </c>
      <c r="E51" s="34">
        <f>($B51/$D$6)^(1/$E$29)-1+$C$6*$K$2</f>
        <v>0.11022884836700103</v>
      </c>
      <c r="F51" s="34">
        <f>($B51/$D$6)^(1/$F$29)-1+$C$6*$K$2</f>
        <v>9.3922732216897564E-2</v>
      </c>
    </row>
    <row r="52" spans="1:6">
      <c r="B52" s="86">
        <f>$E$6*$K$8</f>
        <v>96.50200000000001</v>
      </c>
      <c r="C52" s="34">
        <f>($B52/$D$6)^(1/$C$29)-1+$C$6*$K$2</f>
        <v>0.3198598286290168</v>
      </c>
      <c r="D52" s="34">
        <f>($B52/$D$6)^(1/$D$29)-1+$C$6*$K$2</f>
        <v>0.20723719289889492</v>
      </c>
      <c r="E52" s="34">
        <f>($B52/$D$6)^(1/$E$29)-1+$C$6*$K$2</f>
        <v>0.16209873683526527</v>
      </c>
      <c r="F52" s="34">
        <f>($B52/$D$6)^(1/$F$29)-1+$C$6*$K$2</f>
        <v>0.12941104390328045</v>
      </c>
    </row>
    <row r="53" spans="1:6">
      <c r="B53" s="86">
        <f>$E$6*$K$10</f>
        <v>137.86000000000001</v>
      </c>
      <c r="C53" s="34">
        <f>($B53/$D$6)^(1/$C$29)-1+$C$6*$K$2</f>
        <v>0.47931214247287229</v>
      </c>
      <c r="D53" s="34">
        <f>($B53/$D$6)^(1/$D$29)-1+$C$6*$K$2</f>
        <v>0.29229788465316869</v>
      </c>
      <c r="E53" s="34">
        <f>($B53/$D$6)^(1/$E$29)-1+$C$6*$K$2</f>
        <v>0.2198745404078028</v>
      </c>
      <c r="F53" s="34">
        <f>($B53/$D$6)^(1/$F$29)-1+$C$6*$K$2</f>
        <v>0.16835703311007827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-4.2717583190856181E-2</v>
      </c>
      <c r="D55" s="34">
        <f>($B55/$D$7)^(1/$D$29)-1+$C$7*$K$2</f>
        <v>9.6158414274555154E-3</v>
      </c>
      <c r="E55" s="34">
        <f>($B55/$D$7)^(1/$E$29)-1+$C$7*$K$2</f>
        <v>3.3004816271064205E-2</v>
      </c>
      <c r="F55" s="34">
        <f>($B55/$D$7)^(1/$F$29)-1+$C$7*$K$2</f>
        <v>5.0937856010753832E-2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0.11751127885646072</v>
      </c>
      <c r="D56" s="34">
        <f>($B56/$D$7)^(1/$D$29)-1+$C$7*$K$2</f>
        <v>0.10809184351710698</v>
      </c>
      <c r="E56" s="34">
        <f>($B56/$D$7)^(1/$E$29)-1+$C$7*$K$2</f>
        <v>0.10408152962568916</v>
      </c>
      <c r="F56" s="34">
        <f>($B56/$D$7)^(1/$F$29)-1+$C$7*$K$2</f>
        <v>0.10108420648112991</v>
      </c>
    </row>
    <row r="57" spans="1:6">
      <c r="B57" s="86">
        <f>$E$7*$K$8</f>
        <v>15.210999999999999</v>
      </c>
      <c r="C57" s="34">
        <f>($B57/$D$7)^(1/$C$29)-1+$C$7*$K$2</f>
        <v>0.23897591363455128</v>
      </c>
      <c r="D57" s="34">
        <f>($B57/$D$7)^(1/$D$29)-1+$C$7*$K$2</f>
        <v>0.17867445646709501</v>
      </c>
      <c r="E57" s="34">
        <f>($B57/$D$7)^(1/$E$29)-1+$C$7*$K$2</f>
        <v>0.15381324071015956</v>
      </c>
      <c r="F57" s="34">
        <f>($B57/$D$7)^(1/$F$29)-1+$C$7*$K$2</f>
        <v>0.13554204252767765</v>
      </c>
    </row>
    <row r="58" spans="1:6">
      <c r="B58" s="86">
        <f>$E$7*$K$10</f>
        <v>21.73</v>
      </c>
      <c r="C58" s="34">
        <f>($B58/$D$7)^(1/$C$29)-1+$C$7*$K$2</f>
        <v>0.38351091490483946</v>
      </c>
      <c r="D58" s="34">
        <f>($B58/$D$7)^(1/$D$29)-1+$C$7*$K$2</f>
        <v>0.25886704516963688</v>
      </c>
      <c r="E58" s="34">
        <f>($B58/$D$7)^(1/$E$29)-1+$C$7*$K$2</f>
        <v>0.20920741362611839</v>
      </c>
      <c r="F58" s="34">
        <f>($B58/$D$7)^(1/$F$29)-1+$C$7*$K$2</f>
        <v>0.17335715536307883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-3.7508271401419491E-2</v>
      </c>
      <c r="D60" s="34">
        <f>($B60/$D$8)^(1/$D$29)-1+$C$8*$K$2</f>
        <v>1.0758302923721652E-2</v>
      </c>
      <c r="E60" s="34">
        <f>($B60/$D$8)^(1/$E$29)-1+$C$8*$K$2</f>
        <v>3.225128345667555E-2</v>
      </c>
      <c r="F60" s="34">
        <f>($B60/$D$8)^(1/$F$29)-1+$C$8*$K$2</f>
        <v>4.86989864251402E-2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0.124787465207778</v>
      </c>
      <c r="D61" s="34">
        <f>($B61/$D$8)^(1/$D$29)-1+$C$8*$K$2</f>
        <v>0.10999452600257448</v>
      </c>
      <c r="E61" s="34">
        <f>($B61/$D$8)^(1/$E$29)-1+$C$8*$K$2</f>
        <v>0.10371949621772564</v>
      </c>
      <c r="F61" s="34">
        <f>($B61/$D$8)^(1/$F$29)-1+$C$8*$K$2</f>
        <v>9.9038526176448538E-2</v>
      </c>
    </row>
    <row r="62" spans="1:6">
      <c r="B62" s="86">
        <f>$E$8*$K$8</f>
        <v>36.728999999999999</v>
      </c>
      <c r="C62" s="34">
        <f>($B62/$D$8)^(1/$C$29)-1+$C$8*$K$2</f>
        <v>0.24781893482812584</v>
      </c>
      <c r="D62" s="34">
        <f>($B62/$D$8)^(1/$D$29)-1+$C$8*$K$2</f>
        <v>0.18112202687143236</v>
      </c>
      <c r="E62" s="34">
        <f>($B62/$D$8)^(1/$E$29)-1+$C$8*$K$2</f>
        <v>0.15372513577259278</v>
      </c>
      <c r="F62" s="34">
        <f>($B62/$D$8)^(1/$F$29)-1+$C$8*$K$2</f>
        <v>0.13362911135640004</v>
      </c>
    </row>
    <row r="63" spans="1:6">
      <c r="B63" s="86">
        <f>$E$8*$K$10</f>
        <v>52.47</v>
      </c>
      <c r="C63" s="34">
        <f>($B63/$D$8)^(1/$C$29)-1+$C$8*$K$2</f>
        <v>0.39421836747244904</v>
      </c>
      <c r="D63" s="34">
        <f>($B63/$D$8)^(1/$D$29)-1+$C$8*$K$2</f>
        <v>0.26193369116413251</v>
      </c>
      <c r="E63" s="34">
        <f>($B63/$D$8)^(1/$E$29)-1+$C$8*$K$2</f>
        <v>0.20942442670530353</v>
      </c>
      <c r="F63" s="34">
        <f>($B63/$D$8)^(1/$F$29)-1+$C$8*$K$2</f>
        <v>0.17158990726521556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-3.0046704273374719E-3</v>
      </c>
      <c r="D65" s="34">
        <f>($B65/$D$9)^(1/$D$29)-1+$C$9*$K$2</f>
        <v>2.9431409592440019E-2</v>
      </c>
      <c r="E65" s="34">
        <f>($B65/$D$9)^(1/$E$29)-1+$C$9*$K$2</f>
        <v>4.3681571648053155E-2</v>
      </c>
      <c r="F65" s="34">
        <f>($B65/$D$9)^(1/$F$29)-1+$C$9*$K$2</f>
        <v>5.4509415962935417E-2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0.16717177489317986</v>
      </c>
      <c r="D66" s="34">
        <f>($B66/$D$9)^(1/$D$29)-1+$C$9*$K$2</f>
        <v>0.13153138290155614</v>
      </c>
      <c r="E66" s="34">
        <f>($B66/$D$9)^(1/$E$29)-1+$C$9*$K$2</f>
        <v>0.11661694470442148</v>
      </c>
      <c r="F66" s="34">
        <f>($B66/$D$9)^(1/$F$29)-1+$C$9*$K$2</f>
        <v>0.10557013678731393</v>
      </c>
    </row>
    <row r="67" spans="1:6">
      <c r="B67" s="86">
        <f>$E$9*$K$8</f>
        <v>52.094000000000001</v>
      </c>
      <c r="C67" s="34">
        <f>($B67/$D$9)^(1/$C$29)-1+$C$9*$K$2</f>
        <v>0.29617737048048537</v>
      </c>
      <c r="D67" s="34">
        <f>($B67/$D$9)^(1/$D$29)-1+$C$9*$K$2</f>
        <v>0.20471147495810343</v>
      </c>
      <c r="E67" s="34">
        <f>($B67/$D$9)^(1/$E$29)-1+$C$9*$K$2</f>
        <v>0.16764914258588598</v>
      </c>
      <c r="F67" s="34">
        <f>($B67/$D$9)^(1/$F$29)-1+$C$9*$K$2</f>
        <v>0.14065627825287003</v>
      </c>
    </row>
    <row r="68" spans="1:6">
      <c r="B68" s="86">
        <f>$E$9*$K$10</f>
        <v>74.42</v>
      </c>
      <c r="C68" s="34">
        <f>($B68/$D$9)^(1/$C$29)-1+$C$9*$K$2</f>
        <v>0.44968562377701399</v>
      </c>
      <c r="D68" s="34">
        <f>($B68/$D$9)^(1/$D$29)-1+$C$9*$K$2</f>
        <v>0.28785519517802555</v>
      </c>
      <c r="E68" s="34">
        <f>($B68/$D$9)^(1/$E$29)-1+$C$9*$K$2</f>
        <v>0.22449187596631931</v>
      </c>
      <c r="F68" s="34">
        <f>($B68/$D$9)^(1/$F$29)-1+$C$9*$K$2</f>
        <v>0.17916091321272526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2.0531322955383527E-2</v>
      </c>
      <c r="D70" s="34">
        <f>($B70/$D$10)^(1/$D$29)-1+$C$10*$K$2</f>
        <v>2.9447705782099889E-2</v>
      </c>
      <c r="E70" s="34">
        <f>($B70/$D$10)^(1/$E$29)-1+$C$10*$K$2</f>
        <v>3.3293865679281845E-2</v>
      </c>
      <c r="F70" s="34">
        <f>($B70/$D$10)^(1/$F$29)-1+$C$10*$K$2</f>
        <v>3.6188323401423098E-2</v>
      </c>
    </row>
    <row r="71" spans="1:6">
      <c r="A71" s="85">
        <f>B10</f>
        <v>4.5025412500000001E-2</v>
      </c>
      <c r="B71" s="86">
        <f>$E$10*$K$6</f>
        <v>60.58</v>
      </c>
      <c r="C71" s="34">
        <f>($B71/$D$10)^(1/$C$29)-1+$C$10*$K$2</f>
        <v>0.20199617996064312</v>
      </c>
      <c r="D71" s="34">
        <f>($B71/$D$10)^(1/$D$29)-1+$C$10*$K$2</f>
        <v>0.13555896745732654</v>
      </c>
      <c r="E71" s="34">
        <f>($B71/$D$10)^(1/$E$29)-1+$C$10*$K$2</f>
        <v>0.10826470744806672</v>
      </c>
      <c r="F71" s="34">
        <f>($B71/$D$10)^(1/$F$29)-1+$C$10*$K$2</f>
        <v>8.8242414328661992E-2</v>
      </c>
    </row>
    <row r="72" spans="1:6">
      <c r="B72" s="86">
        <f>$E$10*$K$8</f>
        <v>84.811999999999998</v>
      </c>
      <c r="C72" s="34">
        <f>($B72/$D$10)^(1/$C$29)-1+$C$10*$K$2</f>
        <v>0.33955917766010391</v>
      </c>
      <c r="D72" s="34">
        <f>($B72/$D$10)^(1/$D$29)-1+$C$10*$K$2</f>
        <v>0.21161414794321765</v>
      </c>
      <c r="E72" s="34">
        <f>($B72/$D$10)^(1/$E$29)-1+$C$10*$K$2</f>
        <v>0.16072110373643178</v>
      </c>
      <c r="F72" s="34">
        <f>($B72/$D$10)^(1/$F$29)-1+$C$10*$K$2</f>
        <v>0.12401114553039695</v>
      </c>
    </row>
    <row r="73" spans="1:6">
      <c r="B73" s="86">
        <f>$E$10*$K$10</f>
        <v>121.16</v>
      </c>
      <c r="C73" s="34">
        <f>($B73/$D$10)^(1/$C$29)-1+$C$10*$K$2</f>
        <v>0.50325018190640813</v>
      </c>
      <c r="D73" s="34">
        <f>($B73/$D$10)^(1/$D$29)-1+$C$10*$K$2</f>
        <v>0.29802440611436509</v>
      </c>
      <c r="E73" s="34">
        <f>($B73/$D$10)^(1/$E$29)-1+$C$10*$K$2</f>
        <v>0.21915019501805366</v>
      </c>
      <c r="F73" s="34">
        <f>($B73/$D$10)^(1/$F$29)-1+$C$10*$K$2</f>
        <v>0.16326487593138816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-7.2593160176612867E-2</v>
      </c>
      <c r="D75" s="34">
        <f>($B75/$D$11)^(1/$D$29)-1+$C$11*$K$2</f>
        <v>-2.3974559107281621E-2</v>
      </c>
      <c r="E75" s="34">
        <f>($B75/$D$11)^(1/$E$29)-1+$C$11*$K$2</f>
        <v>-2.3180608650526929E-3</v>
      </c>
      <c r="F75" s="34">
        <f>($B75/$D$11)^(1/$F$29)-1+$C$11*$K$2</f>
        <v>1.4257503950534614E-2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8.9524391221931135E-2</v>
      </c>
      <c r="D76" s="34">
        <f>($B76/$D$11)^(1/$D$29)-1+$C$11*$K$2</f>
        <v>7.519627847569689E-2</v>
      </c>
      <c r="E76" s="34">
        <f>($B76/$D$11)^(1/$E$29)-1+$C$11*$K$2</f>
        <v>6.9116513369064672E-2</v>
      </c>
      <c r="F76" s="34">
        <f>($B76/$D$11)^(1/$F$29)-1+$C$11*$K$2</f>
        <v>6.4580456925244292E-2</v>
      </c>
    </row>
    <row r="77" spans="1:6">
      <c r="B77" s="35">
        <f>$E$11*$K$8</f>
        <v>49.790999999999997</v>
      </c>
      <c r="C77" s="34">
        <f>($B77/$D$11)^(1/$C$29)-1+$C$11*$K$2</f>
        <v>0.21242078404488851</v>
      </c>
      <c r="D77" s="34">
        <f>($B77/$D$11)^(1/$D$29)-1+$C$11*$K$2</f>
        <v>0.14627691433125267</v>
      </c>
      <c r="E77" s="34">
        <f>($B77/$D$11)^(1/$E$29)-1+$C$11*$K$2</f>
        <v>0.11909861636148013</v>
      </c>
      <c r="F77" s="34">
        <f>($B77/$D$11)^(1/$F$29)-1+$C$11*$K$2</f>
        <v>9.9159644577295883E-2</v>
      </c>
    </row>
    <row r="78" spans="1:6">
      <c r="A78" s="85"/>
      <c r="B78" s="35">
        <f>$E$11*$K$10</f>
        <v>71.13</v>
      </c>
      <c r="C78" s="34">
        <f>($B78/$D$11)^(1/$C$29)-1+$C$11*$K$2</f>
        <v>0.35865948410134274</v>
      </c>
      <c r="D78" s="34">
        <f>($B78/$D$11)^(1/$D$29)-1+$C$11*$K$2</f>
        <v>0.22703533283750221</v>
      </c>
      <c r="E78" s="34">
        <f>($B78/$D$11)^(1/$E$29)-1+$C$11*$K$2</f>
        <v>0.17477169085438093</v>
      </c>
      <c r="F78" s="34">
        <f>($B78/$D$11)^(1/$F$29)-1+$C$11*$K$2</f>
        <v>0.13710793248058806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-0.25861867345700634</v>
      </c>
      <c r="D80" s="34">
        <f>($B80/$D$12)^(1/$D$29)-1+$C$12*$K$2</f>
        <v>-0.12389113756470843</v>
      </c>
      <c r="E80" s="34">
        <f>($B80/$D$12)^(1/$E$29)-1+$C$12*$K$2</f>
        <v>-5.7323608173958818E-2</v>
      </c>
      <c r="F80" s="34">
        <f>($B80/$D$12)^(1/$F$29)-1+$C$12*$K$2</f>
        <v>-3.4948474367774707E-3</v>
      </c>
    </row>
    <row r="81" spans="1:11">
      <c r="A81" s="85">
        <f>B12</f>
        <v>-4.4255500000000003E-3</v>
      </c>
      <c r="B81" s="35">
        <f>$E$12*$K$6</f>
        <v>20.704999999999998</v>
      </c>
      <c r="C81" s="34">
        <f>($B81/$D$12)^(1/$C$29)-1+$C$12*$K$2</f>
        <v>-0.14633388653605289</v>
      </c>
      <c r="D81" s="34">
        <f>($B81/$D$12)^(1/$D$29)-1+$C$12*$K$2</f>
        <v>-4.4334116798516565E-2</v>
      </c>
      <c r="E81" s="34">
        <f>($B81/$D$12)^(1/$E$29)-1+$C$12*$K$2</f>
        <v>3.7069596602336552E-3</v>
      </c>
      <c r="F81" s="34">
        <f>($B81/$D$12)^(1/$F$29)-1+$C$12*$K$2</f>
        <v>4.157783267599896E-2</v>
      </c>
    </row>
    <row r="82" spans="1:11">
      <c r="A82" s="85"/>
      <c r="B82" s="35">
        <f>$E$12*$K$8</f>
        <v>28.986999999999995</v>
      </c>
      <c r="C82" s="34">
        <f>($B82/$D$12)^(1/$C$29)-1+$C$12*$K$2</f>
        <v>-6.1214199232390076E-2</v>
      </c>
      <c r="D82" s="34">
        <f>($B82/$D$12)^(1/$D$29)-1+$C$12*$K$2</f>
        <v>1.2688328112296532E-2</v>
      </c>
      <c r="E82" s="34">
        <f>($B82/$D$12)^(1/$E$29)-1+$C$12*$K$2</f>
        <v>4.6409476751982759E-2</v>
      </c>
      <c r="F82" s="34">
        <f>($B82/$D$12)^(1/$F$29)-1+$C$12*$K$2</f>
        <v>7.2549319273454038E-2</v>
      </c>
    </row>
    <row r="83" spans="1:11">
      <c r="B83" s="35">
        <f>$E$12*$K$10</f>
        <v>41.41</v>
      </c>
      <c r="C83" s="34">
        <f>($B83/$D$12)^(1/$C$29)-1+$C$12*$K$2</f>
        <v>4.007268262452196E-2</v>
      </c>
      <c r="D83" s="34">
        <f>($B83/$D$12)^(1/$D$29)-1+$C$12*$K$2</f>
        <v>7.7474502503237341E-2</v>
      </c>
      <c r="E83" s="34">
        <f>($B83/$D$12)^(1/$E$29)-1+$C$12*$K$2</f>
        <v>9.3974110345812767E-2</v>
      </c>
      <c r="F83" s="34">
        <f>($B83/$D$12)^(1/$F$29)-1+$C$12*$K$2</f>
        <v>0.10653840259199915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0.12056582696263618</v>
      </c>
      <c r="D85" s="34">
        <f>($B85/$D$13)^(1/$D$29)-1+$C$13*$K$2</f>
        <v>0.10890049205991992</v>
      </c>
      <c r="E85" s="34">
        <f>($B85/$D$13)^(1/$E$29)-1+$C$13*$K$2</f>
        <v>0.103941637094358</v>
      </c>
      <c r="F85" s="34">
        <f>($B85/$D$13)^(1/$F$29)-1+$C$13*$K$2</f>
        <v>0.10023836601456004</v>
      </c>
    </row>
    <row r="86" spans="1:11">
      <c r="A86" s="85">
        <f>B13</f>
        <v>2.4E-2</v>
      </c>
      <c r="B86" s="35">
        <f>$E$13*$K$6</f>
        <v>1.75</v>
      </c>
      <c r="C86" s="34">
        <f>($B86/$D$13)^(1/$C$29)-1+$C$13*$K$2</f>
        <v>0.31156460526908569</v>
      </c>
      <c r="D86" s="34">
        <f>($B86/$D$13)^(1/$D$29)-1+$C$13*$K$2</f>
        <v>0.21832240765832922</v>
      </c>
      <c r="E86" s="34">
        <f>($B86/$D$13)^(1/$E$29)-1+$C$13*$K$2</f>
        <v>0.18057589983397482</v>
      </c>
      <c r="F86" s="34">
        <f>($B86/$D$13)^(1/$F$29)-1+$C$13*$K$2</f>
        <v>0.15309825952955869</v>
      </c>
    </row>
    <row r="87" spans="1:11">
      <c r="B87" s="35">
        <f>$E$13*$K$8</f>
        <v>2.4499999999999997</v>
      </c>
      <c r="C87" s="34">
        <f>($B87/$D$13)^(1/$C$29)-1+$C$13*$K$2</f>
        <v>0.45635497919811807</v>
      </c>
      <c r="D87" s="34">
        <f>($B87/$D$13)^(1/$D$29)-1+$C$13*$K$2</f>
        <v>0.29675049727449343</v>
      </c>
      <c r="E87" s="34">
        <f>($B87/$D$13)^(1/$E$29)-1+$C$13*$K$2</f>
        <v>0.23419617620667221</v>
      </c>
      <c r="F87" s="34">
        <f>($B87/$D$13)^(1/$F$29)-1+$C$13*$K$2</f>
        <v>0.18942069430482311</v>
      </c>
    </row>
    <row r="88" spans="1:11">
      <c r="B88" s="35">
        <f>$E$13*$K$10</f>
        <v>3.5</v>
      </c>
      <c r="C88" s="34">
        <f>($B88/$D$13)^(1/$C$29)-1+$C$13*$K$2</f>
        <v>0.62864609025271601</v>
      </c>
      <c r="D88" s="34">
        <f>($B88/$D$13)^(1/$D$29)-1+$C$13*$K$2</f>
        <v>0.38585674129767167</v>
      </c>
      <c r="E88" s="34">
        <f>($B88/$D$13)^(1/$E$29)-1+$C$13*$K$2</f>
        <v>0.29392166717451174</v>
      </c>
      <c r="F88" s="34">
        <f>($B88/$D$13)^(1/$F$29)-1+$C$13*$K$2</f>
        <v>0.22928207641911702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7.41153793273156E-2</v>
      </c>
      <c r="D90" s="34">
        <f>($B90/$D$14)^(1/$D$29)-1+$C$14*$K$2</f>
        <v>5.9035199419665507E-2</v>
      </c>
      <c r="E90" s="34">
        <f>($B90/$D$14)^(1/$E$29)-1+$C$14*$K$2</f>
        <v>5.2639565278474909E-2</v>
      </c>
      <c r="F90" s="34">
        <f>($B90/$D$14)^(1/$F$29)-1+$C$14*$K$2</f>
        <v>4.7869113488459791E-2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0.26666873501376209</v>
      </c>
      <c r="D91" s="34">
        <f>($B91/$D$14)^(1/$D$29)-1+$C$14*$K$2</f>
        <v>0.16899061260234427</v>
      </c>
      <c r="E91" s="34">
        <f>($B91/$D$14)^(1/$E$29)-1+$C$14*$K$2</f>
        <v>0.12954052685682671</v>
      </c>
      <c r="F91" s="34">
        <f>($B91/$D$14)^(1/$F$29)-1+$C$14*$K$2</f>
        <v>0.10085771218621098</v>
      </c>
    </row>
    <row r="92" spans="1:11">
      <c r="B92" s="35">
        <f>$E$14*$K$8</f>
        <v>3.5279999999999996</v>
      </c>
      <c r="C92" s="34">
        <f>($B92/$D$14)^(1/$C$29)-1+$C$14*$K$2</f>
        <v>0.41263758684797913</v>
      </c>
      <c r="D92" s="34">
        <f>($B92/$D$14)^(1/$D$29)-1+$C$14*$K$2</f>
        <v>0.24780108627859609</v>
      </c>
      <c r="E92" s="34">
        <f>($B92/$D$14)^(1/$E$29)-1+$C$14*$K$2</f>
        <v>0.18334740991079246</v>
      </c>
      <c r="F92" s="34">
        <f>($B92/$D$14)^(1/$F$29)-1+$C$14*$K$2</f>
        <v>0.13726858614087811</v>
      </c>
    </row>
    <row r="93" spans="1:11">
      <c r="B93" s="35">
        <f>$E$14*$K$10</f>
        <v>5.04</v>
      </c>
      <c r="C93" s="34">
        <f>($B93/$D$14)^(1/$C$29)-1+$C$14*$K$2</f>
        <v>0.58633100982517139</v>
      </c>
      <c r="D93" s="34">
        <f>($B93/$D$14)^(1/$D$29)-1+$C$14*$K$2</f>
        <v>0.33734177678052324</v>
      </c>
      <c r="E93" s="34">
        <f>($B93/$D$14)^(1/$E$29)-1+$C$14*$K$2</f>
        <v>0.2432807546311776</v>
      </c>
      <c r="F93" s="34">
        <f>($B93/$D$14)^(1/$F$29)-1+$C$14*$K$2</f>
        <v>0.17722702419169856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-0.14809452383974753</v>
      </c>
      <c r="D95" s="34">
        <f>($B95/$D$15)^(1/$D$29)-1+$C$15*$K$2</f>
        <v>-6.2637037615763225E-2</v>
      </c>
      <c r="E95" s="34">
        <f>($B95/$D$15)^(1/$E$29)-1+$C$15*$K$2</f>
        <v>-2.3161346760035562E-2</v>
      </c>
      <c r="F95" s="34">
        <f>($B95/$D$15)^(1/$F$29)-1+$C$15*$K$2</f>
        <v>7.6388304342646096E-3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-5.4916951243325629E-3</v>
      </c>
      <c r="D96" s="34">
        <f>($B96/$D$15)^(1/$D$29)-1+$C$15*$K$2</f>
        <v>2.9188365614411627E-2</v>
      </c>
      <c r="E96" s="34">
        <f>($B96/$D$15)^(1/$E$29)-1+$C$15*$K$2</f>
        <v>4.4452589488376715E-2</v>
      </c>
      <c r="F96" s="34">
        <f>($B96/$D$15)^(1/$F$29)-1+$C$15*$K$2</f>
        <v>5.6062260484440851E-2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0.10261117902031069</v>
      </c>
      <c r="D97" s="34">
        <f>($B97/$D$15)^(1/$D$29)-1+$C$15*$K$2</f>
        <v>9.5004165988512024E-2</v>
      </c>
      <c r="E97" s="34">
        <f>($B97/$D$15)^(1/$E$29)-1+$C$15*$K$2</f>
        <v>9.1761427841846044E-2</v>
      </c>
      <c r="F97" s="34">
        <f>($B97/$D$15)^(1/$F$29)-1+$C$15*$K$2</f>
        <v>8.933619962117112E-2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0.23124655573192066</v>
      </c>
      <c r="D98" s="34">
        <f>($B98/$D$15)^(1/$D$29)-1+$C$15*$K$2</f>
        <v>0.16978093025010998</v>
      </c>
      <c r="E98" s="34">
        <f>($B98/$D$15)^(1/$E$29)-1+$C$15*$K$2</f>
        <v>0.1444568592890777</v>
      </c>
      <c r="F98" s="34">
        <f>($B98/$D$15)^(1/$F$29)-1+$C$15*$K$2</f>
        <v>0.12585206675902627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2.4E-2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-0.15024669531046073</v>
      </c>
      <c r="D105" s="34">
        <f>($B105/$D$17)^(1/$D$29)-1+$C$17*$K$2</f>
        <v>-6.7990596473376769E-2</v>
      </c>
      <c r="E105" s="34">
        <f>($B105/$D$17)^(1/$E$29)-1+$C$17*$K$2</f>
        <v>-3.0126440701024521E-2</v>
      </c>
      <c r="F105" s="34">
        <f>($B105/$D$17)^(1/$F$29)-1+$C$17*$K$2</f>
        <v>-6.3828439700427952E-4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-5.869396457570647E-3</v>
      </c>
      <c r="D106" s="34">
        <f t="shared" ref="D106:D108" si="8">($B106/$D$17)^(1/$D$29)-1+$C$17*$K$2</f>
        <v>2.4518684899523163E-2</v>
      </c>
      <c r="E106" s="34">
        <f t="shared" ref="E106:E108" si="9">($B106/$D$17)^(1/$E$29)-1+$C$17*$K$2</f>
        <v>3.7846800516705553E-2</v>
      </c>
      <c r="F106" s="34">
        <f t="shared" ref="F106:F108" si="10">($B106/$D$17)^(1/$F$29)-1+$C$17*$K$2</f>
        <v>4.7965130138292872E-2</v>
      </c>
    </row>
    <row r="107" spans="1:11">
      <c r="A107" s="86" t="s">
        <v>7509</v>
      </c>
      <c r="B107" s="35">
        <f>$E$17*$K$8</f>
        <v>17.29</v>
      </c>
      <c r="C107" s="34">
        <f t="shared" si="7"/>
        <v>0.10357864961439603</v>
      </c>
      <c r="D107" s="34">
        <f t="shared" si="8"/>
        <v>9.0824654504996244E-2</v>
      </c>
      <c r="E107" s="34">
        <f t="shared" si="9"/>
        <v>8.5407041194254935E-2</v>
      </c>
      <c r="F107" s="34">
        <f t="shared" si="10"/>
        <v>8.1362744793202407E-2</v>
      </c>
    </row>
    <row r="108" spans="1:11">
      <c r="B108" s="35">
        <f>$E$17*$K$10</f>
        <v>24.7</v>
      </c>
      <c r="C108" s="34">
        <f t="shared" si="7"/>
        <v>0.2338146932738763</v>
      </c>
      <c r="D108" s="34">
        <f t="shared" si="8"/>
        <v>0.16615832560134017</v>
      </c>
      <c r="E108" s="34">
        <f t="shared" si="9"/>
        <v>0.13838249968073149</v>
      </c>
      <c r="F108" s="34">
        <f t="shared" si="10"/>
        <v>0.1180143373337961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7.1999999999999995E-2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9.3533474999999977E-2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7571</v>
      </c>
      <c r="D2" s="51"/>
      <c r="E2" s="47" t="s">
        <v>158</v>
      </c>
      <c r="F2" s="48">
        <f>$B$2*K$2+$B$3*K$4+$B$4*K$5+$B$5*K$6+$B$6*K$7+$B$7*K$8+$B$8*K$9+$B$9*K$10+$B$10*K$11+$B$11*K$12+$B$12*K$13+$B13*$K$14</f>
        <v>1.2192815881249999E-2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6.6324614494999989E-2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6.3755074999999994E-2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0.11634910768749999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8.9033391031250006E-2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4.9402874397500005E-2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0.11495611629249999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0.17642174233500002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交易明细!Z31</f>
        <v>2.4E-2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9.4950453766250012E-2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1.2346277887499999E-3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4.5025412500000001E-2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2.6779616871249998E-2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30" t="s">
        <v>7572</v>
      </c>
      <c r="B16" s="51" t="s">
        <v>7573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7471</v>
      </c>
      <c r="B17" s="51" t="s">
        <v>7472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7473</v>
      </c>
      <c r="B18" s="51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2" t="s">
        <v>7475</v>
      </c>
      <c r="B19" s="51" t="s">
        <v>7474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2" t="s">
        <v>7477</v>
      </c>
      <c r="B20" s="51" t="s">
        <v>131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2" t="s">
        <v>48</v>
      </c>
      <c r="B21" s="51" t="s">
        <v>7476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2" t="s">
        <v>7478</v>
      </c>
      <c r="B22" s="51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2" t="s">
        <v>7480</v>
      </c>
      <c r="B23" s="51" t="s">
        <v>7481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2" t="s">
        <v>7479</v>
      </c>
      <c r="B24" s="51" t="s">
        <v>132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2" t="s">
        <v>7482</v>
      </c>
      <c r="B25" s="51" t="s">
        <v>7312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2" t="s">
        <v>7483</v>
      </c>
      <c r="B26" s="51" t="s">
        <v>7486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2" t="s">
        <v>7484</v>
      </c>
      <c r="B27" s="51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2" t="s">
        <v>7487</v>
      </c>
      <c r="B28" s="51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2" t="s">
        <v>7485</v>
      </c>
      <c r="B29" s="51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2" t="s">
        <v>7488</v>
      </c>
      <c r="B30" s="51" t="s">
        <v>7315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C</cp:lastModifiedBy>
  <dcterms:created xsi:type="dcterms:W3CDTF">2018-05-19T08:29:27Z</dcterms:created>
  <dcterms:modified xsi:type="dcterms:W3CDTF">2019-06-09T03:44:07Z</dcterms:modified>
</cp:coreProperties>
</file>