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ramd\Documents\Projects\klushok\kerst2021\"/>
    </mc:Choice>
  </mc:AlternateContent>
  <xr:revisionPtr revIDLastSave="0" documentId="13_ncr:1_{0EAAF485-B15E-4D61-A12B-C39971BDF83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overview" sheetId="2" r:id="rId1"/>
    <sheet name="programmer" sheetId="3" r:id="rId2"/>
    <sheet name="St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D5" i="2"/>
  <c r="F5" i="2"/>
  <c r="H5" i="2" s="1"/>
  <c r="E4" i="1"/>
  <c r="C5" i="2"/>
  <c r="D4" i="2"/>
  <c r="E17" i="3"/>
  <c r="E16" i="3"/>
  <c r="E15" i="3"/>
  <c r="E10" i="3"/>
  <c r="E9" i="3"/>
  <c r="F4" i="3"/>
  <c r="F6" i="3"/>
  <c r="F7" i="3"/>
  <c r="F8" i="3"/>
  <c r="F9" i="3"/>
  <c r="F10" i="3"/>
  <c r="F11" i="3"/>
  <c r="F12" i="3"/>
  <c r="F13" i="3"/>
  <c r="F14" i="3"/>
  <c r="F15" i="3"/>
  <c r="F16" i="3"/>
  <c r="E8" i="3"/>
  <c r="E7" i="3"/>
  <c r="E6" i="3"/>
  <c r="E4" i="3"/>
  <c r="E5" i="3"/>
  <c r="E11" i="3"/>
  <c r="E12" i="3"/>
  <c r="E13" i="3"/>
  <c r="E14" i="3"/>
  <c r="F3" i="3"/>
  <c r="E3" i="3"/>
  <c r="E6" i="1"/>
  <c r="E7" i="1"/>
  <c r="F7" i="1" s="1"/>
  <c r="F6" i="1"/>
  <c r="F3" i="1"/>
  <c r="F4" i="1"/>
  <c r="F5" i="1"/>
  <c r="F8" i="1"/>
  <c r="F9" i="1"/>
  <c r="F10" i="1"/>
  <c r="F2" i="1"/>
  <c r="E3" i="1"/>
  <c r="E2" i="1"/>
  <c r="E10" i="1"/>
  <c r="E5" i="1"/>
  <c r="C4" i="2" l="1"/>
  <c r="F4" i="2" l="1"/>
  <c r="H4" i="2" s="1"/>
</calcChain>
</file>

<file path=xl/sharedStrings.xml><?xml version="1.0" encoding="utf-8"?>
<sst xmlns="http://schemas.openxmlformats.org/spreadsheetml/2006/main" count="160" uniqueCount="116">
  <si>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</si>
  <si>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</si>
  <si>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</si>
  <si>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</si>
  <si>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</si>
  <si>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C1 </t>
  </si>
  <si>
    <t>10uF</t>
  </si>
  <si>
    <t>Capacitor_THT:CP_Radial_D5.0mm_P2.50mm</t>
  </si>
  <si>
    <t>~</t>
  </si>
  <si>
    <t xml:space="preserve">C2 </t>
  </si>
  <si>
    <t>1uF</t>
  </si>
  <si>
    <t xml:space="preserve">C3 C4 C5 </t>
  </si>
  <si>
    <t>100nF</t>
  </si>
  <si>
    <t>Capacitor_THT:C_Disc_D5.0mm_W2.5mm_P2.50mm</t>
  </si>
  <si>
    <t xml:space="preserve">D1 D2 D3 D4 D5 D6 D7 D8 D9 D10 D11 D12 D13 D14 D15 D16 D17 D18 D19 D20 </t>
  </si>
  <si>
    <t>APA-106-F5</t>
  </si>
  <si>
    <t>LED_THT:LED_D5.0mm-4_RGB</t>
  </si>
  <si>
    <t>https://cdn.sparkfun.com/datasheets/Components/LED/COM-12877.pdf</t>
  </si>
  <si>
    <t xml:space="preserve">J1 </t>
  </si>
  <si>
    <t>POWER</t>
  </si>
  <si>
    <t>Connector_PinSocket_2.54mm:PinSocket_1x02_P2.54mm_Vertical</t>
  </si>
  <si>
    <t xml:space="preserve">J2 </t>
  </si>
  <si>
    <t xml:space="preserve">R1 R2 R3 </t>
  </si>
  <si>
    <t>10k</t>
  </si>
  <si>
    <t>Resistor_THT:R_Axial_DIN0204_L3.6mm_D1.6mm_P7.62mm_Horizontal</t>
  </si>
  <si>
    <t>Button_Switch_SMD:SW_SPST_EVQPE1</t>
  </si>
  <si>
    <t xml:space="preserve">U1 </t>
  </si>
  <si>
    <t>ESP-12F</t>
  </si>
  <si>
    <t>ESP8266:ESP-12E_SMD</t>
  </si>
  <si>
    <t xml:space="preserve">U2 </t>
  </si>
  <si>
    <t>AP2112K-3.3</t>
  </si>
  <si>
    <t>Package_TO_SOT_SMD:SOT-23-5</t>
  </si>
  <si>
    <t>https://www.diodes.com/assets/Datasheets/AP2112.pdf</t>
  </si>
  <si>
    <t>ali link</t>
  </si>
  <si>
    <t>https://www.aliexpress.com/item/32963951195.html</t>
  </si>
  <si>
    <t>shipping</t>
  </si>
  <si>
    <t>order qty</t>
  </si>
  <si>
    <t>SW1 SW2</t>
  </si>
  <si>
    <t>RST, PRG</t>
  </si>
  <si>
    <t>Price ex shipping p.s.</t>
  </si>
  <si>
    <t>https://www.aliexpress.com/item/32696590759.html</t>
  </si>
  <si>
    <t>https://www.aliexpress.com/item/4001066329177.html</t>
  </si>
  <si>
    <t>https://www.aliexpress.com/item/33042294952.html</t>
  </si>
  <si>
    <t>https://www.aliexpress.com/item/33047325250.html</t>
  </si>
  <si>
    <t>https://www.aliexpress.com/item/33047496237.html</t>
  </si>
  <si>
    <t>https://www.aliexpress.com/item/33047480502.html</t>
  </si>
  <si>
    <t>https://www.aliexpress.com/item/1221103145.html</t>
  </si>
  <si>
    <t>Star</t>
  </si>
  <si>
    <t>quantity</t>
  </si>
  <si>
    <t>price total</t>
  </si>
  <si>
    <t>programmer</t>
  </si>
  <si>
    <t>Price per PCB</t>
  </si>
  <si>
    <t>https://www.aliexpress.com/item/33053313994.html</t>
  </si>
  <si>
    <t>member price</t>
  </si>
  <si>
    <t>klushok costs</t>
  </si>
  <si>
    <t xml:space="preserve">C1 C3 </t>
  </si>
  <si>
    <t>Capacitor_SMD:C_0805_2012Metric</t>
  </si>
  <si>
    <t>Capacitor_Tantalum_SMD:CP_EIA-3216-10_Kemet-I</t>
  </si>
  <si>
    <t xml:space="preserve">C4 </t>
  </si>
  <si>
    <t xml:space="preserve">C5 C6 </t>
  </si>
  <si>
    <t>22pF</t>
  </si>
  <si>
    <t xml:space="preserve">D1 </t>
  </si>
  <si>
    <t>PWR</t>
  </si>
  <si>
    <t>LED_SMD:LED_1206_3216Metric</t>
  </si>
  <si>
    <t>USB_C_Receptacle_USB2.0</t>
  </si>
  <si>
    <t>Connector_USB:USB_C_Receptacle_HRO_TYPE-C-31-M-12</t>
  </si>
  <si>
    <t>https://www.usb.org/sites/default/files/documents/usb_type-c.zip</t>
  </si>
  <si>
    <t>Pogo pins</t>
  </si>
  <si>
    <t>programmer:pogo_conn_01x07_oval</t>
  </si>
  <si>
    <t xml:space="preserve">J3 </t>
  </si>
  <si>
    <t>power select</t>
  </si>
  <si>
    <t>Connector_PinSocket_2.54mm:PinSocket_1x04_P2.54mm_Vertical</t>
  </si>
  <si>
    <t xml:space="preserve">Q1 Q2 </t>
  </si>
  <si>
    <t>MMBT3904</t>
  </si>
  <si>
    <t>Package_TO_SOT_SMD:SOT-23</t>
  </si>
  <si>
    <t>https://www.onsemi.com/pub/Collateral/2N3903-D.PDF</t>
  </si>
  <si>
    <t xml:space="preserve">R1 </t>
  </si>
  <si>
    <t>Resistor_SMD:R_0805_2012Metric</t>
  </si>
  <si>
    <t xml:space="preserve">R2 </t>
  </si>
  <si>
    <t xml:space="preserve">R3 R4 </t>
  </si>
  <si>
    <t xml:space="preserve">R5 R6 </t>
  </si>
  <si>
    <t>5k1</t>
  </si>
  <si>
    <t>AMS1117-3.3</t>
  </si>
  <si>
    <t>Package_TO_SOT_SMD:SOT-223-3_TabPin2</t>
  </si>
  <si>
    <t>http://www.advanced-monolithic.com/pdf/ds1117.pdf</t>
  </si>
  <si>
    <t>Package_SO:SOIC-16_3.9x9.9mm_P1.27mm</t>
  </si>
  <si>
    <t>http://www.datasheet5.com/pdf-local-2195953</t>
  </si>
  <si>
    <t xml:space="preserve">Y1 </t>
  </si>
  <si>
    <t>12MHz</t>
  </si>
  <si>
    <t>Crystal:Crystal_HC49-U_Vertical</t>
  </si>
  <si>
    <t>470</t>
  </si>
  <si>
    <t>300</t>
  </si>
  <si>
    <t>price ex shipping</t>
  </si>
  <si>
    <t>shipping costs</t>
  </si>
  <si>
    <t>components</t>
  </si>
  <si>
    <t>PCB</t>
  </si>
  <si>
    <t>product</t>
  </si>
  <si>
    <t>https://www.aliexpress.com/item/33047448535.html</t>
  </si>
  <si>
    <t>https://www.aliexpress.com/item/33041734314.html</t>
  </si>
  <si>
    <t>https://www.aliexpress.com/item/33039604868.html</t>
  </si>
  <si>
    <t>https://www.aliexpress.com/item/33047496684.html</t>
  </si>
  <si>
    <t>https://www.aliexpress.com/item/1005001283294686.html</t>
  </si>
  <si>
    <t>https://www.aliexpress.com/item/33004747616.html</t>
  </si>
  <si>
    <t>https://www.aliexpress.com/item/1005001792829420.html</t>
  </si>
  <si>
    <t>https://www.aliexpress.com/item/33050194998.html</t>
  </si>
  <si>
    <t>https://www.aliexpress.com/item/1005001652976614.html</t>
  </si>
  <si>
    <t>CH340C</t>
  </si>
  <si>
    <t>https://www.aliexpress.com/item/4001340011734.html</t>
  </si>
  <si>
    <t>https://www.aliexpress.com/item/33047492067.html</t>
  </si>
  <si>
    <t>plastic bags</t>
  </si>
  <si>
    <t>https://www.aliexpress.com/item/4000061557631.html</t>
  </si>
  <si>
    <t>-</t>
  </si>
  <si>
    <t>https://www.aliexpress.com/item/32768672866.html</t>
  </si>
  <si>
    <t>Column1</t>
  </si>
  <si>
    <t>diffused leds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</si>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</sst>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0" fontId="2" fillId="0" borderId="0" xfId="0" applyFont="1"/>
    <xf numFmtId="164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7"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  <dxf>
      <numFmt numFmtId="164" formatCode="_([$€-2]\ * #,##0.00_);_([$€-2]\ * \(#,##0.00\);_([$€-2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266E54-93BE-495E-BCEF-812A8CEF8A70}" name="Table3" displayName="Table3" ref="B3:H7" totalsRowShown="0">
  <autoFilter ref="B3:H7" xr:uid="{CC266E54-93BE-495E-BCEF-812A8CEF8A70}"/>
  <tableColumns count="7">
    <tableColumn id="1" xr3:uid="{DC0221D3-A844-4092-8F05-F78A1D2D927A}" name="product"/>
    <tableColumn id="2" xr3:uid="{B4441114-D805-481E-9B59-15A2FF8D0154}" name="components"/>
    <tableColumn id="7" xr3:uid="{61CFCE03-6E87-4B16-AF06-724701B15169}" name="PCB"/>
    <tableColumn id="3" xr3:uid="{39E391E3-C55E-49B2-9BAC-5D17A30ED457}" name="quantity"/>
    <tableColumn id="4" xr3:uid="{137DBDCB-45B8-4068-AF72-64CA7C61BBEA}" name="price total"/>
    <tableColumn id="5" xr3:uid="{E948FFEA-7B7E-4C76-9BBF-25CE87E0A596}" name="member price" dataDxfId="6"/>
    <tableColumn id="6" xr3:uid="{C37D4A09-7785-4763-A080-D6B3BB12144A}" name="klushok cost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BB899-028B-4B35-9FB4-A842571576A0}" name="Table15" displayName="Table15" ref="A1:J17" totalsRowShown="0">
  <autoFilter ref="A1:J17" xr:uid="{291BB899-028B-4B35-9FB4-A842571576A0}"/>
  <sortState xmlns:xlrd2="http://schemas.microsoft.com/office/spreadsheetml/2017/richdata2" ref="A2:D17">
    <sortCondition ref="A1:A17"/>
  </sortState>
  <tableColumns count="10">
    <tableColumn id="1" xr3:uid="{D32AD914-ED5C-460D-9C12-2DFE9899EB63}" name="Reference"/>
    <tableColumn id="2" xr3:uid="{C605D1D3-B537-4468-9480-20F75C3D70AB}" name=" Quantity"/>
    <tableColumn id="3" xr3:uid="{929AB054-0D36-4EF5-ABD8-8D427B5A4122}" name=" Value"/>
    <tableColumn id="4" xr3:uid="{21ED9F23-1CB8-4CBC-9905-1FA9E54E38B1}" name=" Footprint"/>
    <tableColumn id="6" xr3:uid="{CBCD78A6-02FF-43CD-9C36-703169F23295}" name="price ex shipping" dataDxfId="4"/>
    <tableColumn id="7" xr3:uid="{F84A9C3D-C610-4475-AD00-C708B5A686DC}" name="price total" dataDxfId="3"/>
    <tableColumn id="11" xr3:uid="{2C47E07E-4E5B-4DA7-8CC1-FB7284414D6B}" name="ali link"/>
    <tableColumn id="8" xr3:uid="{D15E86DD-8FD4-4F96-A014-FBDB482471ED}" name="shipping costs"/>
    <tableColumn id="9" xr3:uid="{953EE84F-067D-48CA-AC9E-6485B9DF0B2B}" name="order qty"/>
    <tableColumn id="10" xr3:uid="{2ED3CBFE-C027-42FC-99D0-F69B8452D000}" name=" Datashe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D7195-2870-4C3D-A6C1-A5993B6FD3E5}" name="Table1" displayName="Table1" ref="A1:L11" totalsRowShown="0">
  <autoFilter ref="A1:L11" xr:uid="{5E2D7195-2870-4C3D-A6C1-A5993B6FD3E5}"/>
  <sortState xmlns:xlrd2="http://schemas.microsoft.com/office/spreadsheetml/2017/richdata2" ref="A2:G10">
    <sortCondition ref="A1:A10"/>
  </sortState>
  <tableColumns count="12">
    <tableColumn id="1" xr3:uid="{EAD78010-5A47-48AA-968F-A1123B703582}" name="Reference"/>
    <tableColumn id="2" xr3:uid="{E8C6AA83-0F67-4090-9BE6-7B0F260C8A9C}" name=" Quantity"/>
    <tableColumn id="3" xr3:uid="{9E5E4240-B919-46F1-ACE0-53AFDDF018E4}" name=" Value"/>
    <tableColumn id="4" xr3:uid="{CDFBC5C3-C208-419F-9F92-5E7AD2435D8F}" name=" Footprint"/>
    <tableColumn id="7" xr3:uid="{315C9F16-E5AA-4909-AA4B-04227FB37222}" name="Price ex shipping p.s." dataDxfId="2"/>
    <tableColumn id="11" xr3:uid="{7BA96F3D-10ED-4F1E-909F-896084B0057E}" name="Price per PCB" dataDxfId="1">
      <calculatedColumnFormula>Table1[[#This Row],[Price ex shipping p.s.]]*Table1[[#This Row],[ Quantity]]</calculatedColumnFormula>
    </tableColumn>
    <tableColumn id="5" xr3:uid="{2449E393-DB5D-4126-B250-9C1184063D18}" name=" Datasheet"/>
    <tableColumn id="8" xr3:uid="{58EB6B14-95FD-4241-BB7F-29AC2E5B3146}" name="ali link"/>
    <tableColumn id="9" xr3:uid="{56149934-302B-4B66-ABEC-40012CC1CA0B}" name="shipping" dataDxfId="0"/>
    <tableColumn id="10" xr3:uid="{2B3C2B78-2449-4EF2-A3E0-CC24BBE66A10}" name="order qty"/>
    <tableColumn id="6" xr3:uid="{498D528B-4F4E-421B-B08B-80FF3F3B6CFB}" name="Column1"/>
    <tableColumn id="12" xr3:uid="{5A197DDB-DCBE-4496-800B-606B64739B1B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aliexpress.com/item/330474805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F378-5C23-4F4B-935E-ED3FE59A8547}">
  <dimension ref="B3:H7"/>
  <sheetViews>
    <sheetView workbookViewId="0">
      <selection activeCell="C15" sqref="C15"/>
    </sheetView>
  </sheetViews>
  <sheetFormatPr defaultRowHeight="15" x14ac:dyDescent="0.25"/>
  <cols>
    <col min="2" max="2" width="12" bestFit="1" customWidth="1"/>
    <col min="3" max="3" width="14.28515625" bestFit="1" customWidth="1"/>
    <col min="4" max="4" width="14.28515625" customWidth="1"/>
    <col min="5" max="6" width="11" customWidth="1"/>
    <col min="8" max="8" width="15.5703125" customWidth="1"/>
  </cols>
  <sheetData>
    <row r="3" spans="2:8" x14ac:dyDescent="0.25">
      <c r="B3" t="s">
        <v>96</v>
      </c>
      <c r="C3" t="s">
        <v>94</v>
      </c>
      <c r="D3" t="s">
        <v>95</v>
      </c>
      <c r="E3" t="s">
        <v>48</v>
      </c>
      <c r="F3" t="s">
        <v>49</v>
      </c>
      <c r="G3" t="s">
        <v>53</v>
      </c>
      <c r="H3" t="s">
        <v>54</v>
      </c>
    </row>
    <row r="4" spans="2:8" x14ac:dyDescent="0.25">
      <c r="B4" t="s">
        <v>47</v>
      </c>
      <c r="C4" s="1">
        <f>SUM(Table1[Price per PCB])</f>
        <v>4.6910500000000006</v>
      </c>
      <c r="D4" s="1">
        <f>20.2/80</f>
        <v>0.2525</v>
      </c>
      <c r="E4">
        <v>50</v>
      </c>
      <c r="F4" s="1">
        <f>Table3[[#This Row],[quantity]]*(Table3[[#This Row],[components]]+Table3[[#This Row],[PCB]])</f>
        <v>247.17750000000004</v>
      </c>
      <c r="G4" s="1">
        <v>2</v>
      </c>
      <c r="H4" s="1">
        <f>Table3[[#This Row],[price total]]-Table3[[#This Row],[quantity]]*Table3[[#This Row],[member price]]</f>
        <v>147.17750000000004</v>
      </c>
    </row>
    <row r="5" spans="2:8" x14ac:dyDescent="0.25">
      <c r="B5" t="s">
        <v>50</v>
      </c>
      <c r="C5" s="1">
        <f>SUM(Table15[price total])</f>
        <v>0.90529999999999999</v>
      </c>
      <c r="D5">
        <f>(2+7)/20</f>
        <v>0.45</v>
      </c>
      <c r="E5">
        <v>20</v>
      </c>
      <c r="F5" s="1">
        <f>Table3[[#This Row],[quantity]]*(Table3[[#This Row],[components]]+Table3[[#This Row],[PCB]])</f>
        <v>27.105999999999998</v>
      </c>
      <c r="G5" s="1"/>
      <c r="H5" s="1">
        <f>Table3[[#This Row],[price total]]-Table3[[#This Row],[quantity]]*Table3[[#This Row],[member price]]</f>
        <v>27.105999999999998</v>
      </c>
    </row>
    <row r="6" spans="2:8" x14ac:dyDescent="0.25">
      <c r="B6" t="s">
        <v>35</v>
      </c>
      <c r="D6" s="1">
        <v>18.8</v>
      </c>
      <c r="G6" s="1"/>
      <c r="H6" s="1"/>
    </row>
    <row r="7" spans="2:8" x14ac:dyDescent="0.25">
      <c r="G7" s="1"/>
      <c r="H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EA1F-DAAA-478B-A18C-455E34BD1B84}">
  <dimension ref="A1:J17"/>
  <sheetViews>
    <sheetView workbookViewId="0">
      <selection activeCell="E27" sqref="E27"/>
    </sheetView>
  </sheetViews>
  <sheetFormatPr defaultRowHeight="15" x14ac:dyDescent="0.25"/>
  <cols>
    <col min="1" max="1" width="12.42578125" bestFit="1" customWidth="1"/>
    <col min="2" max="2" width="11.42578125" bestFit="1" customWidth="1"/>
    <col min="3" max="3" width="24.7109375" bestFit="1" customWidth="1"/>
    <col min="4" max="4" width="60.85546875" bestFit="1" customWidth="1"/>
    <col min="5" max="5" width="18.42578125" bestFit="1" customWidth="1"/>
    <col min="6" max="6" width="12.28515625" bestFit="1" customWidth="1"/>
    <col min="7" max="7" width="49.28515625" bestFit="1" customWidth="1"/>
    <col min="8" max="8" width="15.85546875" bestFit="1" customWidth="1"/>
    <col min="9" max="9" width="1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49</v>
      </c>
      <c r="G1" t="s">
        <v>33</v>
      </c>
      <c r="H1" t="s">
        <v>93</v>
      </c>
      <c r="I1" t="s">
        <v>36</v>
      </c>
      <c r="J1" t="s">
        <v>4</v>
      </c>
    </row>
    <row r="2" spans="1:10" x14ac:dyDescent="0.25">
      <c r="A2" t="s">
        <v>55</v>
      </c>
      <c r="B2">
        <v>2</v>
      </c>
      <c r="C2" t="s">
        <v>6</v>
      </c>
      <c r="D2" t="s">
        <v>56</v>
      </c>
      <c r="E2" s="1"/>
      <c r="F2" s="1"/>
      <c r="J2" t="s">
        <v>8</v>
      </c>
    </row>
    <row r="3" spans="1:10" x14ac:dyDescent="0.25">
      <c r="A3" t="s">
        <v>9</v>
      </c>
      <c r="B3">
        <v>1</v>
      </c>
      <c r="C3" t="s">
        <v>6</v>
      </c>
      <c r="D3" t="s">
        <v>57</v>
      </c>
      <c r="E3" s="1">
        <f>1.55/20</f>
        <v>7.7499999999999999E-2</v>
      </c>
      <c r="F3" s="1">
        <f>Table15[[#This Row],[price ex shipping]]*Table15[[#This Row],[ Quantity]]</f>
        <v>7.7499999999999999E-2</v>
      </c>
      <c r="G3" t="s">
        <v>97</v>
      </c>
      <c r="J3" t="s">
        <v>8</v>
      </c>
    </row>
    <row r="4" spans="1:10" x14ac:dyDescent="0.25">
      <c r="A4" t="s">
        <v>58</v>
      </c>
      <c r="B4">
        <v>1</v>
      </c>
      <c r="C4" t="s">
        <v>12</v>
      </c>
      <c r="D4" t="s">
        <v>56</v>
      </c>
      <c r="E4" s="1">
        <f>0.95/100</f>
        <v>9.4999999999999998E-3</v>
      </c>
      <c r="F4" s="1">
        <f>Table15[[#This Row],[price ex shipping]]*Table15[[#This Row],[ Quantity]]</f>
        <v>9.4999999999999998E-3</v>
      </c>
      <c r="G4" t="s">
        <v>99</v>
      </c>
      <c r="J4" t="s">
        <v>8</v>
      </c>
    </row>
    <row r="5" spans="1:10" s="3" customFormat="1" x14ac:dyDescent="0.25">
      <c r="A5" s="3" t="s">
        <v>59</v>
      </c>
      <c r="B5" s="3">
        <v>2</v>
      </c>
      <c r="C5" s="3" t="s">
        <v>60</v>
      </c>
      <c r="D5" s="3" t="s">
        <v>56</v>
      </c>
      <c r="E5" s="4">
        <f>1.09/100</f>
        <v>1.09E-2</v>
      </c>
      <c r="F5" s="4">
        <v>0</v>
      </c>
      <c r="G5" s="3" t="s">
        <v>99</v>
      </c>
      <c r="J5" s="3" t="s">
        <v>8</v>
      </c>
    </row>
    <row r="6" spans="1:10" x14ac:dyDescent="0.25">
      <c r="A6" t="s">
        <v>61</v>
      </c>
      <c r="B6">
        <v>1</v>
      </c>
      <c r="C6" t="s">
        <v>62</v>
      </c>
      <c r="D6" t="s">
        <v>63</v>
      </c>
      <c r="E6" s="1">
        <f>0.6/100</f>
        <v>6.0000000000000001E-3</v>
      </c>
      <c r="F6" s="1">
        <f>Table15[[#This Row],[price ex shipping]]*Table15[[#This Row],[ Quantity]]</f>
        <v>6.0000000000000001E-3</v>
      </c>
      <c r="G6" t="s">
        <v>100</v>
      </c>
      <c r="J6" t="s">
        <v>8</v>
      </c>
    </row>
    <row r="7" spans="1:10" x14ac:dyDescent="0.25">
      <c r="A7" t="s">
        <v>18</v>
      </c>
      <c r="B7">
        <v>1</v>
      </c>
      <c r="C7" t="s">
        <v>64</v>
      </c>
      <c r="D7" t="s">
        <v>65</v>
      </c>
      <c r="E7" s="1">
        <f>0.85/10</f>
        <v>8.4999999999999992E-2</v>
      </c>
      <c r="F7" s="1">
        <f>Table15[[#This Row],[price ex shipping]]*Table15[[#This Row],[ Quantity]]</f>
        <v>8.4999999999999992E-2</v>
      </c>
      <c r="G7" t="s">
        <v>101</v>
      </c>
      <c r="J7" t="s">
        <v>66</v>
      </c>
    </row>
    <row r="8" spans="1:10" x14ac:dyDescent="0.25">
      <c r="A8" t="s">
        <v>21</v>
      </c>
      <c r="B8">
        <v>7</v>
      </c>
      <c r="C8" t="s">
        <v>67</v>
      </c>
      <c r="D8" t="s">
        <v>68</v>
      </c>
      <c r="E8" s="1">
        <f>2.4/400</f>
        <v>6.0000000000000001E-3</v>
      </c>
      <c r="F8" s="1">
        <f>Table15[[#This Row],[price ex shipping]]*Table15[[#This Row],[ Quantity]]</f>
        <v>4.2000000000000003E-2</v>
      </c>
      <c r="G8" t="s">
        <v>102</v>
      </c>
      <c r="J8" t="s">
        <v>8</v>
      </c>
    </row>
    <row r="9" spans="1:10" x14ac:dyDescent="0.25">
      <c r="A9" t="s">
        <v>69</v>
      </c>
      <c r="B9">
        <v>1</v>
      </c>
      <c r="C9" t="s">
        <v>70</v>
      </c>
      <c r="D9" t="s">
        <v>71</v>
      </c>
      <c r="E9" s="1">
        <f>1.35/10</f>
        <v>0.13500000000000001</v>
      </c>
      <c r="F9" s="1">
        <f>Table15[[#This Row],[price ex shipping]]*Table15[[#This Row],[ Quantity]]</f>
        <v>0.13500000000000001</v>
      </c>
      <c r="G9" t="s">
        <v>103</v>
      </c>
      <c r="J9" t="s">
        <v>8</v>
      </c>
    </row>
    <row r="10" spans="1:10" x14ac:dyDescent="0.25">
      <c r="A10" t="s">
        <v>72</v>
      </c>
      <c r="B10">
        <v>2</v>
      </c>
      <c r="C10" t="s">
        <v>73</v>
      </c>
      <c r="D10" t="s">
        <v>74</v>
      </c>
      <c r="E10" s="1">
        <f>0.66/100</f>
        <v>6.6E-3</v>
      </c>
      <c r="F10" s="1">
        <f>Table15[[#This Row],[price ex shipping]]*Table15[[#This Row],[ Quantity]]</f>
        <v>1.32E-2</v>
      </c>
      <c r="G10" t="s">
        <v>104</v>
      </c>
      <c r="J10" t="s">
        <v>75</v>
      </c>
    </row>
    <row r="11" spans="1:10" x14ac:dyDescent="0.25">
      <c r="A11" t="s">
        <v>76</v>
      </c>
      <c r="B11">
        <v>1</v>
      </c>
      <c r="C11" s="2" t="s">
        <v>91</v>
      </c>
      <c r="D11" t="s">
        <v>77</v>
      </c>
      <c r="E11" s="1">
        <f>0.61/100</f>
        <v>6.0999999999999995E-3</v>
      </c>
      <c r="F11" s="1">
        <f>Table15[[#This Row],[price ex shipping]]*Table15[[#This Row],[ Quantity]]</f>
        <v>6.0999999999999995E-3</v>
      </c>
      <c r="G11" t="s">
        <v>98</v>
      </c>
      <c r="J11" t="s">
        <v>8</v>
      </c>
    </row>
    <row r="12" spans="1:10" x14ac:dyDescent="0.25">
      <c r="A12" t="s">
        <v>78</v>
      </c>
      <c r="B12">
        <v>1</v>
      </c>
      <c r="C12" s="2" t="s">
        <v>90</v>
      </c>
      <c r="D12" t="s">
        <v>77</v>
      </c>
      <c r="E12" s="1">
        <f>0.61/100</f>
        <v>6.0999999999999995E-3</v>
      </c>
      <c r="F12" s="1">
        <f>Table15[[#This Row],[price ex shipping]]*Table15[[#This Row],[ Quantity]]</f>
        <v>6.0999999999999995E-3</v>
      </c>
      <c r="G12" t="s">
        <v>98</v>
      </c>
      <c r="J12" t="s">
        <v>8</v>
      </c>
    </row>
    <row r="13" spans="1:10" x14ac:dyDescent="0.25">
      <c r="A13" t="s">
        <v>79</v>
      </c>
      <c r="B13">
        <v>2</v>
      </c>
      <c r="C13" t="s">
        <v>23</v>
      </c>
      <c r="D13" t="s">
        <v>77</v>
      </c>
      <c r="E13" s="1">
        <f>0.61/100</f>
        <v>6.0999999999999995E-3</v>
      </c>
      <c r="F13" s="1">
        <f>Table15[[#This Row],[price ex shipping]]*Table15[[#This Row],[ Quantity]]</f>
        <v>1.2199999999999999E-2</v>
      </c>
      <c r="G13" t="s">
        <v>98</v>
      </c>
      <c r="J13" t="s">
        <v>8</v>
      </c>
    </row>
    <row r="14" spans="1:10" x14ac:dyDescent="0.25">
      <c r="A14" t="s">
        <v>80</v>
      </c>
      <c r="B14">
        <v>2</v>
      </c>
      <c r="C14" t="s">
        <v>81</v>
      </c>
      <c r="D14" t="s">
        <v>77</v>
      </c>
      <c r="E14" s="1">
        <f>0.61/100</f>
        <v>6.0999999999999995E-3</v>
      </c>
      <c r="F14" s="1">
        <f>Table15[[#This Row],[price ex shipping]]*Table15[[#This Row],[ Quantity]]</f>
        <v>1.2199999999999999E-2</v>
      </c>
      <c r="G14" t="s">
        <v>98</v>
      </c>
      <c r="J14" t="s">
        <v>8</v>
      </c>
    </row>
    <row r="15" spans="1:10" x14ac:dyDescent="0.25">
      <c r="A15" t="s">
        <v>26</v>
      </c>
      <c r="B15">
        <v>1</v>
      </c>
      <c r="C15" t="s">
        <v>82</v>
      </c>
      <c r="D15" t="s">
        <v>83</v>
      </c>
      <c r="E15" s="1">
        <f>1.01/20</f>
        <v>5.0500000000000003E-2</v>
      </c>
      <c r="F15" s="1">
        <f>Table15[[#This Row],[price ex shipping]]*Table15[[#This Row],[ Quantity]]</f>
        <v>5.0500000000000003E-2</v>
      </c>
      <c r="G15" t="s">
        <v>105</v>
      </c>
      <c r="J15" t="s">
        <v>84</v>
      </c>
    </row>
    <row r="16" spans="1:10" x14ac:dyDescent="0.25">
      <c r="A16" t="s">
        <v>29</v>
      </c>
      <c r="B16">
        <v>1</v>
      </c>
      <c r="C16" t="s">
        <v>106</v>
      </c>
      <c r="D16" t="s">
        <v>85</v>
      </c>
      <c r="E16" s="1">
        <f>0.9/2</f>
        <v>0.45</v>
      </c>
      <c r="F16" s="1">
        <f>Table15[[#This Row],[price ex shipping]]*Table15[[#This Row],[ Quantity]]</f>
        <v>0.45</v>
      </c>
      <c r="G16" t="s">
        <v>107</v>
      </c>
      <c r="J16" t="s">
        <v>86</v>
      </c>
    </row>
    <row r="17" spans="1:10" s="3" customFormat="1" x14ac:dyDescent="0.25">
      <c r="A17" s="3" t="s">
        <v>87</v>
      </c>
      <c r="B17" s="3">
        <v>1</v>
      </c>
      <c r="C17" s="3" t="s">
        <v>88</v>
      </c>
      <c r="D17" s="3" t="s">
        <v>89</v>
      </c>
      <c r="E17" s="4">
        <f>0.4/10</f>
        <v>0.04</v>
      </c>
      <c r="F17" s="4">
        <v>0</v>
      </c>
      <c r="G17" s="3" t="s">
        <v>108</v>
      </c>
      <c r="J17" s="3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topLeftCell="D1" workbookViewId="0">
      <selection activeCell="K17" sqref="K17"/>
    </sheetView>
  </sheetViews>
  <sheetFormatPr defaultRowHeight="15" x14ac:dyDescent="0.25"/>
  <cols>
    <col min="1" max="1" width="68.28515625" bestFit="1" customWidth="1"/>
    <col min="2" max="2" width="11.42578125" bestFit="1" customWidth="1"/>
    <col min="3" max="3" width="11.85546875" bestFit="1" customWidth="1"/>
    <col min="4" max="4" width="65.140625" bestFit="1" customWidth="1"/>
    <col min="5" max="5" width="10.7109375" customWidth="1"/>
    <col min="6" max="6" width="12.42578125" customWidth="1"/>
    <col min="7" max="7" width="4.5703125" customWidth="1"/>
    <col min="8" max="8" width="51.42578125" bestFit="1" customWidth="1"/>
    <col min="11" max="11" width="49.28515625" bestFit="1" customWidth="1"/>
    <col min="12" max="12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51</v>
      </c>
      <c r="G1" t="s">
        <v>4</v>
      </c>
      <c r="H1" t="s">
        <v>33</v>
      </c>
      <c r="I1" t="s">
        <v>35</v>
      </c>
      <c r="J1" t="s">
        <v>36</v>
      </c>
      <c r="K1" t="s">
        <v>113</v>
      </c>
      <c r="L1" t="s">
        <v>115</v>
      </c>
    </row>
    <row r="2" spans="1:12" x14ac:dyDescent="0.25">
      <c r="A2" t="s">
        <v>5</v>
      </c>
      <c r="B2">
        <v>1</v>
      </c>
      <c r="C2" t="s">
        <v>6</v>
      </c>
      <c r="D2" t="s">
        <v>7</v>
      </c>
      <c r="E2" s="1">
        <f>1.13/50</f>
        <v>2.2599999999999999E-2</v>
      </c>
      <c r="F2" s="1">
        <f>Table1[[#This Row],[Price ex shipping p.s.]]*Table1[[#This Row],[ Quantity]]</f>
        <v>2.2599999999999999E-2</v>
      </c>
      <c r="G2" t="s">
        <v>8</v>
      </c>
      <c r="H2" t="s">
        <v>44</v>
      </c>
      <c r="I2" s="1">
        <v>2.81</v>
      </c>
      <c r="J2">
        <v>100</v>
      </c>
    </row>
    <row r="3" spans="1:12" x14ac:dyDescent="0.25">
      <c r="A3" t="s">
        <v>9</v>
      </c>
      <c r="B3">
        <v>1</v>
      </c>
      <c r="C3" t="s">
        <v>10</v>
      </c>
      <c r="D3" t="s">
        <v>7</v>
      </c>
      <c r="E3" s="1">
        <f>2.55/100</f>
        <v>2.5499999999999998E-2</v>
      </c>
      <c r="F3" s="1">
        <f>Table1[[#This Row],[Price ex shipping p.s.]]*Table1[[#This Row],[ Quantity]]</f>
        <v>2.5499999999999998E-2</v>
      </c>
      <c r="G3" t="s">
        <v>8</v>
      </c>
      <c r="H3" t="s">
        <v>46</v>
      </c>
      <c r="I3" s="1">
        <v>2.4300000000000002</v>
      </c>
      <c r="J3">
        <v>200</v>
      </c>
    </row>
    <row r="4" spans="1:12" x14ac:dyDescent="0.25">
      <c r="A4" t="s">
        <v>11</v>
      </c>
      <c r="B4">
        <v>3</v>
      </c>
      <c r="C4" t="s">
        <v>12</v>
      </c>
      <c r="D4" t="s">
        <v>13</v>
      </c>
      <c r="E4" s="1">
        <f>1.07/200</f>
        <v>5.3500000000000006E-3</v>
      </c>
      <c r="F4" s="1">
        <f>Table1[[#This Row],[Price ex shipping p.s.]]*Table1[[#This Row],[ Quantity]]</f>
        <v>1.6050000000000002E-2</v>
      </c>
      <c r="G4" t="s">
        <v>8</v>
      </c>
      <c r="H4" s="5" t="s">
        <v>45</v>
      </c>
      <c r="I4" s="1">
        <v>2.81</v>
      </c>
      <c r="J4">
        <v>200</v>
      </c>
    </row>
    <row r="5" spans="1:12" x14ac:dyDescent="0.25">
      <c r="A5" t="s">
        <v>14</v>
      </c>
      <c r="B5">
        <v>20</v>
      </c>
      <c r="C5" t="s">
        <v>15</v>
      </c>
      <c r="D5" t="s">
        <v>16</v>
      </c>
      <c r="E5" s="1">
        <f>79.72/500</f>
        <v>0.15944</v>
      </c>
      <c r="F5" s="1">
        <f>Table1[[#This Row],[Price ex shipping p.s.]]*Table1[[#This Row],[ Quantity]]</f>
        <v>3.1888000000000001</v>
      </c>
      <c r="G5" t="s">
        <v>17</v>
      </c>
      <c r="H5" t="s">
        <v>41</v>
      </c>
      <c r="I5" s="1">
        <v>1.2</v>
      </c>
      <c r="J5">
        <v>500</v>
      </c>
      <c r="K5" t="s">
        <v>112</v>
      </c>
      <c r="L5" t="s">
        <v>114</v>
      </c>
    </row>
    <row r="6" spans="1:12" x14ac:dyDescent="0.25">
      <c r="A6" t="s">
        <v>18</v>
      </c>
      <c r="B6">
        <v>1</v>
      </c>
      <c r="C6" t="s">
        <v>19</v>
      </c>
      <c r="D6" t="s">
        <v>20</v>
      </c>
      <c r="E6" s="1">
        <f>0.83/50</f>
        <v>1.66E-2</v>
      </c>
      <c r="F6" s="1">
        <f>Table1[[#This Row],[Price ex shipping p.s.]]*Table1[[#This Row],[ Quantity]]</f>
        <v>1.66E-2</v>
      </c>
      <c r="G6" t="s">
        <v>8</v>
      </c>
      <c r="H6" t="s">
        <v>52</v>
      </c>
      <c r="I6" s="1">
        <v>3.35</v>
      </c>
      <c r="J6">
        <v>100</v>
      </c>
    </row>
    <row r="7" spans="1:12" x14ac:dyDescent="0.25">
      <c r="A7" t="s">
        <v>22</v>
      </c>
      <c r="B7">
        <v>3</v>
      </c>
      <c r="C7" t="s">
        <v>23</v>
      </c>
      <c r="D7" t="s">
        <v>24</v>
      </c>
      <c r="E7" s="1">
        <f>0.53/100</f>
        <v>5.3E-3</v>
      </c>
      <c r="F7" s="1">
        <f>Table1[[#This Row],[Price ex shipping p.s.]]*Table1[[#This Row],[ Quantity]]</f>
        <v>1.5900000000000001E-2</v>
      </c>
      <c r="G7" t="s">
        <v>8</v>
      </c>
      <c r="H7" t="s">
        <v>43</v>
      </c>
      <c r="I7" s="1">
        <v>3.09</v>
      </c>
      <c r="J7">
        <v>300</v>
      </c>
    </row>
    <row r="8" spans="1:12" x14ac:dyDescent="0.25">
      <c r="A8" t="s">
        <v>37</v>
      </c>
      <c r="B8">
        <v>2</v>
      </c>
      <c r="C8" t="s">
        <v>38</v>
      </c>
      <c r="D8" t="s">
        <v>25</v>
      </c>
      <c r="E8" s="1">
        <v>0.02</v>
      </c>
      <c r="F8" s="1">
        <f>Table1[[#This Row],[Price ex shipping p.s.]]*Table1[[#This Row],[ Quantity]]</f>
        <v>0.04</v>
      </c>
      <c r="G8" t="s">
        <v>8</v>
      </c>
      <c r="H8" t="s">
        <v>40</v>
      </c>
      <c r="I8" s="1">
        <v>2.88</v>
      </c>
      <c r="J8">
        <v>200</v>
      </c>
    </row>
    <row r="9" spans="1:12" x14ac:dyDescent="0.25">
      <c r="A9" t="s">
        <v>26</v>
      </c>
      <c r="B9">
        <v>1</v>
      </c>
      <c r="C9" t="s">
        <v>27</v>
      </c>
      <c r="D9" t="s">
        <v>28</v>
      </c>
      <c r="E9" s="1">
        <v>1.25</v>
      </c>
      <c r="F9" s="1">
        <f>Table1[[#This Row],[Price ex shipping p.s.]]*Table1[[#This Row],[ Quantity]]</f>
        <v>1.25</v>
      </c>
      <c r="H9" t="s">
        <v>34</v>
      </c>
      <c r="I9" s="1">
        <v>8.86</v>
      </c>
      <c r="J9">
        <v>50</v>
      </c>
    </row>
    <row r="10" spans="1:12" x14ac:dyDescent="0.25">
      <c r="A10" t="s">
        <v>29</v>
      </c>
      <c r="B10">
        <v>1</v>
      </c>
      <c r="C10" t="s">
        <v>30</v>
      </c>
      <c r="D10" t="s">
        <v>31</v>
      </c>
      <c r="E10" s="1">
        <f>4.56/100</f>
        <v>4.5599999999999995E-2</v>
      </c>
      <c r="F10" s="1">
        <f>Table1[[#This Row],[Price ex shipping p.s.]]*Table1[[#This Row],[ Quantity]]</f>
        <v>4.5599999999999995E-2</v>
      </c>
      <c r="G10" t="s">
        <v>32</v>
      </c>
      <c r="H10" t="s">
        <v>42</v>
      </c>
      <c r="I10" s="1">
        <v>1.84</v>
      </c>
      <c r="J10">
        <v>100</v>
      </c>
    </row>
    <row r="11" spans="1:12" x14ac:dyDescent="0.25">
      <c r="A11" t="s">
        <v>109</v>
      </c>
      <c r="B11">
        <v>1</v>
      </c>
      <c r="E11" s="1">
        <f>7/100</f>
        <v>7.0000000000000007E-2</v>
      </c>
      <c r="F11" s="1">
        <f>Table1[[#This Row],[Price ex shipping p.s.]]*Table1[[#This Row],[ Quantity]]</f>
        <v>7.0000000000000007E-2</v>
      </c>
      <c r="H11" s="1" t="s">
        <v>110</v>
      </c>
      <c r="I11" s="1" t="s">
        <v>111</v>
      </c>
      <c r="J11">
        <v>100</v>
      </c>
    </row>
  </sheetData>
  <phoneticPr fontId="3" type="noConversion"/>
  <hyperlinks>
    <hyperlink ref="H4" r:id="rId1" xr:uid="{D41669D6-D06F-4915-B889-4AD87832934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programmer</vt:lpstr>
      <vt:lpstr>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den ouden</dc:creator>
  <cp:lastModifiedBy>bram den ouden</cp:lastModifiedBy>
  <dcterms:created xsi:type="dcterms:W3CDTF">2015-06-05T18:17:20Z</dcterms:created>
  <dcterms:modified xsi:type="dcterms:W3CDTF">2021-09-09T21:04:55Z</dcterms:modified>
</cp:coreProperties>
</file>