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nneth Maberi\OneDrive\Documents\wdd131\project\images\"/>
    </mc:Choice>
  </mc:AlternateContent>
  <workbookProtection workbookAlgorithmName="SHA-512" workbookHashValue="SjCEJ7ThSzN2m4P+pnjwXS79D8PoR+RZ0Ou1RGZ32nnK1ob5doMCX59l0zGuphJjVoe/HunygANt7a/OarG57g==" workbookSaltValue="Oal3OW0oLbk8elh9wo+4zA==" workbookSpinCount="100000" lockStructure="1"/>
  <bookViews>
    <workbookView xWindow="0" yWindow="0" windowWidth="17256" windowHeight="5688"/>
  </bookViews>
  <sheets>
    <sheet name="Break-Even Analysis" sheetId="1" r:id="rId1"/>
    <sheet name="Variables - Admin Use Only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F8" i="1"/>
  <c r="I10" i="2" l="1"/>
  <c r="I9" i="2"/>
  <c r="I8" i="2" s="1"/>
  <c r="L5" i="1" s="1"/>
  <c r="G12" i="2"/>
  <c r="I12" i="2" s="1"/>
  <c r="M5" i="1" s="1"/>
  <c r="G8" i="2"/>
  <c r="B6" i="2"/>
  <c r="B7" i="2" s="1"/>
  <c r="B8" i="2" s="1"/>
  <c r="J6" i="2"/>
  <c r="J16" i="2"/>
  <c r="C7" i="2" l="1"/>
  <c r="C8" i="2" s="1"/>
  <c r="D7" i="2"/>
  <c r="D8" i="2" s="1"/>
  <c r="B9" i="2" l="1"/>
  <c r="O12" i="2" s="1"/>
  <c r="Q10" i="1" s="1"/>
  <c r="R10" i="1" s="1"/>
  <c r="J16" i="1"/>
  <c r="K14" i="1"/>
  <c r="J13" i="1"/>
  <c r="G16" i="2"/>
  <c r="J14" i="1"/>
  <c r="K13" i="1"/>
  <c r="D13" i="2" l="1"/>
  <c r="F5" i="1" s="1"/>
  <c r="O18" i="2"/>
  <c r="Q16" i="1" s="1"/>
  <c r="R16" i="1" s="1"/>
  <c r="O16" i="2"/>
  <c r="Q14" i="1" s="1"/>
  <c r="R14" i="1" s="1"/>
  <c r="O13" i="2"/>
  <c r="Q11" i="1" s="1"/>
  <c r="R11" i="1" s="1"/>
  <c r="O11" i="2"/>
  <c r="Q9" i="1" s="1"/>
  <c r="R9" i="1" s="1"/>
  <c r="O15" i="2"/>
  <c r="Q13" i="1" s="1"/>
  <c r="R13" i="1" s="1"/>
  <c r="O9" i="2"/>
  <c r="Q7" i="1" s="1"/>
  <c r="R7" i="1" s="1"/>
  <c r="O8" i="2"/>
  <c r="Q6" i="1" s="1"/>
  <c r="R6" i="1" s="1"/>
  <c r="O17" i="2"/>
  <c r="Q15" i="1" s="1"/>
  <c r="R15" i="1" s="1"/>
  <c r="O10" i="2"/>
  <c r="Q8" i="1" s="1"/>
  <c r="R8" i="1" s="1"/>
  <c r="O14" i="2"/>
  <c r="Q12" i="1" s="1"/>
  <c r="R12" i="1" s="1"/>
  <c r="O7" i="2"/>
  <c r="Q5" i="1" s="1"/>
  <c r="R5" i="1" s="1"/>
  <c r="D14" i="2"/>
  <c r="F6" i="1" s="1"/>
  <c r="H6" i="2"/>
  <c r="R20" i="1" l="1"/>
  <c r="R22" i="1" s="1"/>
  <c r="R8" i="2"/>
  <c r="S7" i="2"/>
  <c r="Q21" i="1"/>
  <c r="H16" i="2"/>
  <c r="I16" i="2" s="1"/>
  <c r="K16" i="2" s="1"/>
  <c r="L10" i="1" s="1"/>
  <c r="G6" i="2"/>
  <c r="I6" i="2" s="1"/>
  <c r="K6" i="2" s="1"/>
  <c r="G8" i="1" s="1"/>
  <c r="R21" i="1"/>
  <c r="T8" i="2"/>
  <c r="S8" i="2"/>
  <c r="R23" i="1" l="1"/>
  <c r="R24" i="1" s="1"/>
</calcChain>
</file>

<file path=xl/sharedStrings.xml><?xml version="1.0" encoding="utf-8"?>
<sst xmlns="http://schemas.openxmlformats.org/spreadsheetml/2006/main" count="99" uniqueCount="78">
  <si>
    <t>Part 1: Type Your Refreshing Drink's Name Here:</t>
  </si>
  <si>
    <t>Shop Rental</t>
  </si>
  <si>
    <t>Utilities (power, water, trash)</t>
  </si>
  <si>
    <r>
      <t xml:space="preserve">Neighborhood Market
</t>
    </r>
    <r>
      <rPr>
        <b/>
        <sz val="12"/>
        <color rgb="FF000000"/>
        <rFont val="Calibri"/>
        <family val="2"/>
        <scheme val="minor"/>
      </rPr>
      <t xml:space="preserve">Fixed Cost per </t>
    </r>
    <r>
      <rPr>
        <b/>
        <u/>
        <sz val="12"/>
        <color rgb="FF000000"/>
        <rFont val="Calibri (Body)"/>
      </rPr>
      <t>Month</t>
    </r>
  </si>
  <si>
    <t>Part 2: Annual Fixed Cost</t>
  </si>
  <si>
    <t>Annual Fixed Cost</t>
  </si>
  <si>
    <t>Variable Costs</t>
  </si>
  <si>
    <t>Part 3: Price and % of Demand</t>
  </si>
  <si>
    <t>% of Demand</t>
  </si>
  <si>
    <t>Price</t>
  </si>
  <si>
    <t>Part 4: Break-Even Point</t>
  </si>
  <si>
    <t>✓</t>
  </si>
  <si>
    <t>Break-Even Point</t>
  </si>
  <si>
    <t>Monthly Demand</t>
  </si>
  <si>
    <t>Price Adjusted Demand</t>
  </si>
  <si>
    <t>Part 1: Student Name Generation</t>
  </si>
  <si>
    <t>Part 5: Yearly Cost &amp; Revenue</t>
  </si>
  <si>
    <t>Student Name</t>
  </si>
  <si>
    <t>First three characteres</t>
  </si>
  <si>
    <t>ASCII Value</t>
  </si>
  <si>
    <t>Percent Increase in the Base Monthly Demand</t>
  </si>
  <si>
    <t>Base Value</t>
  </si>
  <si>
    <t>Unique Value</t>
  </si>
  <si>
    <t>Parts 2-4: Check Your Work</t>
  </si>
  <si>
    <t>Student Answer</t>
  </si>
  <si>
    <t>Annual Fixed Costs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</si>
  <si>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</si>
  <si>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</si>
  <si>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</si>
  <si>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</si>
  <si>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</si>
  <si>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</si>
  <si>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</si>
  <si>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</si>
  <si>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</si>
  <si>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</si>
  <si>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</si>
  <si>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</si>
  <si>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Base Monthly Demand</t>
  </si>
  <si>
    <t>"Unique" Student Monthly Demand</t>
  </si>
  <si>
    <t>Beginning of Year</t>
  </si>
  <si>
    <t>End of Year</t>
  </si>
  <si>
    <t>Total Units Sold</t>
  </si>
  <si>
    <t>Annual Revenue</t>
  </si>
  <si>
    <t>Annual (Fixed and Variable) Costs</t>
  </si>
  <si>
    <t>Annual Net Profit</t>
  </si>
  <si>
    <t>Profit Margin</t>
  </si>
  <si>
    <t>Annual Costs (Fixed &amp; Varable)</t>
  </si>
  <si>
    <t>Correct Answer</t>
  </si>
  <si>
    <t>Feedback</t>
  </si>
  <si>
    <t>Referencing</t>
  </si>
  <si>
    <t>Overall Feedback</t>
  </si>
  <si>
    <t>High</t>
  </si>
  <si>
    <t>Low</t>
  </si>
  <si>
    <t>Optimal Price</t>
  </si>
  <si>
    <t>Price/Demand</t>
  </si>
  <si>
    <t>The price and % of demand correspond on the graph.</t>
  </si>
  <si>
    <t>The price and % of demand are within the optimal range.</t>
  </si>
  <si>
    <t>Price
Range
✓</t>
  </si>
  <si>
    <r>
      <rPr>
        <b/>
        <sz val="10"/>
        <color theme="1"/>
        <rFont val="Calibri (Body)"/>
      </rPr>
      <t>Read Chart</t>
    </r>
    <r>
      <rPr>
        <b/>
        <sz val="12"/>
        <color theme="1"/>
        <rFont val="Calibri"/>
        <family val="2"/>
        <scheme val="minor"/>
      </rPr>
      <t xml:space="preserve"> ✓</t>
    </r>
  </si>
  <si>
    <t>Total Units (Cups) Sold</t>
  </si>
  <si>
    <t>For instructions, see your Canvas course Modules - W05 Application Activity: Break-Even Analysis.</t>
  </si>
  <si>
    <t>C</t>
  </si>
  <si>
    <t>A</t>
  </si>
  <si>
    <t>CR</t>
  </si>
  <si>
    <t>N</t>
  </si>
  <si>
    <t xml:space="preserve">✓ Feedback Key: </t>
  </si>
  <si>
    <r>
      <t xml:space="preserve"> = Check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ell </t>
    </r>
    <r>
      <rPr>
        <b/>
        <u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>eferencing, Answer is Correct</t>
    </r>
  </si>
  <si>
    <r>
      <t xml:space="preserve"> = Check </t>
    </r>
    <r>
      <rPr>
        <b/>
        <u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nswer, Cell Referencing is Correct</t>
    </r>
  </si>
  <si>
    <r>
      <t xml:space="preserve"> =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orrect</t>
    </r>
  </si>
  <si>
    <r>
      <t xml:space="preserve"> = </t>
    </r>
    <r>
      <rPr>
        <b/>
        <u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ot Correct </t>
    </r>
  </si>
  <si>
    <t>W05 Application Activity: Break-Even Analysis</t>
  </si>
  <si>
    <t>Break-Even Point = Fixed Cost / (Price - Variable Costs)</t>
  </si>
  <si>
    <t>Text Reference:</t>
  </si>
  <si>
    <t xml:space="preserve">*After inputing your break-even point formula, do the Revenue and Cost match?  If so, you have properly calculated the break-even point.  </t>
  </si>
  <si>
    <t>The break-even point is the number of cups sold when the cost and revenue match. When referring to the chart in Part 5, the break-even point is shown at the intersection of both lines.  Any additional cups sold after the break-even point will become profit.</t>
  </si>
  <si>
    <r>
      <t xml:space="preserve">Break-Even Point
</t>
    </r>
    <r>
      <rPr>
        <sz val="12"/>
        <color theme="1"/>
        <rFont val="Calibri"/>
        <family val="2"/>
        <scheme val="minor"/>
      </rPr>
      <t>(# of cups sold)</t>
    </r>
  </si>
  <si>
    <t>Mango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</si>
</sst>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_(* #,##0_);_(* \(#,##0\);_(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 (Body)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BD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0" fontId="5" fillId="5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7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9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164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vertical="center"/>
    </xf>
    <xf numFmtId="1" fontId="0" fillId="0" borderId="0" xfId="0" applyNumberFormat="1"/>
    <xf numFmtId="0" fontId="3" fillId="0" borderId="0" xfId="0" applyFont="1" applyAlignment="1">
      <alignment horizontal="right" vertical="center"/>
    </xf>
    <xf numFmtId="3" fontId="5" fillId="8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4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9" fontId="0" fillId="0" borderId="0" xfId="3" applyFont="1"/>
    <xf numFmtId="166" fontId="0" fillId="0" borderId="0" xfId="1" applyNumberFormat="1" applyFont="1"/>
    <xf numFmtId="165" fontId="0" fillId="0" borderId="0" xfId="1" applyNumberFormat="1" applyFont="1" applyBorder="1"/>
    <xf numFmtId="165" fontId="0" fillId="0" borderId="13" xfId="0" applyNumberFormat="1" applyBorder="1"/>
    <xf numFmtId="164" fontId="1" fillId="0" borderId="3" xfId="1" applyNumberFormat="1" applyFont="1" applyFill="1" applyBorder="1" applyAlignment="1" applyProtection="1">
      <alignment horizontal="center" vertical="center"/>
      <protection locked="0"/>
    </xf>
    <xf numFmtId="9" fontId="0" fillId="0" borderId="0" xfId="0" applyNumberFormat="1"/>
    <xf numFmtId="164" fontId="0" fillId="0" borderId="2" xfId="1" applyNumberFormat="1" applyFont="1" applyBorder="1"/>
    <xf numFmtId="0" fontId="8" fillId="11" borderId="2" xfId="0" applyFont="1" applyFill="1" applyBorder="1" applyAlignment="1">
      <alignment horizontal="left" wrapText="1"/>
    </xf>
    <xf numFmtId="0" fontId="5" fillId="11" borderId="2" xfId="0" applyFont="1" applyFill="1" applyBorder="1" applyAlignment="1">
      <alignment horizontal="left" vertical="center"/>
    </xf>
    <xf numFmtId="164" fontId="1" fillId="11" borderId="3" xfId="1" applyNumberFormat="1" applyFont="1" applyFill="1" applyBorder="1" applyAlignment="1" applyProtection="1">
      <alignment vertical="center"/>
      <protection locked="0"/>
    </xf>
    <xf numFmtId="9" fontId="1" fillId="12" borderId="0" xfId="3" applyFont="1" applyFill="1" applyBorder="1" applyAlignment="1" applyProtection="1">
      <alignment vertical="center"/>
      <protection locked="0"/>
    </xf>
    <xf numFmtId="9" fontId="1" fillId="0" borderId="0" xfId="3" applyFont="1" applyFill="1" applyBorder="1" applyAlignment="1" applyProtection="1">
      <alignment vertical="center"/>
      <protection locked="0"/>
    </xf>
    <xf numFmtId="164" fontId="1" fillId="0" borderId="5" xfId="1" applyNumberFormat="1" applyFont="1" applyFill="1" applyBorder="1" applyAlignment="1" applyProtection="1">
      <alignment horizontal="center" vertical="center"/>
      <protection locked="0"/>
    </xf>
    <xf numFmtId="0" fontId="0" fillId="0" borderId="14" xfId="0" applyBorder="1"/>
    <xf numFmtId="164" fontId="1" fillId="12" borderId="0" xfId="1" applyNumberFormat="1" applyFont="1" applyFill="1" applyBorder="1" applyAlignment="1" applyProtection="1">
      <alignment vertical="center" wrapText="1"/>
      <protection locked="0"/>
    </xf>
    <xf numFmtId="164" fontId="1" fillId="12" borderId="0" xfId="1" applyNumberFormat="1" applyFont="1" applyFill="1" applyBorder="1" applyAlignment="1" applyProtection="1">
      <alignment vertical="center"/>
      <protection locked="0"/>
    </xf>
    <xf numFmtId="164" fontId="1" fillId="11" borderId="15" xfId="1" applyNumberFormat="1" applyFont="1" applyFill="1" applyBorder="1" applyAlignment="1" applyProtection="1">
      <alignment vertical="center"/>
      <protection locked="0"/>
    </xf>
    <xf numFmtId="164" fontId="1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/>
    </xf>
    <xf numFmtId="164" fontId="1" fillId="11" borderId="4" xfId="1" applyNumberFormat="1" applyFont="1" applyFill="1" applyBorder="1" applyAlignment="1" applyProtection="1">
      <alignment vertical="center"/>
      <protection locked="0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10" borderId="15" xfId="0" applyFont="1" applyFill="1" applyBorder="1"/>
    <xf numFmtId="0" fontId="0" fillId="11" borderId="15" xfId="0" applyFill="1" applyBorder="1" applyAlignment="1">
      <alignment horizontal="right" vertical="center" wrapText="1"/>
    </xf>
    <xf numFmtId="0" fontId="0" fillId="11" borderId="15" xfId="0" applyFill="1" applyBorder="1" applyAlignment="1">
      <alignment horizontal="center" wrapText="1"/>
    </xf>
    <xf numFmtId="164" fontId="0" fillId="0" borderId="4" xfId="0" applyNumberFormat="1" applyBorder="1" applyAlignment="1">
      <alignment horizontal="center" vertical="center"/>
    </xf>
    <xf numFmtId="164" fontId="1" fillId="0" borderId="15" xfId="1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wrapText="1"/>
    </xf>
    <xf numFmtId="1" fontId="0" fillId="11" borderId="4" xfId="0" applyNumberFormat="1" applyFill="1" applyBorder="1" applyAlignment="1" applyProtection="1">
      <alignment vertical="center"/>
      <protection locked="0"/>
    </xf>
    <xf numFmtId="1" fontId="0" fillId="11" borderId="3" xfId="0" quotePrefix="1" applyNumberFormat="1" applyFill="1" applyBorder="1" applyAlignment="1" applyProtection="1">
      <alignment vertical="center"/>
      <protection locked="0"/>
    </xf>
    <xf numFmtId="164" fontId="1" fillId="11" borderId="15" xfId="3" applyNumberFormat="1" applyFont="1" applyFill="1" applyBorder="1" applyAlignment="1" applyProtection="1">
      <alignment vertical="center"/>
      <protection locked="0"/>
    </xf>
    <xf numFmtId="164" fontId="0" fillId="0" borderId="0" xfId="3" applyNumberFormat="1" applyFont="1"/>
    <xf numFmtId="167" fontId="0" fillId="0" borderId="0" xfId="2" applyNumberFormat="1" applyFont="1"/>
    <xf numFmtId="167" fontId="0" fillId="0" borderId="2" xfId="2" applyNumberFormat="1" applyFont="1" applyBorder="1"/>
    <xf numFmtId="0" fontId="2" fillId="0" borderId="0" xfId="0" applyFont="1" applyAlignment="1">
      <alignment vertical="center" wrapText="1"/>
    </xf>
    <xf numFmtId="0" fontId="0" fillId="2" borderId="2" xfId="0" applyFill="1" applyBorder="1" applyAlignment="1" applyProtection="1">
      <alignment horizontal="left" vertical="center" wrapText="1"/>
      <protection locked="0"/>
    </xf>
    <xf numFmtId="164" fontId="0" fillId="2" borderId="2" xfId="1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4" fillId="13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3" applyNumberFormat="1" applyFont="1"/>
    <xf numFmtId="0" fontId="0" fillId="0" borderId="0" xfId="0" applyAlignment="1">
      <alignment horizontal="center" vertical="center"/>
    </xf>
    <xf numFmtId="9" fontId="0" fillId="2" borderId="2" xfId="3" applyFont="1" applyFill="1" applyBorder="1" applyAlignment="1" applyProtection="1">
      <alignment vertical="center"/>
      <protection locked="0"/>
    </xf>
    <xf numFmtId="0" fontId="3" fillId="0" borderId="2" xfId="0" applyFont="1" applyBorder="1" applyAlignment="1">
      <alignment horizontal="center" vertical="center" wrapText="1"/>
    </xf>
    <xf numFmtId="1" fontId="0" fillId="2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11" borderId="6" xfId="0" applyFont="1" applyFill="1" applyBorder="1" applyAlignment="1">
      <alignment horizontal="left" vertical="center" wrapText="1"/>
    </xf>
    <xf numFmtId="0" fontId="8" fillId="11" borderId="10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u val="none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'Variables - Admin Use Only'!$S$6</c:f>
              <c:strCache>
                <c:ptCount val="1"/>
                <c:pt idx="0">
                  <c:v>Annual Costs (Fixed &amp; Varable)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'Variables - Admin Use Only'!$R$7:$R$9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16156.2</c:v>
                </c:pt>
              </c:numCache>
            </c:numRef>
          </c:xVal>
          <c:yVal>
            <c:numRef>
              <c:f>'Variables - Admin Use Only'!$S$7:$S$9</c:f>
              <c:numCache>
                <c:formatCode>_("$"* #,##0.00_);_("$"* \(#,##0.00\);_("$"* "-"??_);_(@_)</c:formatCode>
                <c:ptCount val="3"/>
                <c:pt idx="0" formatCode="General">
                  <c:v>5241.24</c:v>
                </c:pt>
                <c:pt idx="1">
                  <c:v>10088.099999999999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1-DD42-B8AA-ACECC55CC9B3}"/>
            </c:ext>
          </c:extLst>
        </c:ser>
        <c:ser>
          <c:idx val="1"/>
          <c:order val="1"/>
          <c:tx>
            <c:strRef>
              <c:f>'Variables - Admin Use Only'!$T$6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'Variables - Admin Use Only'!$R$7:$R$9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16156.2</c:v>
                </c:pt>
              </c:numCache>
            </c:numRef>
          </c:xVal>
          <c:yVal>
            <c:numRef>
              <c:f>'Variables - Admin Use Only'!$T$7:$T$9</c:f>
              <c:numCache>
                <c:formatCode>_("$"* #,##0.00_);_("$"* \(#,##0.00\);_("$"* "-"??_);_(@_)</c:formatCode>
                <c:ptCount val="3"/>
                <c:pt idx="0" formatCode="General">
                  <c:v>0</c:v>
                </c:pt>
                <c:pt idx="1">
                  <c:v>12924.960000000001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CD4B-9CF1-6312CC3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43952"/>
        <c:axId val="810535600"/>
      </c:scatterChart>
      <c:valAx>
        <c:axId val="81014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Cups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5600"/>
        <c:crosses val="autoZero"/>
        <c:crossBetween val="midCat"/>
        <c:minorUnit val="2000"/>
      </c:valAx>
      <c:valAx>
        <c:axId val="810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(in Dollars)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4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368299</xdr:colOff>
      <xdr:row>3</xdr:row>
      <xdr:rowOff>120650</xdr:rowOff>
    </xdr:from>
    <xdr:to>
      <xdr:col>27</xdr:col>
      <xdr:colOff>522898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D3975-9666-E27E-72D1-7C718C95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100824</xdr:colOff>
      <xdr:row>10</xdr:row>
      <xdr:rowOff>50800</xdr:rowOff>
    </xdr:from>
    <xdr:to>
      <xdr:col>5</xdr:col>
      <xdr:colOff>1413250</xdr:colOff>
      <xdr:row>30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DEBFB-A70A-899B-8663-C95B3EE94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6924" y="3987800"/>
          <a:ext cx="3280926" cy="441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J4" workbookViewId="0">
      <selection activeCell="J11" sqref="J11:L11"/>
    </sheetView>
  </sheetViews>
  <sheetFormatPr defaultColWidth="10.796875" defaultRowHeight="15.6"/>
  <cols>
    <col min="1" max="1" width="21.796875" customWidth="1"/>
    <col min="2" max="2" width="4.796875" customWidth="1"/>
    <col min="3" max="3" width="42.296875" bestFit="1" customWidth="1"/>
    <col min="4" max="4" width="4.796875" customWidth="1"/>
    <col min="5" max="5" width="25.796875" customWidth="1"/>
    <col min="6" max="6" width="20.796875" customWidth="1"/>
    <col min="7" max="8" width="4.796875" customWidth="1"/>
    <col min="9" max="9" width="32.5" hidden="1" customWidth="1"/>
    <col min="10" max="11" width="15.796875" customWidth="1"/>
    <col min="12" max="15" width="5.796875" customWidth="1"/>
    <col min="17" max="17" width="10.796875" customWidth="1"/>
    <col min="18" max="18" width="12.796875" bestFit="1" customWidth="1"/>
    <col min="19" max="19" width="4.796875" customWidth="1"/>
  </cols>
  <sheetData>
    <row r="1" spans="1:28" ht="18">
      <c r="A1" s="1" t="s">
        <v>71</v>
      </c>
      <c r="B1" s="1"/>
    </row>
    <row r="3" spans="1:28" ht="31.95" customHeight="1">
      <c r="A3" s="88" t="s">
        <v>61</v>
      </c>
      <c r="B3" s="2"/>
      <c r="C3" s="3" t="s">
        <v>0</v>
      </c>
      <c r="E3" s="93" t="s">
        <v>4</v>
      </c>
      <c r="F3" s="93"/>
      <c r="G3" s="93"/>
      <c r="J3" s="94" t="s">
        <v>7</v>
      </c>
      <c r="K3" s="93"/>
      <c r="L3" s="93"/>
      <c r="M3" s="93"/>
      <c r="N3" s="78"/>
      <c r="O3" s="93" t="s">
        <v>16</v>
      </c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</row>
    <row r="4" spans="1:28" ht="40.950000000000003" customHeight="1">
      <c r="A4" s="88"/>
      <c r="B4" s="2"/>
      <c r="C4" s="69" t="s">
        <v>77</v>
      </c>
      <c r="E4" s="85" t="s">
        <v>3</v>
      </c>
      <c r="F4" s="86"/>
      <c r="L4" s="60" t="s">
        <v>59</v>
      </c>
      <c r="M4" s="61" t="s">
        <v>58</v>
      </c>
      <c r="Q4" s="27" t="s">
        <v>13</v>
      </c>
      <c r="R4" s="27" t="s">
        <v>14</v>
      </c>
    </row>
    <row r="5" spans="1:28" ht="40.049999999999997" customHeight="1">
      <c r="A5" s="88"/>
      <c r="B5" s="2"/>
      <c r="E5" s="4" t="s">
        <v>1</v>
      </c>
      <c r="F5" s="6">
        <f>IF(C4="","",'Variables - Admin Use Only'!D13)</f>
        <v>322.74</v>
      </c>
      <c r="J5" s="7" t="s">
        <v>9</v>
      </c>
      <c r="K5" s="70">
        <v>0.8</v>
      </c>
      <c r="L5" s="90" t="str">
        <f>IF(OR(K5="",K6=""),"",'Variables - Admin Use Only'!I8)</f>
        <v>C</v>
      </c>
      <c r="M5" s="92" t="str">
        <f>IF(OR(K5="",K6=""),"",'Variables - Admin Use Only'!I12)</f>
        <v>C</v>
      </c>
      <c r="P5" s="28" t="s">
        <v>26</v>
      </c>
      <c r="Q5" s="67">
        <f>'Variables - Admin Use Only'!O7</f>
        <v>273</v>
      </c>
      <c r="R5" s="67">
        <f>Q5*$K$6</f>
        <v>163.79999999999998</v>
      </c>
    </row>
    <row r="6" spans="1:28" ht="40.950000000000003" customHeight="1">
      <c r="A6" s="88"/>
      <c r="B6" s="2"/>
      <c r="E6" s="5" t="s">
        <v>2</v>
      </c>
      <c r="F6" s="6">
        <f>IF(C4="","",'Variables - Admin Use Only'!D14)</f>
        <v>114.03</v>
      </c>
      <c r="J6" s="7" t="s">
        <v>8</v>
      </c>
      <c r="K6" s="82">
        <v>0.6</v>
      </c>
      <c r="L6" s="91"/>
      <c r="M6" s="92"/>
      <c r="P6" s="28" t="s">
        <v>27</v>
      </c>
      <c r="Q6" s="67">
        <f>'Variables - Admin Use Only'!O8</f>
        <v>611</v>
      </c>
      <c r="R6" s="67">
        <f t="shared" ref="R6:R16" si="0">Q6*$K$6</f>
        <v>366.59999999999997</v>
      </c>
    </row>
    <row r="7" spans="1:28" ht="19.95" customHeight="1">
      <c r="A7" s="88"/>
      <c r="B7" s="2"/>
      <c r="G7" s="9" t="s">
        <v>11</v>
      </c>
      <c r="P7" s="28" t="s">
        <v>28</v>
      </c>
      <c r="Q7" s="67">
        <f>'Variables - Admin Use Only'!O9</f>
        <v>1060</v>
      </c>
      <c r="R7" s="67">
        <f t="shared" si="0"/>
        <v>636</v>
      </c>
    </row>
    <row r="8" spans="1:28" ht="40.950000000000003" customHeight="1">
      <c r="A8" s="8"/>
      <c r="B8" s="2"/>
      <c r="E8" s="7" t="s">
        <v>5</v>
      </c>
      <c r="F8" s="70">
        <f>(F5+F6)*12</f>
        <v>5241.24</v>
      </c>
      <c r="G8" s="59" t="str">
        <f ca="1">IF(F8="","",'Variables - Admin Use Only'!K6)</f>
        <v>C</v>
      </c>
      <c r="H8" s="10"/>
      <c r="J8" s="95" t="s">
        <v>10</v>
      </c>
      <c r="K8" s="96"/>
      <c r="L8" s="96"/>
      <c r="M8" s="96"/>
      <c r="P8" s="28" t="s">
        <v>29</v>
      </c>
      <c r="Q8" s="67">
        <f>'Variables - Admin Use Only'!O10</f>
        <v>1999</v>
      </c>
      <c r="R8" s="67">
        <f t="shared" si="0"/>
        <v>1199.3999999999999</v>
      </c>
    </row>
    <row r="9" spans="1:28" ht="19.95" customHeight="1">
      <c r="E9" s="7" t="s">
        <v>6</v>
      </c>
      <c r="F9" s="38">
        <v>0.3</v>
      </c>
      <c r="J9" s="68"/>
      <c r="K9" s="68"/>
      <c r="L9" s="26" t="s">
        <v>11</v>
      </c>
      <c r="P9" s="28" t="s">
        <v>30</v>
      </c>
      <c r="Q9" s="67">
        <f>'Variables - Admin Use Only'!O11</f>
        <v>3211</v>
      </c>
      <c r="R9" s="67">
        <f t="shared" si="0"/>
        <v>1926.6</v>
      </c>
    </row>
    <row r="10" spans="1:28" ht="40.049999999999997" customHeight="1">
      <c r="J10" s="83" t="s">
        <v>76</v>
      </c>
      <c r="K10" s="84">
        <f>F8/(K5-F9)</f>
        <v>10482.48</v>
      </c>
      <c r="L10" s="59" t="str">
        <f ca="1">IF(K10="","",'Variables - Admin Use Only'!K16)</f>
        <v>C</v>
      </c>
      <c r="P10" s="28" t="s">
        <v>31</v>
      </c>
      <c r="Q10" s="67">
        <f>'Variables - Admin Use Only'!O12</f>
        <v>4146</v>
      </c>
      <c r="R10" s="67">
        <f>Q10*$K$6</f>
        <v>2487.6</v>
      </c>
    </row>
    <row r="11" spans="1:28" ht="39.75" customHeight="1">
      <c r="A11" s="72" t="s">
        <v>66</v>
      </c>
      <c r="B11" s="73" t="s">
        <v>62</v>
      </c>
      <c r="C11" s="71" t="s">
        <v>69</v>
      </c>
      <c r="J11" s="98" t="s">
        <v>72</v>
      </c>
      <c r="K11" s="98"/>
      <c r="L11" s="98"/>
      <c r="P11" s="28" t="s">
        <v>32</v>
      </c>
      <c r="Q11" s="67">
        <f>'Variables - Admin Use Only'!O13</f>
        <v>3075</v>
      </c>
      <c r="R11" s="67">
        <f t="shared" si="0"/>
        <v>1845</v>
      </c>
    </row>
    <row r="12" spans="1:28" ht="19.95" customHeight="1">
      <c r="B12" s="74" t="s">
        <v>63</v>
      </c>
      <c r="C12" s="71" t="s">
        <v>68</v>
      </c>
      <c r="J12" s="77"/>
      <c r="K12" s="77"/>
      <c r="P12" s="28" t="s">
        <v>33</v>
      </c>
      <c r="Q12" s="67">
        <f>'Variables - Admin Use Only'!O14</f>
        <v>3211</v>
      </c>
      <c r="R12" s="67">
        <f t="shared" si="0"/>
        <v>1926.6</v>
      </c>
    </row>
    <row r="13" spans="1:28" ht="19.95" customHeight="1">
      <c r="B13" s="74" t="s">
        <v>64</v>
      </c>
      <c r="C13" s="71" t="s">
        <v>67</v>
      </c>
      <c r="J13" s="72" t="str">
        <f>IF(K10="","","Revenue:")</f>
        <v>Revenue:</v>
      </c>
      <c r="K13" s="76" t="str">
        <f>IF(K10&lt;&gt;"","$"&amp;ROUND(K10*K5,0),"")</f>
        <v>$8386</v>
      </c>
      <c r="P13" s="28" t="s">
        <v>34</v>
      </c>
      <c r="Q13" s="67">
        <f>'Variables - Admin Use Only'!O15</f>
        <v>3788</v>
      </c>
      <c r="R13" s="67">
        <f t="shared" si="0"/>
        <v>2272.7999999999997</v>
      </c>
    </row>
    <row r="14" spans="1:28" ht="19.95" customHeight="1">
      <c r="B14" s="75" t="s">
        <v>65</v>
      </c>
      <c r="C14" s="71" t="s">
        <v>70</v>
      </c>
      <c r="J14" s="72" t="str">
        <f>IF(K10="","","Cost:")</f>
        <v>Cost:</v>
      </c>
      <c r="K14" s="2" t="str">
        <f>IF(K10&lt;&gt;"","$"&amp;ROUND(F8+(K10*F9),0),"")</f>
        <v>$8386</v>
      </c>
      <c r="P14" s="28" t="s">
        <v>35</v>
      </c>
      <c r="Q14" s="67">
        <f>'Variables - Admin Use Only'!O16</f>
        <v>2706</v>
      </c>
      <c r="R14" s="67">
        <f t="shared" si="0"/>
        <v>1623.6</v>
      </c>
    </row>
    <row r="15" spans="1:28">
      <c r="J15" s="8"/>
      <c r="K15" s="8"/>
      <c r="L15" s="2"/>
      <c r="P15" s="28" t="s">
        <v>36</v>
      </c>
      <c r="Q15" s="67">
        <f>'Variables - Admin Use Only'!O17</f>
        <v>2106</v>
      </c>
      <c r="R15" s="67">
        <f t="shared" si="0"/>
        <v>1263.5999999999999</v>
      </c>
    </row>
    <row r="16" spans="1:28" ht="16.05" customHeight="1">
      <c r="J16" s="97" t="str">
        <f>IF(K10="","",'Variables - Admin Use Only'!G19&amp;_xlfn.UNICHAR(10)&amp;CHAR(10)&amp;'Variables - Admin Use Only'!H19)</f>
        <v>*After inputing your break-even point formula, do the Revenue and Cost match?  If so, you have properly calculated the break-even point.  
The break-even point is the number of cups sold when the cost and revenue match. When referring to the chart in Part 5, the break-even point is shown at the intersection of both lines.  Any additional cups sold after the break-even point will become profit.</v>
      </c>
      <c r="K16" s="97"/>
      <c r="L16" s="2"/>
      <c r="P16" s="28" t="s">
        <v>37</v>
      </c>
      <c r="Q16" s="67">
        <f>'Variables - Admin Use Only'!O18</f>
        <v>741</v>
      </c>
      <c r="R16" s="67">
        <f t="shared" si="0"/>
        <v>444.59999999999997</v>
      </c>
    </row>
    <row r="17" spans="10:18">
      <c r="J17" s="97"/>
      <c r="K17" s="97"/>
      <c r="L17" s="2"/>
    </row>
    <row r="18" spans="10:18" ht="16.95" customHeight="1">
      <c r="J18" s="97"/>
      <c r="K18" s="97"/>
      <c r="L18" s="2"/>
      <c r="Q18" s="87" t="s">
        <v>40</v>
      </c>
      <c r="R18" s="89" t="s">
        <v>41</v>
      </c>
    </row>
    <row r="19" spans="10:18">
      <c r="J19" s="97"/>
      <c r="K19" s="97"/>
      <c r="L19" s="2"/>
      <c r="Q19" s="87"/>
      <c r="R19" s="89"/>
    </row>
    <row r="20" spans="10:18">
      <c r="J20" s="97"/>
      <c r="K20" s="97"/>
      <c r="L20" s="2"/>
      <c r="P20" s="25" t="s">
        <v>60</v>
      </c>
      <c r="Q20">
        <v>0</v>
      </c>
      <c r="R20" s="66">
        <f>SUM(R5:R16)</f>
        <v>16156.2</v>
      </c>
    </row>
    <row r="21" spans="10:18">
      <c r="J21" s="97"/>
      <c r="K21" s="97"/>
      <c r="L21" s="2"/>
      <c r="P21" s="25" t="s">
        <v>44</v>
      </c>
      <c r="Q21" s="31">
        <f>F8</f>
        <v>5241.24</v>
      </c>
      <c r="R21" s="30">
        <f>F8+(F9*R20)</f>
        <v>10088.099999999999</v>
      </c>
    </row>
    <row r="22" spans="10:18" ht="16.2" thickBot="1">
      <c r="J22" s="97"/>
      <c r="K22" s="97"/>
      <c r="L22" s="2"/>
      <c r="P22" s="25" t="s">
        <v>43</v>
      </c>
      <c r="Q22" s="33">
        <v>0</v>
      </c>
      <c r="R22" s="34">
        <f>R20*K5</f>
        <v>12924.960000000001</v>
      </c>
    </row>
    <row r="23" spans="10:18" ht="16.2" thickBot="1">
      <c r="J23" s="97"/>
      <c r="K23" s="97"/>
      <c r="L23" s="2"/>
      <c r="Q23" s="25" t="s">
        <v>45</v>
      </c>
      <c r="R23" s="35">
        <f>R22-R21</f>
        <v>2836.8600000000024</v>
      </c>
    </row>
    <row r="24" spans="10:18">
      <c r="J24" s="97"/>
      <c r="K24" s="97"/>
      <c r="Q24" s="25" t="s">
        <v>46</v>
      </c>
      <c r="R24" s="32">
        <f>R23/R22</f>
        <v>0.21948694618784137</v>
      </c>
    </row>
    <row r="25" spans="10:18">
      <c r="J25" s="97"/>
      <c r="K25" s="97"/>
    </row>
    <row r="26" spans="10:18">
      <c r="J26" s="97"/>
      <c r="K26" s="97"/>
    </row>
    <row r="27" spans="10:18">
      <c r="J27" s="97"/>
      <c r="K27" s="97"/>
    </row>
    <row r="28" spans="10:18">
      <c r="J28" s="97"/>
      <c r="K28" s="97"/>
    </row>
    <row r="29" spans="10:18">
      <c r="J29" s="97"/>
      <c r="K29" s="97"/>
    </row>
    <row r="30" spans="10:18">
      <c r="J30" s="79"/>
    </row>
  </sheetData>
  <sheetProtection algorithmName="SHA-512" hashValue="sed5/96WYtTVnYOoWfnQYpMA0ks+U4nQpTlI7VHFyplTb/bV32tOD6e+ie/S02cEYQ+i0hOozDzKFAmCo669ig==" saltValue="0FAP5MCSluqrYGIcL4E52Q==" spinCount="100000" sheet="1" objects="1" formatCells="0" formatColumns="0"/>
  <mergeCells count="12">
    <mergeCell ref="E4:F4"/>
    <mergeCell ref="Q18:Q19"/>
    <mergeCell ref="A3:A7"/>
    <mergeCell ref="R18:R19"/>
    <mergeCell ref="L5:L6"/>
    <mergeCell ref="M5:M6"/>
    <mergeCell ref="E3:G3"/>
    <mergeCell ref="J3:M3"/>
    <mergeCell ref="J8:M8"/>
    <mergeCell ref="O3:AB3"/>
    <mergeCell ref="J16:K29"/>
    <mergeCell ref="J11:L11"/>
  </mergeCells>
  <phoneticPr fontId="10" type="noConversion"/>
  <conditionalFormatting sqref="G8">
    <cfRule type="cellIs" dxfId="10" priority="13" operator="equal">
      <formula>"A"</formula>
    </cfRule>
    <cfRule type="cellIs" dxfId="9" priority="12" operator="equal">
      <formula>"CR"</formula>
    </cfRule>
    <cfRule type="cellIs" dxfId="8" priority="11" operator="equal">
      <formula>"N"</formula>
    </cfRule>
    <cfRule type="cellIs" dxfId="7" priority="10" operator="equal">
      <formula>"C"</formula>
    </cfRule>
  </conditionalFormatting>
  <conditionalFormatting sqref="L10">
    <cfRule type="cellIs" dxfId="6" priority="5" operator="equal">
      <formula>"C"</formula>
    </cfRule>
    <cfRule type="cellIs" dxfId="5" priority="1" operator="equal">
      <formula>"A"</formula>
    </cfRule>
    <cfRule type="cellIs" dxfId="4" priority="4" operator="equal">
      <formula>"A"</formula>
    </cfRule>
    <cfRule type="cellIs" dxfId="3" priority="3" operator="equal">
      <formula>"CR"</formula>
    </cfRule>
    <cfRule type="cellIs" dxfId="2" priority="2" operator="equal">
      <formula>"N"</formula>
    </cfRule>
  </conditionalFormatting>
  <conditionalFormatting sqref="L5:M6">
    <cfRule type="cellIs" dxfId="1" priority="7" operator="equal">
      <formula>"C"</formula>
    </cfRule>
    <cfRule type="cellIs" dxfId="0" priority="6" operator="equal">
      <formula>"N"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topLeftCell="A6" workbookViewId="0">
      <selection activeCell="G16" sqref="G16"/>
    </sheetView>
  </sheetViews>
  <sheetFormatPr defaultColWidth="10.796875" defaultRowHeight="15.6"/>
  <cols>
    <col min="1" max="1" width="10.796875" customWidth="1"/>
    <col min="2" max="4" width="14.796875" customWidth="1"/>
    <col min="6" max="6" width="17.5" customWidth="1"/>
    <col min="7" max="7" width="14.19921875" bestFit="1" customWidth="1"/>
    <col min="8" max="8" width="14.19921875" customWidth="1"/>
    <col min="9" max="9" width="9" customWidth="1"/>
    <col min="10" max="10" width="11" bestFit="1" customWidth="1"/>
    <col min="11" max="11" width="15" customWidth="1"/>
    <col min="12" max="12" width="12.19921875" customWidth="1"/>
    <col min="13" max="14" width="10.796875" customWidth="1"/>
    <col min="16" max="17" width="10.796875" customWidth="1"/>
    <col min="18" max="20" width="11.296875" customWidth="1"/>
  </cols>
  <sheetData>
    <row r="3" spans="1:20" ht="25.05" customHeight="1">
      <c r="A3" s="93" t="s">
        <v>15</v>
      </c>
      <c r="B3" s="93"/>
      <c r="C3" s="93"/>
      <c r="D3" s="93"/>
      <c r="E3" s="15"/>
      <c r="F3" s="93" t="s">
        <v>23</v>
      </c>
      <c r="G3" s="93"/>
      <c r="H3" s="93"/>
      <c r="I3" s="93"/>
      <c r="J3" s="93"/>
      <c r="K3" s="93"/>
      <c r="M3" s="93" t="s">
        <v>16</v>
      </c>
      <c r="N3" s="93"/>
      <c r="O3" s="93"/>
      <c r="P3" s="93"/>
      <c r="Q3" s="93"/>
      <c r="R3" s="93"/>
      <c r="S3" s="93"/>
      <c r="T3" s="93"/>
    </row>
    <row r="4" spans="1:20">
      <c r="N4" s="111" t="s">
        <v>38</v>
      </c>
      <c r="O4" s="111" t="s">
        <v>39</v>
      </c>
    </row>
    <row r="5" spans="1:20" ht="16.05" customHeight="1">
      <c r="G5" s="17" t="s">
        <v>24</v>
      </c>
      <c r="H5" s="17" t="s">
        <v>48</v>
      </c>
      <c r="I5" s="17" t="s">
        <v>49</v>
      </c>
      <c r="J5" s="17" t="s">
        <v>50</v>
      </c>
      <c r="K5" s="17" t="s">
        <v>51</v>
      </c>
      <c r="L5" s="17"/>
      <c r="N5" s="111"/>
      <c r="O5" s="111"/>
    </row>
    <row r="6" spans="1:20" ht="46.8">
      <c r="A6" s="39" t="s">
        <v>17</v>
      </c>
      <c r="B6" s="99" t="str">
        <f>'Break-Even Analysis'!C4</f>
        <v>Mango Juice</v>
      </c>
      <c r="C6" s="100"/>
      <c r="D6" s="101"/>
      <c r="E6" s="13"/>
      <c r="F6" s="52" t="s">
        <v>25</v>
      </c>
      <c r="G6" s="51">
        <f>ROUND('Break-Even Analysis'!F8,2)</f>
        <v>5241.24</v>
      </c>
      <c r="H6" s="41">
        <f>ROUND(SUM('Break-Even Analysis'!F5:F6)*12,2)</f>
        <v>5241.24</v>
      </c>
      <c r="I6" s="58" t="str">
        <f>IF(G6=H6,"C","N")</f>
        <v>C</v>
      </c>
      <c r="J6" s="58" t="str">
        <f ca="1">IFERROR(IF(AND(FIND("F5",_xlfn.FORMULATEXT('Break-Even Analysis'!F8))&gt;0,FIND("F6",_xlfn.FORMULATEXT('Break-Even Analysis'!F8))&gt;0),"C","N"),"N")</f>
        <v>C</v>
      </c>
      <c r="K6" s="57" t="str">
        <f ca="1">IF(AND(I6="N",J6="N"),"N",IF(AND(I6="C",J6="C"),"C",IF(I6="C","CR","A")))</f>
        <v>C</v>
      </c>
      <c r="L6" s="19"/>
      <c r="N6" s="112"/>
      <c r="O6" s="112"/>
      <c r="R6" s="56" t="s">
        <v>42</v>
      </c>
      <c r="S6" s="56" t="s">
        <v>47</v>
      </c>
      <c r="T6" s="56" t="s">
        <v>43</v>
      </c>
    </row>
    <row r="7" spans="1:20" ht="31.2">
      <c r="A7" s="39" t="s">
        <v>18</v>
      </c>
      <c r="B7" s="11" t="str">
        <f>UPPER(MID(B6,1,1))</f>
        <v>M</v>
      </c>
      <c r="C7" s="11" t="str">
        <f>UPPER(IF(MID(B6,2,1)="","a",MID(B6,2,1)))</f>
        <v>A</v>
      </c>
      <c r="D7" s="11" t="str">
        <f>UPPER(IF(MID(B6,3,1)="","b",MID(B6,3,1)))</f>
        <v>N</v>
      </c>
      <c r="E7" s="13"/>
      <c r="M7" s="21" t="s">
        <v>26</v>
      </c>
      <c r="N7" s="22">
        <v>254</v>
      </c>
      <c r="O7" s="22">
        <f>ROUND(N7*(($B$9/100)+1),0)</f>
        <v>273</v>
      </c>
      <c r="Q7" s="55" t="s">
        <v>40</v>
      </c>
      <c r="R7">
        <v>0</v>
      </c>
      <c r="S7">
        <f>'Break-Even Analysis'!F8</f>
        <v>5241.24</v>
      </c>
      <c r="T7">
        <v>0</v>
      </c>
    </row>
    <row r="8" spans="1:20">
      <c r="A8" s="39" t="s">
        <v>19</v>
      </c>
      <c r="B8" s="11" t="str">
        <f>(RIGHT(CODE(B7),1))</f>
        <v>7</v>
      </c>
      <c r="C8" s="11" t="str">
        <f>(RIGHT(CODE(C7),1))</f>
        <v>5</v>
      </c>
      <c r="D8" s="11" t="str">
        <f>(RIGHT(CODE(D7),1))</f>
        <v>8</v>
      </c>
      <c r="E8" s="13"/>
      <c r="F8" s="53" t="s">
        <v>55</v>
      </c>
      <c r="G8" s="48">
        <f>ROUND('Break-Even Analysis'!K5,2)</f>
        <v>0.8</v>
      </c>
      <c r="H8" s="47"/>
      <c r="I8" s="49" t="str">
        <f>IF(OR((AND(('Break-Even Analysis'!K6/100)&lt;I9,('Break-Even Analysis'!K6/100)&gt;I10)),(AND(('Break-Even Analysis'!K6)&lt;I9,('Break-Even Analysis'!K6)&gt;I10))),"C", "N")</f>
        <v>C</v>
      </c>
      <c r="J8" s="46"/>
      <c r="M8" s="21" t="s">
        <v>27</v>
      </c>
      <c r="N8" s="23">
        <v>568</v>
      </c>
      <c r="O8" s="23">
        <f t="shared" ref="O8:O18" si="0">ROUND(N8*(($B$9/100)+1),0)</f>
        <v>611</v>
      </c>
      <c r="Q8" s="55" t="s">
        <v>41</v>
      </c>
      <c r="R8" s="24">
        <f>SUM('Break-Even Analysis'!R5:R16)</f>
        <v>16156.2</v>
      </c>
      <c r="S8" s="29">
        <f>'Break-Even Analysis'!F8+('Break-Even Analysis'!F9*'Break-Even Analysis'!R20)</f>
        <v>10088.099999999999</v>
      </c>
      <c r="T8" s="29">
        <f>'Break-Even Analysis'!K5*'Break-Even Analysis'!R20</f>
        <v>12924.960000000001</v>
      </c>
    </row>
    <row r="9" spans="1:20" ht="16.05" customHeight="1">
      <c r="A9" s="102" t="s">
        <v>20</v>
      </c>
      <c r="B9" s="104">
        <f>(CONCATENATE(B8,C8,D8)/100)</f>
        <v>7.58</v>
      </c>
      <c r="C9" s="105"/>
      <c r="D9" s="106"/>
      <c r="E9" s="13"/>
      <c r="F9" s="113" t="s">
        <v>56</v>
      </c>
      <c r="H9" t="s">
        <v>52</v>
      </c>
      <c r="I9" s="80">
        <f>((-1.125*'Break-Even Analysis'!K5)+1.5125)+0.02</f>
        <v>0.63249999999999995</v>
      </c>
      <c r="M9" s="21" t="s">
        <v>28</v>
      </c>
      <c r="N9" s="22">
        <v>985</v>
      </c>
      <c r="O9" s="22">
        <f t="shared" si="0"/>
        <v>1060</v>
      </c>
      <c r="T9" s="29"/>
    </row>
    <row r="10" spans="1:20">
      <c r="A10" s="103"/>
      <c r="B10" s="107"/>
      <c r="C10" s="108"/>
      <c r="D10" s="109"/>
      <c r="E10" s="13"/>
      <c r="F10" s="113"/>
      <c r="H10" t="s">
        <v>53</v>
      </c>
      <c r="I10" s="80">
        <f>((-1.125*'Break-Even Analysis'!K5)+1.5125)-0.02</f>
        <v>0.59249999999999992</v>
      </c>
      <c r="M10" s="21" t="s">
        <v>29</v>
      </c>
      <c r="N10" s="23">
        <v>1858</v>
      </c>
      <c r="O10" s="23">
        <f t="shared" si="0"/>
        <v>1999</v>
      </c>
    </row>
    <row r="11" spans="1:20">
      <c r="F11" s="113"/>
      <c r="M11" s="21" t="s">
        <v>30</v>
      </c>
      <c r="N11" s="22">
        <v>2985</v>
      </c>
      <c r="O11" s="22">
        <f t="shared" si="0"/>
        <v>3211</v>
      </c>
    </row>
    <row r="12" spans="1:20">
      <c r="C12" s="40" t="s">
        <v>21</v>
      </c>
      <c r="D12" s="40" t="s">
        <v>22</v>
      </c>
      <c r="E12" s="16"/>
      <c r="F12" s="53" t="s">
        <v>54</v>
      </c>
      <c r="G12" s="64">
        <f>'Break-Even Analysis'!K5</f>
        <v>0.8</v>
      </c>
      <c r="H12" s="42"/>
      <c r="I12" s="49" t="str">
        <f>IF(AND(G12&lt;I13,G12&gt;I14),"C","N")</f>
        <v>C</v>
      </c>
      <c r="J12" s="46"/>
      <c r="K12" s="20"/>
      <c r="M12" s="21" t="s">
        <v>31</v>
      </c>
      <c r="N12" s="23">
        <v>3854</v>
      </c>
      <c r="O12" s="23">
        <f t="shared" si="0"/>
        <v>4146</v>
      </c>
    </row>
    <row r="13" spans="1:20">
      <c r="A13" s="110" t="s">
        <v>1</v>
      </c>
      <c r="B13" s="110"/>
      <c r="C13" s="12">
        <v>300</v>
      </c>
      <c r="D13" s="12">
        <f>ROUND(C13*(1+($B$9/100)),2)</f>
        <v>322.74</v>
      </c>
      <c r="E13" s="14"/>
      <c r="F13" s="114" t="s">
        <v>57</v>
      </c>
      <c r="G13" s="43"/>
      <c r="H13" s="43" t="s">
        <v>52</v>
      </c>
      <c r="I13" s="65">
        <v>0.91</v>
      </c>
      <c r="J13" s="18"/>
      <c r="L13" s="20"/>
      <c r="M13" s="21" t="s">
        <v>32</v>
      </c>
      <c r="N13" s="22">
        <v>2858</v>
      </c>
      <c r="O13" s="22">
        <f t="shared" si="0"/>
        <v>3075</v>
      </c>
    </row>
    <row r="14" spans="1:20">
      <c r="A14" s="40" t="s">
        <v>2</v>
      </c>
      <c r="B14" s="40"/>
      <c r="C14" s="12">
        <v>106</v>
      </c>
      <c r="D14" s="12">
        <f>ROUND(C14*(1+($B$9/100)),2)</f>
        <v>114.03</v>
      </c>
      <c r="E14" s="14"/>
      <c r="F14" s="113"/>
      <c r="G14" s="43"/>
      <c r="H14" s="43" t="s">
        <v>53</v>
      </c>
      <c r="I14" s="65">
        <v>0.74</v>
      </c>
      <c r="J14" s="18"/>
      <c r="M14" s="21" t="s">
        <v>33</v>
      </c>
      <c r="N14" s="23">
        <v>2985</v>
      </c>
      <c r="O14" s="23">
        <f t="shared" si="0"/>
        <v>3211</v>
      </c>
    </row>
    <row r="15" spans="1:20">
      <c r="F15" s="115"/>
      <c r="M15" s="21" t="s">
        <v>34</v>
      </c>
      <c r="N15" s="22">
        <v>3521</v>
      </c>
      <c r="O15" s="22">
        <f t="shared" si="0"/>
        <v>3788</v>
      </c>
    </row>
    <row r="16" spans="1:20">
      <c r="F16" s="54" t="s">
        <v>12</v>
      </c>
      <c r="G16" s="62">
        <f>ROUND('Break-Even Analysis'!K10,0)</f>
        <v>10482</v>
      </c>
      <c r="H16" s="63">
        <f>ROUND('Break-Even Analysis'!F8/('Break-Even Analysis'!K5-'Break-Even Analysis'!F9),0)</f>
        <v>10482</v>
      </c>
      <c r="I16" s="36" t="str">
        <f>IF(G16=H16,"C","N")</f>
        <v>C</v>
      </c>
      <c r="J16" s="44" t="str">
        <f ca="1">IFERROR(IF(AND(FIND("F8",_xlfn.FORMULATEXT('Break-Even Analysis'!K10))&gt;0,FIND("K5",_xlfn.FORMULATEXT('Break-Even Analysis'!K10))&gt;0,FIND("F9",_xlfn.FORMULATEXT('Break-Even Analysis'!K10))&gt;0),"C","N"),"N")</f>
        <v>C</v>
      </c>
      <c r="K16" s="50" t="str">
        <f ca="1">IF(AND(I16="N",J16="N"),"N",IF(AND(I16="C",J16="C"),"C",IF(I16="C","CR","A")))</f>
        <v>C</v>
      </c>
      <c r="M16" s="21" t="s">
        <v>35</v>
      </c>
      <c r="N16" s="23">
        <v>2515</v>
      </c>
      <c r="O16" s="23">
        <f t="shared" si="0"/>
        <v>2706</v>
      </c>
    </row>
    <row r="17" spans="6:15">
      <c r="K17" s="45"/>
      <c r="M17" s="21" t="s">
        <v>36</v>
      </c>
      <c r="N17" s="22">
        <v>1958</v>
      </c>
      <c r="O17" s="22">
        <f t="shared" si="0"/>
        <v>2106</v>
      </c>
    </row>
    <row r="18" spans="6:15">
      <c r="M18" s="21" t="s">
        <v>37</v>
      </c>
      <c r="N18" s="23">
        <v>689</v>
      </c>
      <c r="O18" s="23">
        <f t="shared" si="0"/>
        <v>741</v>
      </c>
    </row>
    <row r="19" spans="6:15" ht="296.39999999999998">
      <c r="F19" s="81" t="s">
        <v>73</v>
      </c>
      <c r="G19" s="2" t="s">
        <v>74</v>
      </c>
      <c r="H19" s="2" t="s">
        <v>75</v>
      </c>
    </row>
    <row r="21" spans="6:15">
      <c r="K21" s="32"/>
    </row>
    <row r="22" spans="6:15">
      <c r="K22" s="32"/>
    </row>
    <row r="24" spans="6:15">
      <c r="I24" s="32"/>
      <c r="J24" s="37"/>
    </row>
    <row r="25" spans="6:15">
      <c r="I25" s="32"/>
    </row>
    <row r="28" spans="6:15">
      <c r="H28" s="29"/>
    </row>
  </sheetData>
  <sheetProtection algorithmName="SHA-512" hashValue="XNgG2IArsIlxghD+1+ZxVv3IHf7ECjr8MWkCSZzJb1F8nbEohoyBpk7NKNMQwj2WcqDTp+lTJDELA6r3lub2qg==" saltValue="wSTdrCSeEyiKsFem/TVtAg==" spinCount="100000" sheet="1" objects="1" scenarios="1" formatCells="0" formatColumns="0"/>
  <mergeCells count="11">
    <mergeCell ref="O4:O6"/>
    <mergeCell ref="M3:T3"/>
    <mergeCell ref="F9:F11"/>
    <mergeCell ref="F13:F15"/>
    <mergeCell ref="F3:K3"/>
    <mergeCell ref="N4:N6"/>
    <mergeCell ref="B6:D6"/>
    <mergeCell ref="A9:A10"/>
    <mergeCell ref="B9:D10"/>
    <mergeCell ref="A13:B13"/>
    <mergeCell ref="A3:D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Break-Even Analysis</vt:lpstr>
      <vt:lpstr>Variables - Admin Use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Elizabeth Kehaulani Brems</dc:creator>
  <cp:lastModifiedBy>Kenneth Maberi</cp:lastModifiedBy>
  <dcterms:created xsi:type="dcterms:W3CDTF">2023-09-22T19:54:38Z</dcterms:created>
  <dcterms:modified xsi:type="dcterms:W3CDTF">2025-06-06T07:35:16Z</dcterms:modified>
</cp:coreProperties>
</file>