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Finance\JPM IB exp\"/>
    </mc:Choice>
  </mc:AlternateContent>
  <xr:revisionPtr revIDLastSave="0" documentId="13_ncr:1_{4A68BA8B-E623-46F3-89B9-817D70072FBE}" xr6:coauthVersionLast="47" xr6:coauthVersionMax="47" xr10:uidLastSave="{00000000-0000-0000-0000-000000000000}"/>
  <bookViews>
    <workbookView xWindow="-120" yWindow="-120" windowWidth="29040" windowHeight="15840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6" i="45" l="1"/>
  <c r="O16" i="45"/>
  <c r="N16" i="45"/>
  <c r="M16" i="45"/>
  <c r="S39" i="31"/>
  <c r="I39" i="31"/>
  <c r="G27" i="31"/>
  <c r="H27" i="31"/>
  <c r="I27" i="31"/>
  <c r="S27" i="31"/>
  <c r="F27" i="31"/>
  <c r="G31" i="31"/>
  <c r="H31" i="31"/>
  <c r="I31" i="31"/>
  <c r="S31" i="31"/>
  <c r="F31" i="31"/>
  <c r="S46" i="31"/>
  <c r="S59" i="31" l="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L58" i="31"/>
  <c r="K58" i="31"/>
  <c r="J58" i="31"/>
  <c r="I58" i="31"/>
  <c r="H58" i="31"/>
  <c r="G58" i="31"/>
  <c r="F58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M52" i="31"/>
  <c r="L52" i="31"/>
  <c r="K52" i="31"/>
  <c r="J52" i="31"/>
  <c r="I52" i="31"/>
  <c r="H52" i="31"/>
  <c r="G52" i="31"/>
  <c r="F52" i="31"/>
  <c r="S33" i="31"/>
  <c r="I33" i="31"/>
  <c r="H33" i="31"/>
  <c r="G33" i="31"/>
  <c r="F33" i="31"/>
  <c r="S50" i="31"/>
  <c r="I50" i="31"/>
  <c r="H50" i="31"/>
  <c r="G50" i="31"/>
  <c r="F50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S40" i="31"/>
  <c r="R40" i="31"/>
  <c r="Q40" i="31"/>
  <c r="P40" i="31"/>
  <c r="O40" i="31"/>
  <c r="N40" i="31"/>
  <c r="M40" i="31"/>
  <c r="L40" i="31"/>
  <c r="K40" i="31"/>
  <c r="J40" i="31"/>
  <c r="I40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R53" i="45"/>
  <c r="S53" i="45" s="1"/>
  <c r="T53" i="45" s="1"/>
  <c r="S22" i="45"/>
  <c r="T22" i="45"/>
  <c r="U22" i="45" s="1"/>
  <c r="R22" i="45"/>
  <c r="Q22" i="45"/>
  <c r="M20" i="45"/>
  <c r="N20" i="45"/>
  <c r="O20" i="45"/>
  <c r="P20" i="45"/>
  <c r="L20" i="45"/>
  <c r="I32" i="31"/>
  <c r="H32" i="31"/>
  <c r="G32" i="31"/>
  <c r="F32" i="31"/>
  <c r="I29" i="31"/>
  <c r="H29" i="31"/>
  <c r="G29" i="31"/>
  <c r="S28" i="31"/>
  <c r="I28" i="31"/>
  <c r="H28" i="31"/>
  <c r="G28" i="31"/>
  <c r="F28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P53" i="45"/>
  <c r="O53" i="45"/>
  <c r="N53" i="45"/>
  <c r="M53" i="45"/>
  <c r="L53" i="45"/>
  <c r="P49" i="45"/>
  <c r="O49" i="45"/>
  <c r="N49" i="45"/>
  <c r="M49" i="45"/>
  <c r="L49" i="45"/>
  <c r="P45" i="45"/>
  <c r="O45" i="45"/>
  <c r="N45" i="45"/>
  <c r="M45" i="45"/>
  <c r="L45" i="45"/>
  <c r="P40" i="45"/>
  <c r="O40" i="45"/>
  <c r="N40" i="45"/>
  <c r="M40" i="45"/>
  <c r="L40" i="45"/>
  <c r="L16" i="45"/>
  <c r="P12" i="45"/>
  <c r="O12" i="45"/>
  <c r="N12" i="45"/>
  <c r="M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4" i="45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4" i="45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O11" i="45" l="1"/>
  <c r="O33" i="45" s="1"/>
  <c r="N15" i="45"/>
  <c r="M77" i="45"/>
  <c r="M79" i="45"/>
  <c r="N55" i="45"/>
  <c r="N51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K58" i="45"/>
  <c r="H22" i="31" s="1"/>
  <c r="L9" i="45"/>
  <c r="M62" i="45"/>
  <c r="J27" i="31" s="1"/>
  <c r="M71" i="45"/>
  <c r="M17" i="45"/>
  <c r="N60" i="45"/>
  <c r="J29" i="31" l="1"/>
  <c r="J28" i="31"/>
  <c r="P11" i="45"/>
  <c r="O15" i="45"/>
  <c r="D19" i="12"/>
  <c r="N77" i="45"/>
  <c r="N79" i="45"/>
  <c r="L64" i="45"/>
  <c r="L63" i="45"/>
  <c r="B36" i="44"/>
  <c r="C34" i="44"/>
  <c r="C35" i="44" s="1"/>
  <c r="N43" i="45"/>
  <c r="N61" i="45"/>
  <c r="N75" i="45"/>
  <c r="N73" i="45"/>
  <c r="N62" i="45"/>
  <c r="K27" i="31" s="1"/>
  <c r="K28" i="31" s="1"/>
  <c r="N17" i="45"/>
  <c r="N71" i="45"/>
  <c r="M63" i="45"/>
  <c r="M64" i="45"/>
  <c r="M9" i="45"/>
  <c r="L58" i="45"/>
  <c r="I22" i="31" s="1"/>
  <c r="K29" i="31" l="1"/>
  <c r="P60" i="45"/>
  <c r="P33" i="45"/>
  <c r="I46" i="31"/>
  <c r="Q11" i="45"/>
  <c r="Q60" i="45" s="1"/>
  <c r="P15" i="45"/>
  <c r="C36" i="44"/>
  <c r="D34" i="44"/>
  <c r="D35" i="44" s="1"/>
  <c r="M58" i="45"/>
  <c r="J22" i="31" s="1"/>
  <c r="N9" i="45"/>
  <c r="N64" i="45"/>
  <c r="N63" i="45"/>
  <c r="E34" i="44" l="1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I123" i="31"/>
  <c r="F103" i="31"/>
  <c r="L37" i="40" s="1"/>
  <c r="M37" i="40"/>
  <c r="F121" i="31"/>
  <c r="L29" i="40"/>
  <c r="F116" i="31" l="1"/>
  <c r="F117" i="31" s="1"/>
  <c r="F36" i="31"/>
  <c r="K123" i="31"/>
  <c r="K23" i="40"/>
  <c r="G35" i="31"/>
  <c r="G3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6" i="31"/>
  <c r="H37" i="31"/>
  <c r="G118" i="3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12" i="31"/>
  <c r="J113" i="31" s="1"/>
  <c r="J17" i="31"/>
  <c r="J18" i="31" s="1"/>
  <c r="K11" i="40"/>
  <c r="K13" i="40" s="1"/>
  <c r="I35" i="31"/>
  <c r="J13" i="40"/>
  <c r="J66" i="31"/>
  <c r="I67" i="31"/>
  <c r="P29" i="40"/>
  <c r="I36" i="31" l="1"/>
  <c r="I42" i="31"/>
  <c r="I43" i="31" s="1"/>
  <c r="I37" i="31"/>
  <c r="I116" i="31"/>
  <c r="I117" i="31" s="1"/>
  <c r="J22" i="40"/>
  <c r="J27" i="40"/>
  <c r="J25" i="40"/>
  <c r="S119" i="31"/>
  <c r="S20" i="40"/>
  <c r="J10" i="40"/>
  <c r="J12" i="40"/>
  <c r="K112" i="31"/>
  <c r="K113" i="31" s="1"/>
  <c r="K9" i="40"/>
  <c r="R119" i="31"/>
  <c r="R20" i="40"/>
  <c r="K17" i="31"/>
  <c r="K18" i="31" s="1"/>
  <c r="J67" i="31"/>
  <c r="K66" i="31"/>
  <c r="Q29" i="40"/>
  <c r="I61" i="31" l="1"/>
  <c r="K10" i="40"/>
  <c r="K27" i="40"/>
  <c r="K25" i="40"/>
  <c r="K22" i="40"/>
  <c r="K12" i="40"/>
  <c r="J30" i="40"/>
  <c r="I118" i="31"/>
  <c r="L17" i="31"/>
  <c r="L18" i="31" s="1"/>
  <c r="L66" i="31"/>
  <c r="K67" i="31"/>
  <c r="K30" i="40" s="1"/>
  <c r="R29" i="40"/>
  <c r="I120" i="31" l="1"/>
  <c r="I127" i="31" s="1"/>
  <c r="I63" i="31"/>
  <c r="I64" i="31" s="1"/>
  <c r="M17" i="31"/>
  <c r="M18" i="31" s="1"/>
  <c r="M66" i="31"/>
  <c r="L67" i="31"/>
  <c r="L30" i="40" s="1"/>
  <c r="S29" i="40"/>
  <c r="N17" i="31" l="1"/>
  <c r="N18" i="31" s="1"/>
  <c r="N66" i="31"/>
  <c r="M67" i="31"/>
  <c r="M30" i="40" s="1"/>
  <c r="O17" i="31" l="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P43" i="45"/>
  <c r="O17" i="45"/>
  <c r="P71" i="45"/>
  <c r="O62" i="45"/>
  <c r="L27" i="31" s="1"/>
  <c r="O71" i="45"/>
  <c r="P17" i="45"/>
  <c r="P62" i="45"/>
  <c r="M27" i="31" s="1"/>
  <c r="M28" i="31" l="1"/>
  <c r="M29" i="31"/>
  <c r="L28" i="31"/>
  <c r="L29" i="31"/>
  <c r="P63" i="45"/>
  <c r="P64" i="45"/>
  <c r="O63" i="45"/>
  <c r="O64" i="45"/>
  <c r="O41" i="45" l="1"/>
  <c r="P41" i="45"/>
  <c r="O72" i="45"/>
  <c r="P72" i="45"/>
  <c r="P73" i="45" l="1"/>
  <c r="O73" i="45"/>
  <c r="Q42" i="45" l="1"/>
  <c r="Q55" i="45"/>
  <c r="Q51" i="45"/>
  <c r="Q61" i="45" l="1"/>
  <c r="Q79" i="45"/>
  <c r="Q77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12" i="31"/>
  <c r="M113" i="31" s="1"/>
  <c r="M27" i="40"/>
  <c r="N23" i="40"/>
  <c r="N123" i="31"/>
  <c r="M12" i="40"/>
  <c r="L9" i="40"/>
  <c r="L123" i="31"/>
  <c r="L23" i="40"/>
  <c r="L112" i="31"/>
  <c r="L113" i="31" s="1"/>
  <c r="L11" i="40"/>
  <c r="N27" i="40" l="1"/>
  <c r="N10" i="40"/>
  <c r="N25" i="40"/>
  <c r="L12" i="40"/>
  <c r="L13" i="40"/>
  <c r="M13" i="40"/>
  <c r="L10" i="40"/>
  <c r="L22" i="40"/>
  <c r="L25" i="40"/>
  <c r="L27" i="40"/>
  <c r="M10" i="40"/>
  <c r="V20" i="45" l="1"/>
  <c r="R11" i="45" l="1"/>
  <c r="R60" i="45" s="1"/>
  <c r="O123" i="31"/>
  <c r="O9" i="40"/>
  <c r="O10" i="40" s="1"/>
  <c r="O23" i="40"/>
  <c r="R55" i="45" l="1"/>
  <c r="R61" i="45"/>
  <c r="R73" i="45"/>
  <c r="R51" i="45"/>
  <c r="R42" i="45"/>
  <c r="O25" i="40"/>
  <c r="O22" i="40"/>
  <c r="O27" i="40"/>
  <c r="R77" i="45"/>
  <c r="R79" i="45"/>
  <c r="S11" i="45"/>
  <c r="S42" i="45" l="1"/>
  <c r="S55" i="45"/>
  <c r="T11" i="45"/>
  <c r="S51" i="45"/>
  <c r="S60" i="45"/>
  <c r="S73" i="45" l="1"/>
  <c r="S79" i="45"/>
  <c r="S61" i="45"/>
  <c r="S77" i="45"/>
  <c r="T60" i="45"/>
  <c r="T42" i="45"/>
  <c r="T55" i="45"/>
  <c r="U11" i="45"/>
  <c r="T51" i="45"/>
  <c r="T61" i="45" l="1"/>
  <c r="T73" i="45"/>
  <c r="T79" i="45"/>
  <c r="T77" i="45"/>
  <c r="P9" i="40"/>
  <c r="U60" i="45"/>
  <c r="U42" i="45"/>
  <c r="V11" i="45"/>
  <c r="U51" i="45"/>
  <c r="U55" i="45"/>
  <c r="U61" i="45" l="1"/>
  <c r="U73" i="45"/>
  <c r="U79" i="45"/>
  <c r="U77" i="45"/>
  <c r="Q9" i="40"/>
  <c r="P123" i="31"/>
  <c r="P23" i="40"/>
  <c r="P25" i="40"/>
  <c r="P10" i="40"/>
  <c r="P27" i="40"/>
  <c r="P22" i="40"/>
  <c r="V51" i="45"/>
  <c r="V60" i="45"/>
  <c r="V15" i="45"/>
  <c r="V42" i="45"/>
  <c r="V23" i="45"/>
  <c r="V55" i="45"/>
  <c r="V73" i="45" l="1"/>
  <c r="V61" i="45"/>
  <c r="V79" i="45"/>
  <c r="V77" i="45"/>
  <c r="Q123" i="31"/>
  <c r="Q23" i="40"/>
  <c r="R9" i="40"/>
  <c r="V43" i="45"/>
  <c r="V25" i="45"/>
  <c r="V71" i="45"/>
  <c r="V62" i="45"/>
  <c r="Q25" i="40"/>
  <c r="Q10" i="40"/>
  <c r="Q22" i="40"/>
  <c r="Q27" i="40"/>
  <c r="V64" i="45" l="1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14" i="31" l="1"/>
  <c r="S115" i="31" s="1"/>
  <c r="L21" i="45" l="1"/>
  <c r="L22" i="45"/>
  <c r="L23" i="45"/>
  <c r="L25" i="45"/>
  <c r="L27" i="45" s="1"/>
  <c r="L68" i="45"/>
  <c r="L65" i="45" s="1"/>
  <c r="L69" i="45"/>
  <c r="L70" i="45"/>
  <c r="L67" i="45" l="1"/>
  <c r="L66" i="45"/>
  <c r="L26" i="45"/>
  <c r="M21" i="45"/>
  <c r="N21" i="45"/>
  <c r="O21" i="45"/>
  <c r="P21" i="45"/>
  <c r="M22" i="45"/>
  <c r="N22" i="45"/>
  <c r="O22" i="45"/>
  <c r="P22" i="45"/>
  <c r="M23" i="45"/>
  <c r="N23" i="45"/>
  <c r="O23" i="45"/>
  <c r="P23" i="45"/>
  <c r="M25" i="45"/>
  <c r="N25" i="45"/>
  <c r="O25" i="45"/>
  <c r="P25" i="45"/>
  <c r="P27" i="45" s="1"/>
  <c r="M26" i="45"/>
  <c r="N26" i="45"/>
  <c r="O26" i="45"/>
  <c r="M27" i="45"/>
  <c r="N27" i="45"/>
  <c r="O27" i="45"/>
  <c r="M65" i="45"/>
  <c r="J31" i="31" s="1"/>
  <c r="N65" i="45"/>
  <c r="K31" i="31" s="1"/>
  <c r="M68" i="45"/>
  <c r="M69" i="45" s="1"/>
  <c r="N68" i="45"/>
  <c r="N69" i="45" s="1"/>
  <c r="O68" i="45"/>
  <c r="O70" i="45" s="1"/>
  <c r="P68" i="45"/>
  <c r="P70" i="45" s="1"/>
  <c r="M70" i="45"/>
  <c r="N70" i="45"/>
  <c r="K46" i="31" l="1"/>
  <c r="K114" i="31" s="1"/>
  <c r="K115" i="31" s="1"/>
  <c r="K32" i="31"/>
  <c r="K33" i="31"/>
  <c r="K50" i="31"/>
  <c r="K14" i="40"/>
  <c r="K35" i="31"/>
  <c r="K121" i="31"/>
  <c r="N67" i="45"/>
  <c r="N66" i="45"/>
  <c r="J46" i="31"/>
  <c r="J114" i="31" s="1"/>
  <c r="J115" i="31" s="1"/>
  <c r="J50" i="31"/>
  <c r="J33" i="31"/>
  <c r="J32" i="31"/>
  <c r="J121" i="31"/>
  <c r="J35" i="31"/>
  <c r="J14" i="40"/>
  <c r="M67" i="45"/>
  <c r="M66" i="45"/>
  <c r="P69" i="45"/>
  <c r="P65" i="45"/>
  <c r="M31" i="31" s="1"/>
  <c r="O69" i="45"/>
  <c r="O65" i="45"/>
  <c r="L31" i="31" s="1"/>
  <c r="P26" i="45"/>
  <c r="K39" i="31" l="1"/>
  <c r="K118" i="31" s="1"/>
  <c r="K116" i="31"/>
  <c r="K117" i="31" s="1"/>
  <c r="K42" i="31"/>
  <c r="K36" i="31"/>
  <c r="M46" i="31"/>
  <c r="M114" i="31" s="1"/>
  <c r="M115" i="31" s="1"/>
  <c r="M50" i="31"/>
  <c r="M33" i="31"/>
  <c r="M35" i="31"/>
  <c r="M14" i="40"/>
  <c r="M121" i="31"/>
  <c r="M32" i="31"/>
  <c r="K16" i="40"/>
  <c r="K15" i="40"/>
  <c r="K17" i="40"/>
  <c r="L46" i="31"/>
  <c r="L114" i="31" s="1"/>
  <c r="L115" i="31" s="1"/>
  <c r="L50" i="31"/>
  <c r="L33" i="31"/>
  <c r="L35" i="31"/>
  <c r="L14" i="40"/>
  <c r="L121" i="31"/>
  <c r="L32" i="31"/>
  <c r="J39" i="31"/>
  <c r="J118" i="31" s="1"/>
  <c r="J37" i="31"/>
  <c r="J116" i="31"/>
  <c r="J117" i="31" s="1"/>
  <c r="J36" i="31"/>
  <c r="K37" i="31"/>
  <c r="J15" i="40"/>
  <c r="J17" i="40"/>
  <c r="J16" i="40"/>
  <c r="O67" i="45"/>
  <c r="O66" i="45"/>
  <c r="P66" i="45"/>
  <c r="P67" i="45"/>
  <c r="J42" i="31" l="1"/>
  <c r="M15" i="40"/>
  <c r="M17" i="40"/>
  <c r="M16" i="40"/>
  <c r="M39" i="31"/>
  <c r="M116" i="31"/>
  <c r="M117" i="31" s="1"/>
  <c r="M37" i="31"/>
  <c r="M36" i="31"/>
  <c r="L15" i="40"/>
  <c r="L16" i="40"/>
  <c r="L17" i="40"/>
  <c r="K43" i="31"/>
  <c r="K61" i="31"/>
  <c r="K63" i="31" s="1"/>
  <c r="K64" i="31" s="1"/>
  <c r="K120" i="31"/>
  <c r="K127" i="31" s="1"/>
  <c r="L39" i="31"/>
  <c r="L118" i="31" s="1"/>
  <c r="L116" i="31"/>
  <c r="L117" i="31" s="1"/>
  <c r="L42" i="31"/>
  <c r="L37" i="31"/>
  <c r="L36" i="31"/>
  <c r="K19" i="40"/>
  <c r="K28" i="40" s="1"/>
  <c r="K31" i="40" s="1"/>
  <c r="K18" i="40"/>
  <c r="J61" i="31"/>
  <c r="J63" i="31" s="1"/>
  <c r="J64" i="31" s="1"/>
  <c r="J43" i="31"/>
  <c r="J44" i="31"/>
  <c r="K44" i="31"/>
  <c r="J120" i="31"/>
  <c r="J127" i="31" s="1"/>
  <c r="J19" i="40"/>
  <c r="J28" i="40" s="1"/>
  <c r="J31" i="40" s="1"/>
  <c r="J18" i="40"/>
  <c r="Q20" i="45"/>
  <c r="Q23" i="45" s="1"/>
  <c r="Q21" i="45"/>
  <c r="L19" i="40" l="1"/>
  <c r="L28" i="40" s="1"/>
  <c r="L31" i="40" s="1"/>
  <c r="L18" i="40"/>
  <c r="M118" i="31"/>
  <c r="M42" i="31"/>
  <c r="M19" i="40"/>
  <c r="M28" i="40" s="1"/>
  <c r="M31" i="40" s="1"/>
  <c r="M18" i="40"/>
  <c r="L44" i="31"/>
  <c r="L61" i="31"/>
  <c r="L63" i="31" s="1"/>
  <c r="L64" i="31" s="1"/>
  <c r="L120" i="31"/>
  <c r="L127" i="31" s="1"/>
  <c r="L43" i="31"/>
  <c r="M61" i="31" l="1"/>
  <c r="M63" i="31" s="1"/>
  <c r="M64" i="31" s="1"/>
  <c r="M43" i="31"/>
  <c r="M44" i="31"/>
  <c r="M120" i="31"/>
  <c r="M127" i="31" s="1"/>
  <c r="R20" i="45"/>
  <c r="R21" i="45"/>
  <c r="R23" i="45"/>
  <c r="S20" i="45" l="1"/>
  <c r="S32" i="31" s="1"/>
  <c r="S23" i="45" l="1"/>
  <c r="S21" i="45"/>
  <c r="S14" i="40"/>
  <c r="S121" i="31"/>
  <c r="S35" i="31"/>
  <c r="S116" i="31" l="1"/>
  <c r="S117" i="31" s="1"/>
  <c r="S36" i="31"/>
  <c r="S118" i="31"/>
  <c r="S42" i="31"/>
  <c r="S15" i="40"/>
  <c r="S16" i="40"/>
  <c r="S17" i="40"/>
  <c r="S43" i="31" l="1"/>
  <c r="S120" i="31"/>
  <c r="S127" i="31" s="1"/>
  <c r="S61" i="31"/>
  <c r="S63" i="31" s="1"/>
  <c r="S64" i="31" s="1"/>
  <c r="S18" i="40"/>
  <c r="S19" i="40"/>
  <c r="S28" i="40"/>
  <c r="T69" i="31" l="1"/>
  <c r="H76" i="31" s="1"/>
  <c r="T28" i="40"/>
  <c r="T31" i="40" s="1"/>
  <c r="F38" i="40" s="1"/>
  <c r="S31" i="40"/>
  <c r="T20" i="45" l="1"/>
  <c r="T21" i="45" s="1"/>
  <c r="T23" i="45" l="1"/>
  <c r="U20" i="45" l="1"/>
  <c r="V21" i="45" s="1"/>
  <c r="U21" i="45" l="1"/>
  <c r="U23" i="45"/>
  <c r="Q45" i="45" l="1"/>
  <c r="R47" i="45" s="1"/>
  <c r="R45" i="45" s="1"/>
  <c r="Q46" i="45"/>
  <c r="Q74" i="45"/>
  <c r="Q75" i="45" s="1"/>
  <c r="R74" i="45" l="1"/>
  <c r="R75" i="45" s="1"/>
  <c r="S47" i="45"/>
  <c r="S45" i="45" s="1"/>
  <c r="R46" i="45"/>
  <c r="T47" i="45" l="1"/>
  <c r="T45" i="45" s="1"/>
  <c r="S74" i="45"/>
  <c r="S75" i="45" s="1"/>
  <c r="S46" i="45"/>
  <c r="T46" i="45" l="1"/>
  <c r="T74" i="45"/>
  <c r="T75" i="45" s="1"/>
  <c r="U47" i="45"/>
  <c r="U45" i="45" s="1"/>
  <c r="U46" i="45" l="1"/>
  <c r="U74" i="45"/>
  <c r="U75" i="45" s="1"/>
  <c r="V47" i="45"/>
  <c r="V45" i="45" s="1"/>
  <c r="V74" i="45" l="1"/>
  <c r="V75" i="45" s="1"/>
  <c r="V46" i="45"/>
  <c r="Q15" i="45"/>
  <c r="R15" i="45"/>
  <c r="S15" i="45"/>
  <c r="T15" i="45"/>
  <c r="U15" i="45"/>
  <c r="Q17" i="45"/>
  <c r="R17" i="45"/>
  <c r="S17" i="45"/>
  <c r="T17" i="45"/>
  <c r="U17" i="45"/>
  <c r="V17" i="45"/>
  <c r="Q18" i="45"/>
  <c r="R18" i="45"/>
  <c r="S18" i="45"/>
  <c r="T18" i="45"/>
  <c r="U18" i="45"/>
  <c r="Q25" i="45"/>
  <c r="R25" i="45"/>
  <c r="S25" i="45"/>
  <c r="T25" i="45"/>
  <c r="U25" i="45"/>
  <c r="Q26" i="45"/>
  <c r="R26" i="45"/>
  <c r="S26" i="45"/>
  <c r="T26" i="45"/>
  <c r="U26" i="45"/>
  <c r="V26" i="45"/>
  <c r="Q27" i="45"/>
  <c r="R27" i="45"/>
  <c r="S27" i="45"/>
  <c r="T27" i="45"/>
  <c r="U27" i="45"/>
  <c r="Q43" i="45"/>
  <c r="R43" i="45"/>
  <c r="S43" i="45"/>
  <c r="T43" i="45"/>
  <c r="U43" i="45"/>
  <c r="Q62" i="45"/>
  <c r="R62" i="45"/>
  <c r="S62" i="45"/>
  <c r="T62" i="45"/>
  <c r="U62" i="45"/>
  <c r="Q63" i="45"/>
  <c r="R63" i="45"/>
  <c r="S63" i="45"/>
  <c r="T63" i="45"/>
  <c r="U63" i="45"/>
  <c r="V63" i="45"/>
  <c r="Q64" i="45"/>
  <c r="R64" i="45"/>
  <c r="S64" i="45"/>
  <c r="T64" i="45"/>
  <c r="U64" i="45"/>
  <c r="Q65" i="45"/>
  <c r="R65" i="45"/>
  <c r="S65" i="45"/>
  <c r="T65" i="45"/>
  <c r="U65" i="45"/>
  <c r="Q66" i="45"/>
  <c r="R66" i="45"/>
  <c r="S66" i="45"/>
  <c r="T66" i="45"/>
  <c r="U66" i="45"/>
  <c r="Q67" i="45"/>
  <c r="R67" i="45"/>
  <c r="S67" i="45"/>
  <c r="T67" i="45"/>
  <c r="U67" i="45"/>
  <c r="Q68" i="45"/>
  <c r="R68" i="45"/>
  <c r="S68" i="45"/>
  <c r="T68" i="45"/>
  <c r="U68" i="45"/>
  <c r="Q69" i="45"/>
  <c r="R69" i="45"/>
  <c r="S69" i="45"/>
  <c r="T69" i="45"/>
  <c r="U69" i="45"/>
  <c r="V69" i="45"/>
  <c r="Q70" i="45"/>
  <c r="R70" i="45"/>
  <c r="S70" i="45"/>
  <c r="T70" i="45"/>
  <c r="U70" i="45"/>
  <c r="Q71" i="45"/>
  <c r="R71" i="45"/>
  <c r="S71" i="45"/>
  <c r="T71" i="45"/>
  <c r="U71" i="45"/>
  <c r="N27" i="31"/>
  <c r="O27" i="31"/>
  <c r="P27" i="31"/>
  <c r="Q27" i="31"/>
  <c r="R27" i="31"/>
  <c r="N28" i="31"/>
  <c r="O28" i="31"/>
  <c r="P28" i="31"/>
  <c r="Q28" i="31"/>
  <c r="R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N33" i="31"/>
  <c r="O33" i="31"/>
  <c r="P33" i="31"/>
  <c r="Q33" i="31"/>
  <c r="R33" i="31"/>
  <c r="N35" i="31"/>
  <c r="O35" i="31"/>
  <c r="P35" i="31"/>
  <c r="Q35" i="31"/>
  <c r="R35" i="31"/>
  <c r="N36" i="31"/>
  <c r="O36" i="31"/>
  <c r="P36" i="31"/>
  <c r="Q36" i="31"/>
  <c r="R36" i="31"/>
  <c r="N37" i="31"/>
  <c r="O37" i="31"/>
  <c r="P37" i="31"/>
  <c r="Q37" i="31"/>
  <c r="R37" i="31"/>
  <c r="S37" i="31"/>
  <c r="N39" i="31"/>
  <c r="O39" i="31"/>
  <c r="P39" i="31"/>
  <c r="Q39" i="31"/>
  <c r="R39" i="31"/>
  <c r="N42" i="31"/>
  <c r="O42" i="31"/>
  <c r="P42" i="31"/>
  <c r="Q42" i="31"/>
  <c r="R42" i="31"/>
  <c r="N43" i="31"/>
  <c r="O43" i="31"/>
  <c r="P43" i="31"/>
  <c r="Q43" i="31"/>
  <c r="R43" i="31"/>
  <c r="N44" i="31"/>
  <c r="O44" i="31"/>
  <c r="P44" i="31"/>
  <c r="Q44" i="31"/>
  <c r="R44" i="31"/>
  <c r="S44" i="31"/>
  <c r="N46" i="31"/>
  <c r="O46" i="31"/>
  <c r="P46" i="31"/>
  <c r="Q46" i="31"/>
  <c r="R46" i="31"/>
  <c r="N50" i="31"/>
  <c r="O50" i="31"/>
  <c r="P50" i="31"/>
  <c r="Q50" i="31"/>
  <c r="R50" i="31"/>
  <c r="N61" i="31"/>
  <c r="O61" i="31"/>
  <c r="P61" i="31"/>
  <c r="Q61" i="31"/>
  <c r="R61" i="31"/>
  <c r="N63" i="31"/>
  <c r="O63" i="31"/>
  <c r="P63" i="31"/>
  <c r="Q63" i="31"/>
  <c r="R63" i="31"/>
  <c r="N64" i="31"/>
  <c r="O64" i="31"/>
  <c r="P64" i="31"/>
  <c r="Q64" i="31"/>
  <c r="R64" i="31"/>
  <c r="H75" i="31"/>
  <c r="I75" i="31"/>
  <c r="N75" i="31"/>
  <c r="O75" i="31"/>
  <c r="I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N113" i="31"/>
  <c r="O113" i="31"/>
  <c r="P113" i="31"/>
  <c r="Q113" i="31"/>
  <c r="R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N117" i="31"/>
  <c r="O117" i="31"/>
  <c r="P117" i="31"/>
  <c r="Q117" i="31"/>
  <c r="R117" i="31"/>
  <c r="N118" i="31"/>
  <c r="O118" i="31"/>
  <c r="P118" i="31"/>
  <c r="Q118" i="31"/>
  <c r="R118" i="31"/>
  <c r="N120" i="31"/>
  <c r="O120" i="31"/>
  <c r="P120" i="31"/>
  <c r="Q120" i="31"/>
  <c r="R120" i="31"/>
  <c r="N121" i="31"/>
  <c r="O121" i="31"/>
  <c r="P121" i="31"/>
  <c r="Q121" i="31"/>
  <c r="R121" i="31"/>
  <c r="N127" i="31"/>
  <c r="O127" i="31"/>
  <c r="P127" i="31"/>
  <c r="Q127" i="31"/>
  <c r="R127" i="31"/>
  <c r="N11" i="40"/>
  <c r="O11" i="40"/>
  <c r="P11" i="40"/>
  <c r="Q11" i="40"/>
  <c r="R11" i="40"/>
  <c r="N12" i="40"/>
  <c r="O12" i="40"/>
  <c r="P12" i="40"/>
  <c r="Q12" i="40"/>
  <c r="R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N16" i="40"/>
  <c r="O16" i="40"/>
  <c r="P16" i="40"/>
  <c r="Q16" i="40"/>
  <c r="R16" i="40"/>
  <c r="N17" i="40"/>
  <c r="O17" i="40"/>
  <c r="P17" i="40"/>
  <c r="Q17" i="40"/>
  <c r="R17" i="40"/>
  <c r="N18" i="40"/>
  <c r="O18" i="40"/>
  <c r="P18" i="40"/>
  <c r="Q18" i="40"/>
  <c r="R18" i="40"/>
  <c r="N19" i="40"/>
  <c r="O19" i="40"/>
  <c r="P19" i="40"/>
  <c r="Q19" i="40"/>
  <c r="R19" i="40"/>
  <c r="N28" i="40"/>
  <c r="O28" i="40"/>
  <c r="P28" i="40"/>
  <c r="Q28" i="40"/>
  <c r="R28" i="40"/>
  <c r="N31" i="40"/>
  <c r="O31" i="40"/>
  <c r="P31" i="40"/>
  <c r="Q31" i="40"/>
  <c r="R31" i="40"/>
  <c r="F37" i="40"/>
  <c r="G37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N29" authorId="0" shapeId="0" xr:uid="{225C5B9B-D94B-4EB3-950F-8C766B1D74E5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O29" authorId="0" shapeId="0" xr:uid="{7A0A8117-2A70-4E8B-B037-467F66D67F1D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P29" authorId="0" shapeId="0" xr:uid="{7FD6BCB7-7807-4768-8EA7-9402E93E9DE7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Q29" authorId="0" shapeId="0" xr:uid="{B2621AB6-8A6F-4795-820A-A212F5DFA072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R29" authorId="0" shapeId="0" xr:uid="{800086F8-CB9C-4B69-B166-340C88DA86DE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S29" authorId="0" shapeId="0" xr:uid="{16DFBC0C-C231-4074-8C05-0279FE28B70D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T29" authorId="0" shapeId="0" xr:uid="{8BAEE4CF-5089-41E2-9807-F4938DA2F36E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U29" authorId="0" shapeId="0" xr:uid="{79785241-EE20-4458-A2A1-FBFAEC6CD048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V29" authorId="0" shapeId="0" xr:uid="{A61EAE5D-127B-4442-95F2-74F82BB26F9C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<sst xmlns="http://schemas.openxmlformats.org/spreadsheetml/2006/main" count="282" uniqueCount="171">
  <si>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</si>
  <si>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</si>
  <si>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</si>
  <si>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</si>
  <si>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</si>
  <si>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</si>
  <si>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</si>
  <si>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</si>
  <si>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</si>
  <si>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</si>
  <si>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</si>
  <si>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</si>
  <si>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</si>
  <si>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</si>
  <si>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</si>
  <si>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</si>
  <si>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</si>
  <si>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</si>
  <si>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</si>
  <si>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</si>
  <si>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</si>
  <si>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</si>
  <si>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</si>
  <si>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</si>
  <si>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</si>
  <si>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</si>
  <si>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</si>
  <si>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</si>
  <si>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</si>
  <si>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</si>
  <si>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</si>
  <si>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</si>
  <si>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</si>
  <si>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</si>
  <si>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</si>
  <si>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</si>
  <si>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</si>
  <si>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</si>
  <si>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</si>
  <si>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</si>
  <si>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</si>
  <si>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</si>
  <si>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</si>
  <si>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</si>
  <si>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</si>
  <si>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</si>
  <si>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</si>
  <si>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</si>
  <si>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</si>
  <si>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</si>
  <si>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</si>
  <si>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</si>
  <si>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</si>
  <si>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</si>
  <si>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</si>
  <si>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</si>
  <si>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</si>
  <si>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</si>
  <si>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</si>
  <si>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</si>
  <si>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</si>
  <si>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</si>
  <si>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</si>
  <si>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</si>
  <si>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</si>
  <si>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</si>
  <si>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</si>
  <si>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</si>
  <si>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</si>
  <si>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</si>
  <si>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</si>
  <si>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</si>
  <si>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</si>
  <si>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</si>
  <si>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</si>
  <si>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</si>
  <si>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</si>
  <si>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</si>
  <si>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</si>
  <si>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</si>
  <si>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</si>
  <si>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</si>
  <si>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</si>
  <si>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</si>
  <si>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</si>
  <si>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</si>
  <si>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</si>
  <si>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</si>
  <si>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</si>
  <si>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</si>
  <si>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</si>
  <si>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</si>
  <si>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</si>
  <si>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</si>
  <si>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</si>
  <si>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</si>
  <si>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</si>
  <si>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</si>
  <si>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</si>
  <si>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</si>
  <si>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</si>
  <si>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</si>
  <si>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</si>
  <si>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</si>
  <si>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</si>
  <si>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</si>
  <si>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</si>
  <si>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</si>
  <si>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</si>
  <si>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</si>
  <si>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</si>
  <si>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</si>
  <si>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</si>
  <si>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</si>
  <si>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</si>
  <si>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</si>
  <si>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</si>
  <si>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</si>
  <si>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</si>
  <si>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</si>
  <si>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</si>
  <si>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</si>
  <si>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</si>
  <si>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</si>
  <si>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</si>
  <si>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</si>
  <si>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</si>
  <si>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</si>
  <si>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</si>
  <si>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</si>
  <si>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</si>
  <si>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</si>
  <si>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</si>
  <si>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</si>
  <si>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</si>
  <si>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</si>
  <si>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</si>
  <si>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</si>
  <si>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</si>
  <si>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</si>
  <si>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</si>
  <si>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</si>
  <si>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</si>
  <si>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</si>
  <si>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</si>
  <si>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</si>
  <si>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</si>
  <si>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</si>
  <si>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</si>
  <si>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</si>
  <si>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</si>
  <si>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</si>
  <si>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</si>
  <si>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</si>
  <si>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</si>
  <si>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</si>
  <si>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</si>
  <si>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</si>
  <si>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</si>
  <si>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</si>
  <si>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</si>
  <si>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</si>
  <si>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</si>
  <si>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</si>
  <si>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</si>
  <si>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</si>
  <si>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</si>
  <si>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</si>
  <si>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</si>
  <si>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Happy Hour Co. — MODEL</t>
  </si>
  <si>
    <t>JPM IB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</si>
</sst>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3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/>
    <xf numFmtId="0" fontId="251" fillId="106" borderId="0" xfId="0" applyFont="1" applyFill="1"/>
    <xf numFmtId="322" fontId="251" fillId="106" borderId="0" xfId="0" applyNumberFormat="1" applyFont="1" applyFill="1"/>
    <xf numFmtId="167" fontId="251" fillId="106" borderId="0" xfId="0" applyNumberFormat="1" applyFont="1" applyFill="1"/>
    <xf numFmtId="0" fontId="0" fillId="106" borderId="0" xfId="0" applyFill="1"/>
    <xf numFmtId="166" fontId="0" fillId="105" borderId="0" xfId="0" applyNumberFormat="1" applyFill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/>
    <xf numFmtId="166" fontId="0" fillId="105" borderId="2" xfId="0" applyNumberFormat="1" applyFill="1" applyBorder="1"/>
    <xf numFmtId="0" fontId="0" fillId="105" borderId="0" xfId="0" applyFill="1"/>
    <xf numFmtId="167" fontId="251" fillId="106" borderId="0" xfId="0" applyNumberFormat="1" applyFont="1" applyFill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4" fontId="21" fillId="0" borderId="0" xfId="0" applyNumberFormat="1" applyFont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>
      <selection activeCell="E26" sqref="E26"/>
    </sheetView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2" t="s">
        <v>169</v>
      </c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W14"/>
    </row>
    <row r="15" spans="2:23" ht="12.75" customHeight="1">
      <c r="C15" s="15"/>
      <c r="D15" s="354"/>
      <c r="E15" s="353"/>
      <c r="F15" s="353"/>
      <c r="G15" s="353"/>
      <c r="H15" s="353"/>
      <c r="I15" s="353"/>
      <c r="J15" s="353"/>
      <c r="K15" s="353"/>
      <c r="L15" s="353"/>
      <c r="M15" s="353"/>
      <c r="N15" s="353"/>
      <c r="O15" s="353"/>
      <c r="P15" s="353"/>
      <c r="Q15" s="353"/>
      <c r="R15" s="353"/>
      <c r="S15" s="353"/>
      <c r="T15" s="353"/>
      <c r="W15"/>
    </row>
    <row r="16" spans="2:23" ht="12.75" customHeight="1">
      <c r="C16" s="15"/>
      <c r="D16" s="354"/>
      <c r="E16" s="353"/>
      <c r="F16" s="353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W16"/>
    </row>
    <row r="17" spans="3:23" ht="12.75" customHeight="1">
      <c r="D17" s="354"/>
      <c r="E17" s="353"/>
      <c r="F17" s="353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W17"/>
    </row>
    <row r="18" spans="3:23">
      <c r="W18"/>
    </row>
    <row r="19" spans="3:23" ht="18.75">
      <c r="C19" s="355" t="s">
        <v>20</v>
      </c>
      <c r="E19" s="322">
        <f>Assumptions!D12</f>
        <v>43921</v>
      </c>
      <c r="W19"/>
    </row>
    <row r="20" spans="3:23">
      <c r="C20" s="355"/>
      <c r="E20" s="362" t="s">
        <v>170</v>
      </c>
      <c r="W20"/>
    </row>
    <row r="21" spans="3:23">
      <c r="C21" s="355"/>
      <c r="W21"/>
    </row>
    <row r="22" spans="3:23">
      <c r="C22" s="355"/>
      <c r="W22"/>
    </row>
    <row r="23" spans="3:23">
      <c r="C23" s="355"/>
    </row>
    <row r="24" spans="3:23">
      <c r="C24" s="355"/>
    </row>
    <row r="25" spans="3:23">
      <c r="C25" s="355"/>
    </row>
    <row r="26" spans="3:23" ht="12.75" customHeight="1">
      <c r="C26" s="355"/>
    </row>
    <row r="27" spans="3:23">
      <c r="C27" s="355"/>
    </row>
    <row r="28" spans="3:23">
      <c r="C28" s="355"/>
    </row>
    <row r="29" spans="3:23" ht="4.5" customHeight="1">
      <c r="C29" s="355"/>
    </row>
    <row r="30" spans="3:23">
      <c r="C30" s="355"/>
      <c r="Q30" s="156"/>
      <c r="R30" s="157"/>
      <c r="S30" s="157"/>
    </row>
    <row r="31" spans="3:23">
      <c r="C31" s="355"/>
      <c r="Q31" s="157"/>
      <c r="R31" s="157"/>
      <c r="S31" s="157"/>
      <c r="V31" s="44"/>
    </row>
    <row r="32" spans="3:23">
      <c r="C32" s="355"/>
      <c r="Q32" s="157"/>
      <c r="R32" s="157"/>
      <c r="S32" s="157"/>
    </row>
    <row r="33" spans="3:19">
      <c r="C33" s="355"/>
      <c r="Q33" s="158"/>
      <c r="R33" s="157"/>
      <c r="S33" s="157"/>
    </row>
    <row r="34" spans="3:19">
      <c r="C34" s="355"/>
      <c r="Q34" s="158"/>
      <c r="R34" s="157"/>
      <c r="S34" s="157"/>
    </row>
    <row r="35" spans="3:19" ht="4.5" customHeight="1">
      <c r="C35" s="355"/>
      <c r="Q35" s="158"/>
      <c r="R35" s="157"/>
      <c r="S35" s="157"/>
    </row>
    <row r="36" spans="3:19">
      <c r="C36" s="355"/>
      <c r="Q36" s="158"/>
      <c r="R36" s="157"/>
      <c r="S36" s="157"/>
    </row>
    <row r="37" spans="3:19">
      <c r="C37" s="355"/>
      <c r="G37"/>
      <c r="Q37" s="158"/>
      <c r="R37" s="157"/>
      <c r="S37" s="157"/>
    </row>
    <row r="38" spans="3:19">
      <c r="C38" s="355"/>
      <c r="Q38" s="158"/>
      <c r="R38" s="157"/>
      <c r="S38" s="157"/>
    </row>
    <row r="39" spans="3:19">
      <c r="C39" s="355"/>
      <c r="Q39" s="158"/>
      <c r="R39" s="157"/>
      <c r="S39" s="157"/>
    </row>
    <row r="40" spans="3:19">
      <c r="C40" s="355"/>
    </row>
    <row r="41" spans="3:19">
      <c r="C41" s="355"/>
    </row>
    <row r="42" spans="3:19">
      <c r="C42" s="355"/>
    </row>
    <row r="43" spans="3:19">
      <c r="C43" s="355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5546875" defaultRowHeight="12.75"/>
  <cols>
    <col min="1" max="1" width="3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3" spans="3:11" ht="20.25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147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136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137</v>
      </c>
      <c r="D18" s="80">
        <f>(D16*D17)/100</f>
        <v>328.35</v>
      </c>
      <c r="E18" s="2"/>
    </row>
    <row r="19" spans="3:7">
      <c r="C19" s="5" t="s">
        <v>138</v>
      </c>
      <c r="D19" s="314">
        <f>-'Company fin forecasts'!B35</f>
        <v>84.616813539584982</v>
      </c>
      <c r="E19" s="2"/>
      <c r="G19" s="45"/>
    </row>
    <row r="20" spans="3:7">
      <c r="C20" s="5" t="s">
        <v>139</v>
      </c>
      <c r="D20" s="121">
        <v>0</v>
      </c>
      <c r="E20" s="2"/>
    </row>
    <row r="21" spans="3:7">
      <c r="C21" s="5" t="s">
        <v>140</v>
      </c>
      <c r="D21" s="121">
        <v>0</v>
      </c>
      <c r="E21" s="2"/>
    </row>
    <row r="22" spans="3:7">
      <c r="C22" s="5" t="s">
        <v>141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168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defaultColWidth="9.140625" defaultRowHeight="12.75"/>
  <cols>
    <col min="1" max="1" width="30.7109375" customWidth="1"/>
    <col min="2" max="2" width="9.85546875" customWidth="1"/>
    <col min="3" max="6" width="9.42578125" bestFit="1" customWidth="1"/>
  </cols>
  <sheetData>
    <row r="1" spans="1:12" ht="21">
      <c r="A1" s="293" t="s">
        <v>148</v>
      </c>
    </row>
    <row r="2" spans="1:12" ht="21">
      <c r="A2" s="293"/>
    </row>
    <row r="3" spans="1:12">
      <c r="B3" s="356" t="s">
        <v>149</v>
      </c>
      <c r="C3" s="356"/>
      <c r="D3" s="356"/>
      <c r="E3" s="356"/>
      <c r="F3" s="356"/>
    </row>
    <row r="4" spans="1:12" ht="15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5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5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5">
      <c r="A7" t="s">
        <v>146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5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5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5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5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5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5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5">
      <c r="B14" s="295"/>
      <c r="C14" s="295"/>
      <c r="D14" s="295"/>
      <c r="E14" s="295"/>
      <c r="F14" s="295"/>
      <c r="G14" s="152"/>
    </row>
    <row r="15" spans="1:12" ht="15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5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5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5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5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5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5">
      <c r="B21" s="305"/>
      <c r="C21" s="305"/>
      <c r="D21" s="295"/>
      <c r="E21" s="295"/>
      <c r="F21" s="295"/>
    </row>
    <row r="22" spans="1:6" ht="15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5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5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5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5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5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5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5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5">
      <c r="B30" s="295"/>
      <c r="C30" s="295"/>
      <c r="D30" s="295"/>
      <c r="E30" s="295"/>
      <c r="F30" s="295"/>
    </row>
    <row r="31" spans="1:6" ht="15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5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5">
      <c r="B33" s="295"/>
      <c r="C33" s="295"/>
      <c r="D33" s="295"/>
      <c r="E33" s="295"/>
      <c r="F33" s="295"/>
    </row>
    <row r="34" spans="1:6" ht="15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5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5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5">
      <c r="B37" s="295"/>
      <c r="C37" s="295"/>
      <c r="D37" s="295"/>
      <c r="E37" s="295"/>
      <c r="F37" s="295"/>
    </row>
    <row r="38" spans="1:6" ht="15">
      <c r="B38" s="305"/>
      <c r="C38" s="305"/>
      <c r="D38" s="305"/>
      <c r="E38" s="305"/>
      <c r="F38" s="305"/>
    </row>
    <row r="39" spans="1:6" ht="15">
      <c r="B39" s="305"/>
      <c r="C39" s="305"/>
      <c r="D39" s="305"/>
      <c r="E39" s="305"/>
      <c r="F39" s="305"/>
    </row>
    <row r="40" spans="1:6" ht="15">
      <c r="B40" s="305"/>
      <c r="C40" s="305"/>
      <c r="D40" s="305"/>
      <c r="E40" s="305"/>
      <c r="F40" s="305"/>
    </row>
    <row r="41" spans="1:6" ht="15">
      <c r="B41" s="305"/>
      <c r="C41" s="305"/>
      <c r="D41" s="305"/>
      <c r="E41" s="305"/>
      <c r="F41" s="305"/>
    </row>
    <row r="42" spans="1:6" ht="15">
      <c r="B42" s="305"/>
      <c r="C42" s="305"/>
      <c r="D42" s="305"/>
      <c r="E42" s="305"/>
      <c r="F42" s="305"/>
    </row>
    <row r="43" spans="1:6" ht="15">
      <c r="B43" s="305"/>
      <c r="C43" s="305"/>
      <c r="D43" s="305"/>
      <c r="E43" s="305"/>
      <c r="F43" s="305"/>
    </row>
    <row r="44" spans="1:6" ht="15">
      <c r="B44" s="305"/>
      <c r="C44" s="305"/>
      <c r="D44" s="305"/>
      <c r="E44" s="305"/>
      <c r="F44" s="305"/>
    </row>
    <row r="45" spans="1:6" ht="15">
      <c r="B45" s="305"/>
      <c r="C45" s="305"/>
      <c r="D45" s="305"/>
      <c r="E45" s="305"/>
      <c r="F45" s="305"/>
    </row>
    <row r="46" spans="1:6" ht="15">
      <c r="B46" s="305"/>
      <c r="C46" s="305"/>
      <c r="D46" s="305"/>
      <c r="E46" s="305"/>
      <c r="F46" s="305"/>
    </row>
    <row r="47" spans="1:6" ht="15">
      <c r="B47" s="305"/>
      <c r="C47" s="305"/>
      <c r="D47" s="305"/>
      <c r="E47" s="305"/>
      <c r="F47" s="305"/>
    </row>
    <row r="48" spans="1:6" ht="15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C1" zoomScale="85" zoomScaleNormal="85" zoomScaleSheetLayoutView="85" workbookViewId="0">
      <selection activeCell="P18" sqref="P1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si="1"/>
        <v>1497.9592598104077</v>
      </c>
      <c r="S11" s="104">
        <f t="shared" si="1"/>
        <v>1521.9266079673744</v>
      </c>
      <c r="T11" s="104">
        <f t="shared" si="1"/>
        <v>1543.2335804789177</v>
      </c>
      <c r="U11" s="104">
        <f t="shared" si="1"/>
        <v>1561.7523834446647</v>
      </c>
      <c r="V11" s="104">
        <f t="shared" si="1"/>
        <v>1577.3699072791114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>
        <f>'Company fin forecasts'!B5</f>
        <v>1149.2312142121568</v>
      </c>
      <c r="M12" s="332">
        <f>'Company fin forecasts'!C5</f>
        <v>1255.6304578332745</v>
      </c>
      <c r="N12" s="332">
        <f>'Company fin forecasts'!D5</f>
        <v>1353.8373857301615</v>
      </c>
      <c r="O12" s="332">
        <f>'Company fin forecasts'!E5</f>
        <v>1446.9754795854417</v>
      </c>
      <c r="P12" s="332">
        <f>'Company fin forecasts'!F5</f>
        <v>1442.6203434361955</v>
      </c>
      <c r="Q12" s="40"/>
      <c r="R12" s="40"/>
      <c r="S12" s="40"/>
      <c r="T12" s="40"/>
      <c r="U12" s="40"/>
      <c r="V12" s="40"/>
      <c r="Y12" s="327" t="s">
        <v>158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v>1.7999999999999999E-2</v>
      </c>
      <c r="S13" s="326">
        <v>1.6E-2</v>
      </c>
      <c r="T13" s="326">
        <v>1.4E-2</v>
      </c>
      <c r="U13" s="326">
        <v>1.2E-2</v>
      </c>
      <c r="V13" s="119">
        <v>0.01</v>
      </c>
      <c r="Y13" s="327" t="s">
        <v>153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2">M11*M18</f>
        <v>92.625305088518957</v>
      </c>
      <c r="N15" s="104">
        <f t="shared" si="2"/>
        <v>111.79673623719195</v>
      </c>
      <c r="O15" s="104">
        <f t="shared" si="2"/>
        <v>124.39494101920255</v>
      </c>
      <c r="P15" s="104">
        <f t="shared" si="2"/>
        <v>127.56812935492377</v>
      </c>
      <c r="Q15" s="104">
        <f t="shared" ca="1" si="2"/>
        <v>130.50500120625895</v>
      </c>
      <c r="R15" s="104">
        <f t="shared" ca="1" si="2"/>
        <v>133.24653965896459</v>
      </c>
      <c r="S15" s="104">
        <f t="shared" ca="1" si="2"/>
        <v>135.77721189939695</v>
      </c>
      <c r="T15" s="104">
        <f t="shared" ca="1" si="2"/>
        <v>138.08240265835985</v>
      </c>
      <c r="U15" s="104">
        <f t="shared" ca="1" si="2"/>
        <v>140.14855300014</v>
      </c>
      <c r="V15" s="104">
        <f t="shared" si="2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>
        <f>'Company fin forecasts'!B20</f>
        <v>94.147209662938664</v>
      </c>
      <c r="M16" s="332">
        <f>'Company fin forecasts'!C20-'Company fin forecasts'!C15</f>
        <v>92.625305088518957</v>
      </c>
      <c r="N16" s="332">
        <f>'Company fin forecasts'!D20-'Company fin forecasts'!D15</f>
        <v>111.79673623719194</v>
      </c>
      <c r="O16" s="332">
        <f>'Company fin forecasts'!E20-'Company fin forecasts'!E15</f>
        <v>124.39494101920258</v>
      </c>
      <c r="P16" s="332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7" t="s">
        <v>158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>
        <f>IF(ISERROR(L15/K15-1),"n.a.",L15/K15-1)</f>
        <v>-4.1270777363150102E-2</v>
      </c>
      <c r="M17" s="6">
        <f t="shared" ref="M17:V17" si="4">IF(ISERROR(M15/L15-1),"n.a.",M15/L15-1)</f>
        <v>-1.6165158583757888E-2</v>
      </c>
      <c r="N17" s="6">
        <f t="shared" si="4"/>
        <v>0.20697833200496873</v>
      </c>
      <c r="O17" s="6">
        <f t="shared" si="4"/>
        <v>0.1126884845303695</v>
      </c>
      <c r="P17" s="6">
        <f t="shared" si="4"/>
        <v>2.5508982195918906E-2</v>
      </c>
      <c r="Q17" s="6">
        <f t="shared" ca="1" si="4"/>
        <v>2.302198727994309E-2</v>
      </c>
      <c r="R17" s="6">
        <f t="shared" ca="1" si="4"/>
        <v>2.1007152426079978E-2</v>
      </c>
      <c r="S17" s="6">
        <f t="shared" ca="1" si="4"/>
        <v>1.8992404957828057E-2</v>
      </c>
      <c r="T17" s="6">
        <f t="shared" ca="1" si="4"/>
        <v>1.6977744105328485E-2</v>
      </c>
      <c r="U17" s="6">
        <f t="shared" ca="1" si="4"/>
        <v>1.4963169107740315E-2</v>
      </c>
      <c r="V17" s="6">
        <f t="shared" ca="1" si="4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6">
        <f ca="1">+AVERAGE(P18,R18)</f>
        <v>8.8690056393647562E-2</v>
      </c>
      <c r="R18" s="326">
        <f ca="1">+AVERAGE(Q18,S18)</f>
        <v>8.8952045114918027E-2</v>
      </c>
      <c r="S18" s="326">
        <f ca="1">+AVERAGE(R18,T18)</f>
        <v>8.9214033836188505E-2</v>
      </c>
      <c r="T18" s="326">
        <f ca="1">+AVERAGE(S18,U18)</f>
        <v>8.9476022557458998E-2</v>
      </c>
      <c r="U18" s="326">
        <f ca="1">+AVERAGE(T18,V18)</f>
        <v>8.973801127872949E-2</v>
      </c>
      <c r="V18" s="146">
        <v>0.09</v>
      </c>
      <c r="Y18" s="327" t="s">
        <v>154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5">-F15+F25</f>
        <v>-23.299999999999997</v>
      </c>
      <c r="G20" s="33">
        <f t="shared" si="5"/>
        <v>-25.300000000000011</v>
      </c>
      <c r="H20" s="33">
        <f t="shared" si="5"/>
        <v>-30.099999999999994</v>
      </c>
      <c r="I20" s="33">
        <f t="shared" si="5"/>
        <v>-31.600000000000009</v>
      </c>
      <c r="J20" s="33">
        <f t="shared" si="5"/>
        <v>-34.900000000000006</v>
      </c>
      <c r="K20" s="33">
        <f t="shared" si="5"/>
        <v>-36</v>
      </c>
      <c r="L20" s="33">
        <f>-1*('Company fin forecasts'!B18+'Company fin forecasts'!B19)</f>
        <v>-36.129215400000028</v>
      </c>
      <c r="M20" s="33">
        <f>-1*('Company fin forecasts'!C18+'Company fin forecasts'!C19)</f>
        <v>-40.455293523349013</v>
      </c>
      <c r="N20" s="33">
        <f>-1*('Company fin forecasts'!D18+'Company fin forecasts'!D19)</f>
        <v>-47.195257615808735</v>
      </c>
      <c r="O20" s="33">
        <f>-1*('Company fin forecasts'!E18+'Company fin forecasts'!E19)</f>
        <v>-51.829543587564167</v>
      </c>
      <c r="P20" s="33">
        <f>-1*('Company fin forecasts'!F18+'Company fin forecasts'!F19)</f>
        <v>-54.799912142159194</v>
      </c>
      <c r="Q20" s="104">
        <f t="shared" ref="Q20:V20" si="6">Q22*Q40</f>
        <v>-53.583262142159192</v>
      </c>
      <c r="R20" s="104">
        <f t="shared" si="6"/>
        <v>-52.366612142159198</v>
      </c>
      <c r="S20" s="104">
        <f t="shared" si="6"/>
        <v>-51.149962142159197</v>
      </c>
      <c r="T20" s="104">
        <f t="shared" si="6"/>
        <v>-49.933312142159195</v>
      </c>
      <c r="U20" s="104">
        <f t="shared" si="6"/>
        <v>-48.716662142159194</v>
      </c>
      <c r="V20" s="104">
        <f t="shared" si="6"/>
        <v>-47.5</v>
      </c>
      <c r="Y20" s="327" t="s">
        <v>158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 t="shared" si="7"/>
        <v>3.589316666667397E-3</v>
      </c>
      <c r="M21" s="6">
        <f t="shared" si="7"/>
        <v>0.11973905537259411</v>
      </c>
      <c r="N21" s="6">
        <f t="shared" si="7"/>
        <v>0.16660277322100536</v>
      </c>
      <c r="O21" s="6">
        <f t="shared" si="7"/>
        <v>9.8193890782007465E-2</v>
      </c>
      <c r="P21" s="6">
        <f t="shared" si="7"/>
        <v>5.7310335939514845E-2</v>
      </c>
      <c r="Q21" s="6">
        <f t="shared" si="7"/>
        <v>-2.220167793050154E-2</v>
      </c>
      <c r="R21" s="6">
        <f t="shared" si="7"/>
        <v>-2.2705784443883936E-2</v>
      </c>
      <c r="S21" s="6">
        <f t="shared" si="7"/>
        <v>-2.3233315088193485E-2</v>
      </c>
      <c r="T21" s="6">
        <f t="shared" si="7"/>
        <v>-2.3785941358443474E-2</v>
      </c>
      <c r="U21" s="6">
        <f t="shared" si="7"/>
        <v>-2.4365497656879231E-2</v>
      </c>
      <c r="V21" s="6">
        <f t="shared" si="7"/>
        <v>-2.4974250875580806E-2</v>
      </c>
    </row>
    <row r="22" spans="2:34">
      <c r="B22" s="14"/>
      <c r="C22" s="14" t="s">
        <v>8</v>
      </c>
      <c r="D22" s="14"/>
      <c r="E22" s="6"/>
      <c r="F22" s="118">
        <f t="shared" ref="F22:K22" si="8">IF(ISERROR(F20/F$40),"n.a.",F20/F$40)</f>
        <v>0.76644736842105254</v>
      </c>
      <c r="G22" s="118">
        <f t="shared" si="8"/>
        <v>0.67466666666666697</v>
      </c>
      <c r="H22" s="118">
        <f t="shared" si="8"/>
        <v>0.74689826302729523</v>
      </c>
      <c r="I22" s="118">
        <f t="shared" si="8"/>
        <v>0.87534626038781183</v>
      </c>
      <c r="J22" s="118">
        <f t="shared" si="8"/>
        <v>0.93565683646112618</v>
      </c>
      <c r="K22" s="118">
        <f t="shared" si="8"/>
        <v>1.1612903225806452</v>
      </c>
      <c r="L22" s="339">
        <f>L20/L40</f>
        <v>1.0035893166666674</v>
      </c>
      <c r="M22" s="339">
        <f t="shared" ref="M22:P22" si="9">M20/M40</f>
        <v>0.79324104947743168</v>
      </c>
      <c r="N22" s="339">
        <f t="shared" si="9"/>
        <v>0.94390515231617467</v>
      </c>
      <c r="O22" s="339">
        <f t="shared" si="9"/>
        <v>1.0365908717512833</v>
      </c>
      <c r="P22" s="339">
        <f t="shared" si="9"/>
        <v>1.0959982428431838</v>
      </c>
      <c r="Q22" s="339">
        <f>P22-0.024333</f>
        <v>1.0716652428431839</v>
      </c>
      <c r="R22" s="339">
        <f>Q22-0.024333</f>
        <v>1.0473322428431839</v>
      </c>
      <c r="S22" s="339">
        <f>R22-0.024333</f>
        <v>1.022999242843184</v>
      </c>
      <c r="T22" s="339">
        <f>S22-0.024333</f>
        <v>0.99866624284318395</v>
      </c>
      <c r="U22" s="339">
        <f>T22-0.024333</f>
        <v>0.9743332428431839</v>
      </c>
      <c r="V22" s="146">
        <v>0.95</v>
      </c>
      <c r="X22" s="212"/>
      <c r="Y22" s="327" t="s">
        <v>159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0">F20/F11*-1</f>
        <v>2.4795147387464082E-2</v>
      </c>
      <c r="G23" s="118">
        <f t="shared" si="10"/>
        <v>2.5176634490994141E-2</v>
      </c>
      <c r="H23" s="118">
        <f t="shared" si="10"/>
        <v>2.9466470876162502E-2</v>
      </c>
      <c r="I23" s="118">
        <f t="shared" si="10"/>
        <v>2.8858447488584484E-2</v>
      </c>
      <c r="J23" s="118">
        <f t="shared" si="10"/>
        <v>3.0746189763016483E-2</v>
      </c>
      <c r="K23" s="118">
        <f t="shared" si="10"/>
        <v>3.1617776216406115E-2</v>
      </c>
      <c r="L23" s="118">
        <f t="shared" si="10"/>
        <v>3.1437725457855774E-2</v>
      </c>
      <c r="M23" s="118">
        <f t="shared" si="10"/>
        <v>3.2219108154766314E-2</v>
      </c>
      <c r="N23" s="118">
        <f t="shared" si="10"/>
        <v>3.4860359237571983E-2</v>
      </c>
      <c r="O23" s="118">
        <f t="shared" si="10"/>
        <v>3.581922729085453E-2</v>
      </c>
      <c r="P23" s="118">
        <f t="shared" si="10"/>
        <v>3.7986371391124714E-2</v>
      </c>
      <c r="Q23" s="118">
        <f t="shared" si="10"/>
        <v>3.6414715889951509E-2</v>
      </c>
      <c r="R23" s="118">
        <f t="shared" si="10"/>
        <v>3.4958635756747541E-2</v>
      </c>
      <c r="S23" s="118">
        <f t="shared" si="10"/>
        <v>3.3608691690115787E-2</v>
      </c>
      <c r="T23" s="118">
        <f t="shared" si="10"/>
        <v>3.235628927065156E-2</v>
      </c>
      <c r="U23" s="118">
        <f t="shared" si="10"/>
        <v>3.1193589110911257E-2</v>
      </c>
      <c r="V23" s="118">
        <f t="shared" si="10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1">Q15+Q20</f>
        <v>76.921739064099768</v>
      </c>
      <c r="R25" s="104">
        <f t="shared" ca="1" si="11"/>
        <v>80.879927516805395</v>
      </c>
      <c r="S25" s="104">
        <f t="shared" ca="1" si="11"/>
        <v>84.627249757237749</v>
      </c>
      <c r="T25" s="104">
        <f t="shared" ca="1" si="11"/>
        <v>88.149090516200658</v>
      </c>
      <c r="U25" s="104">
        <f t="shared" ca="1" si="11"/>
        <v>91.431890857980804</v>
      </c>
      <c r="V25" s="104">
        <f t="shared" si="11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2">IF(ISERROR(F25/E25-1),"n.a.",F25/E25-1)</f>
        <v>n.a.</v>
      </c>
      <c r="G26" s="6">
        <f t="shared" si="12"/>
        <v>8.740359897172234E-2</v>
      </c>
      <c r="H26" s="6">
        <f t="shared" si="12"/>
        <v>-1.1820330969266601E-3</v>
      </c>
      <c r="I26" s="6">
        <f t="shared" si="12"/>
        <v>-8.7573964497041468E-2</v>
      </c>
      <c r="J26" s="6">
        <f t="shared" si="12"/>
        <v>-3.2425421530479892E-2</v>
      </c>
      <c r="K26" s="6">
        <f t="shared" si="12"/>
        <v>-0.16621983914209104</v>
      </c>
      <c r="L26" s="6">
        <f t="shared" si="12"/>
        <v>-6.723481892381622E-2</v>
      </c>
      <c r="M26" s="6">
        <f t="shared" si="12"/>
        <v>-0.10079601634047408</v>
      </c>
      <c r="N26" s="6">
        <f t="shared" si="12"/>
        <v>0.23828760399418525</v>
      </c>
      <c r="O26" s="6">
        <f t="shared" si="12"/>
        <v>0.12327765525198209</v>
      </c>
      <c r="P26" s="6">
        <f t="shared" si="12"/>
        <v>2.7949930449600036E-3</v>
      </c>
      <c r="Q26" s="6">
        <f t="shared" ca="1" si="12"/>
        <v>5.7078790857151951E-2</v>
      </c>
      <c r="R26" s="6">
        <f t="shared" ca="1" si="12"/>
        <v>5.1457344839892727E-2</v>
      </c>
      <c r="S26" s="6">
        <f t="shared" ca="1" si="12"/>
        <v>4.6331918876333367E-2</v>
      </c>
      <c r="T26" s="6">
        <f t="shared" ca="1" si="12"/>
        <v>4.161591885670024E-2</v>
      </c>
      <c r="U26" s="6">
        <f t="shared" ca="1" si="12"/>
        <v>3.7241454478498692E-2</v>
      </c>
      <c r="V26" s="6">
        <f t="shared" ca="1" si="12"/>
        <v>3.3154742494036826E-2</v>
      </c>
    </row>
    <row r="27" spans="2:34">
      <c r="B27" s="5"/>
      <c r="C27" s="14" t="s">
        <v>1</v>
      </c>
      <c r="D27" s="14"/>
      <c r="E27" s="6"/>
      <c r="F27" s="6">
        <f t="shared" ref="F27:Q27" si="13">IF(ISERROR(F25/F$11),"n.a.",F25/F$11)</f>
        <v>8.2792380546983069E-2</v>
      </c>
      <c r="G27" s="6">
        <f t="shared" si="13"/>
        <v>8.4187481341427006E-2</v>
      </c>
      <c r="H27" s="6">
        <f t="shared" si="13"/>
        <v>8.272148800783162E-2</v>
      </c>
      <c r="I27" s="6">
        <f t="shared" si="13"/>
        <v>7.0410958904109588E-2</v>
      </c>
      <c r="J27" s="6">
        <f t="shared" si="13"/>
        <v>6.5721081843009427E-2</v>
      </c>
      <c r="K27" s="6">
        <f t="shared" si="13"/>
        <v>5.4628491129457238E-2</v>
      </c>
      <c r="L27" s="6">
        <f t="shared" si="13"/>
        <v>5.0484178941060394E-2</v>
      </c>
      <c r="M27" s="6">
        <f t="shared" si="13"/>
        <v>4.1548857977843988E-2</v>
      </c>
      <c r="N27" s="6">
        <f t="shared" si="13"/>
        <v>4.7717310293172235E-2</v>
      </c>
      <c r="O27" s="6">
        <f t="shared" si="13"/>
        <v>5.0149707756228443E-2</v>
      </c>
      <c r="P27" s="6">
        <f t="shared" si="13"/>
        <v>5.0441696281252384E-2</v>
      </c>
      <c r="Q27" s="6">
        <f t="shared" ca="1" si="13"/>
        <v>5.2275340503696054E-2</v>
      </c>
      <c r="R27" s="6">
        <f ca="1">IF(ISERROR(R25/R$11),"n.a.",R25/R$11)</f>
        <v>5.3993409358170479E-2</v>
      </c>
      <c r="S27" s="6">
        <f ca="1">IF(ISERROR(S25/S$11),"n.a.",S25/S$11)</f>
        <v>5.5605342146072725E-2</v>
      </c>
      <c r="T27" s="6">
        <f ca="1">IF(ISERROR(T25/T$11),"n.a.",T25/T$11)</f>
        <v>5.7119733286807438E-2</v>
      </c>
      <c r="U27" s="6">
        <f ca="1">IF(ISERROR(U25/U$11),"n.a.",U25/U$11)</f>
        <v>5.8544422167818244E-2</v>
      </c>
      <c r="V27" s="6">
        <f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119">
        <v>0.17</v>
      </c>
      <c r="O29" s="119">
        <v>0.17</v>
      </c>
      <c r="P29" s="119">
        <v>0.17</v>
      </c>
      <c r="Q29" s="119">
        <v>0.17</v>
      </c>
      <c r="R29" s="119">
        <v>0.17</v>
      </c>
      <c r="S29" s="119">
        <v>0.17</v>
      </c>
      <c r="T29" s="119">
        <v>0.17</v>
      </c>
      <c r="U29" s="119">
        <v>0.17</v>
      </c>
      <c r="V29" s="119">
        <v>0.17</v>
      </c>
      <c r="Y29" s="327" t="s">
        <v>155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151</v>
      </c>
      <c r="C31" s="33" t="s">
        <v>152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4">IF(ISERROR(F31/E31-1),"n.a.",F31/E31-1)</f>
        <v>n.a.</v>
      </c>
      <c r="G32" s="6">
        <f t="shared" si="14"/>
        <v>0.18558558558558547</v>
      </c>
      <c r="H32" s="6">
        <f t="shared" si="14"/>
        <v>-1.3677811550151797E-2</v>
      </c>
      <c r="I32" s="6">
        <f t="shared" si="14"/>
        <v>-8.3204930662557852E-2</v>
      </c>
      <c r="J32" s="6">
        <f t="shared" si="14"/>
        <v>-1.8487394957983239E-2</v>
      </c>
      <c r="K32" s="6">
        <f t="shared" si="14"/>
        <v>-0.17294520547945214</v>
      </c>
      <c r="L32" s="6">
        <f t="shared" si="14"/>
        <v>-7.9015003043886201E-2</v>
      </c>
      <c r="M32" s="6">
        <f t="shared" si="14"/>
        <v>-0.10308222119070343</v>
      </c>
      <c r="N32" s="6">
        <f t="shared" si="14"/>
        <v>0.25861169264250194</v>
      </c>
      <c r="O32" s="6">
        <f t="shared" si="14"/>
        <v>0.13163180457279799</v>
      </c>
      <c r="P32" s="6">
        <f t="shared" si="14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5">IF(ISERROR(F31/F$11),"n.a.",F31/F$11)</f>
        <v>5.9061402575289981E-2</v>
      </c>
      <c r="G33" s="6">
        <f t="shared" si="15"/>
        <v>6.5479152154443221E-2</v>
      </c>
      <c r="H33" s="6">
        <f t="shared" si="15"/>
        <v>6.35340186000979E-2</v>
      </c>
      <c r="I33" s="6">
        <f t="shared" si="15"/>
        <v>5.4337899543378997E-2</v>
      </c>
      <c r="J33" s="6">
        <f t="shared" si="15"/>
        <v>5.1449211523213814E-2</v>
      </c>
      <c r="K33" s="6">
        <f>IF(ISERROR(K31/K$11),"n.a.",K31/K$11)</f>
        <v>4.2420516423678202E-2</v>
      </c>
      <c r="L33" s="6">
        <f t="shared" si="15"/>
        <v>3.8707246029229668E-2</v>
      </c>
      <c r="M33" s="6">
        <f t="shared" si="15"/>
        <v>3.1775359820388191E-2</v>
      </c>
      <c r="N33" s="6">
        <f t="shared" si="15"/>
        <v>3.709177171870244E-2</v>
      </c>
      <c r="O33" s="6">
        <f t="shared" si="15"/>
        <v>3.9272455317999319E-2</v>
      </c>
      <c r="P33" s="6">
        <f t="shared" si="15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8">
        <f>'Company fin forecasts'!B23</f>
        <v>-36</v>
      </c>
      <c r="M40" s="338">
        <f>'Company fin forecasts'!C23</f>
        <v>-51</v>
      </c>
      <c r="N40" s="338">
        <f>'Company fin forecasts'!D23</f>
        <v>-50</v>
      </c>
      <c r="O40" s="338">
        <f>'Company fin forecasts'!E23</f>
        <v>-50</v>
      </c>
      <c r="P40" s="338">
        <f>'Company fin forecasts'!F23</f>
        <v>-50</v>
      </c>
      <c r="Q40" s="328">
        <v>-50</v>
      </c>
      <c r="R40" s="328">
        <v>-50</v>
      </c>
      <c r="S40" s="328">
        <v>-50</v>
      </c>
      <c r="T40" s="328">
        <v>-50</v>
      </c>
      <c r="U40" s="328">
        <v>-50</v>
      </c>
      <c r="V40" s="328">
        <v>-50</v>
      </c>
      <c r="Y40" s="327" t="s">
        <v>162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16">IF(ISERROR(F40/E40-1),"n.a.",F40/E40-1)</f>
        <v>n.a.</v>
      </c>
      <c r="G41" s="6">
        <f>IF(ISERROR(G40/F40-1),"n.a.",G40/F40-1)</f>
        <v>0.23355263157894735</v>
      </c>
      <c r="H41" s="6">
        <f t="shared" ref="H41:V41" si="17">IF(ISERROR(H40/G40-1),"n.a.",H40/G40-1)</f>
        <v>7.4666666666666659E-2</v>
      </c>
      <c r="I41" s="6">
        <f t="shared" si="17"/>
        <v>-0.10421836228287829</v>
      </c>
      <c r="J41" s="6">
        <f t="shared" si="17"/>
        <v>3.3240997229916802E-2</v>
      </c>
      <c r="K41" s="6">
        <f t="shared" si="17"/>
        <v>-0.16890080428954413</v>
      </c>
      <c r="L41" s="6">
        <f t="shared" si="17"/>
        <v>0.16129032258064524</v>
      </c>
      <c r="M41" s="6">
        <f t="shared" si="17"/>
        <v>0.41666666666666674</v>
      </c>
      <c r="N41" s="6">
        <f t="shared" si="17"/>
        <v>-1.9607843137254943E-2</v>
      </c>
      <c r="O41" s="6">
        <f t="shared" si="17"/>
        <v>0</v>
      </c>
      <c r="P41" s="6">
        <f t="shared" si="17"/>
        <v>0</v>
      </c>
      <c r="Q41" s="6">
        <f t="shared" si="17"/>
        <v>0</v>
      </c>
      <c r="R41" s="6">
        <f t="shared" si="17"/>
        <v>0</v>
      </c>
      <c r="S41" s="6">
        <f t="shared" si="17"/>
        <v>0</v>
      </c>
      <c r="T41" s="6">
        <f t="shared" si="17"/>
        <v>0</v>
      </c>
      <c r="U41" s="6">
        <f t="shared" si="17"/>
        <v>0</v>
      </c>
      <c r="V41" s="6">
        <f t="shared" si="17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18">IF(ISERROR(-F40/F$11),"n.a.",-F40/F$11)</f>
        <v>3.2350750239438113E-2</v>
      </c>
      <c r="G42" s="118">
        <f t="shared" si="18"/>
        <v>3.7317145984675094E-2</v>
      </c>
      <c r="H42" s="118">
        <f t="shared" si="18"/>
        <v>3.9451786588350461E-2</v>
      </c>
      <c r="I42" s="118">
        <f t="shared" si="18"/>
        <v>3.2968036529680368E-2</v>
      </c>
      <c r="J42" s="118">
        <f t="shared" si="18"/>
        <v>3.2860540921504713E-2</v>
      </c>
      <c r="K42" s="118">
        <f t="shared" si="18"/>
        <v>2.7226418408571932E-2</v>
      </c>
      <c r="L42" s="118">
        <f t="shared" si="18"/>
        <v>3.1325289075688233E-2</v>
      </c>
      <c r="M42" s="118">
        <f t="shared" si="18"/>
        <v>4.0617045948380379E-2</v>
      </c>
      <c r="N42" s="118">
        <f t="shared" si="18"/>
        <v>3.6932057370415751E-2</v>
      </c>
      <c r="O42" s="118">
        <f t="shared" si="18"/>
        <v>3.4554835728332456E-2</v>
      </c>
      <c r="P42" s="118">
        <f t="shared" si="18"/>
        <v>3.4659153551726836E-2</v>
      </c>
      <c r="Q42" s="118">
        <f t="shared" si="18"/>
        <v>3.3979562305614552E-2</v>
      </c>
      <c r="R42" s="118">
        <f t="shared" si="18"/>
        <v>3.3378744897460261E-2</v>
      </c>
      <c r="S42" s="118">
        <f t="shared" si="18"/>
        <v>3.2853095371516004E-2</v>
      </c>
      <c r="T42" s="118">
        <f t="shared" si="18"/>
        <v>3.239950233877318E-2</v>
      </c>
      <c r="U42" s="118">
        <f t="shared" si="18"/>
        <v>3.2015318516574284E-2</v>
      </c>
      <c r="V42" s="118">
        <f t="shared" si="18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19">(F15+F40)/F15</f>
        <v>0.69930761622156279</v>
      </c>
      <c r="G43" s="6">
        <f t="shared" si="19"/>
        <v>0.65878070973612379</v>
      </c>
      <c r="H43" s="6">
        <f t="shared" si="19"/>
        <v>0.64834205933682376</v>
      </c>
      <c r="I43" s="6">
        <f t="shared" si="19"/>
        <v>0.66789328426862915</v>
      </c>
      <c r="J43" s="6">
        <f t="shared" si="19"/>
        <v>0.65936073059360734</v>
      </c>
      <c r="K43" s="6">
        <f t="shared" si="19"/>
        <v>0.68431771894093685</v>
      </c>
      <c r="L43" s="6">
        <f t="shared" si="19"/>
        <v>0.61762010654500032</v>
      </c>
      <c r="M43" s="6">
        <f t="shared" si="19"/>
        <v>0.44939452613666453</v>
      </c>
      <c r="N43" s="6">
        <f t="shared" si="19"/>
        <v>0.55275975236058583</v>
      </c>
      <c r="O43" s="6">
        <f t="shared" si="19"/>
        <v>0.59805439360848589</v>
      </c>
      <c r="P43" s="6">
        <f t="shared" si="19"/>
        <v>0.60805257353199449</v>
      </c>
      <c r="Q43" s="6">
        <f t="shared" ca="1" si="19"/>
        <v>0.616872920287732</v>
      </c>
      <c r="R43" s="6">
        <f t="shared" ca="1" si="19"/>
        <v>0.62475573378512061</v>
      </c>
      <c r="S43" s="6">
        <f t="shared" ca="1" si="19"/>
        <v>0.63174969274632697</v>
      </c>
      <c r="T43" s="6">
        <f t="shared" ca="1" si="19"/>
        <v>0.63789737839579175</v>
      </c>
      <c r="U43" s="6">
        <f t="shared" ca="1" si="19"/>
        <v>0.6432357029048309</v>
      </c>
      <c r="V43" s="6">
        <f t="shared" si="19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8">
        <f>'Company fin forecasts'!B26</f>
        <v>-3.1</v>
      </c>
      <c r="M45" s="338">
        <f>'Company fin forecasts'!C26</f>
        <v>-4.0999999999999996</v>
      </c>
      <c r="N45" s="338">
        <f>'Company fin forecasts'!D26</f>
        <v>-4.0999999999999996</v>
      </c>
      <c r="O45" s="338">
        <f>'Company fin forecasts'!E26</f>
        <v>-4.0999999999999996</v>
      </c>
      <c r="P45" s="338">
        <f>'Company fin forecasts'!F26</f>
        <v>-4.0999999999999996</v>
      </c>
      <c r="Q45" s="104">
        <f t="shared" ref="Q45:V45" si="20">Q47*Q11</f>
        <v>-4.4144182509147578</v>
      </c>
      <c r="R45" s="104">
        <f t="shared" si="20"/>
        <v>-4.493877779431223</v>
      </c>
      <c r="S45" s="104">
        <f t="shared" si="20"/>
        <v>-4.5657798239021234</v>
      </c>
      <c r="T45" s="104">
        <f t="shared" si="20"/>
        <v>-4.6297007414367535</v>
      </c>
      <c r="U45" s="104">
        <f t="shared" si="20"/>
        <v>-4.6852571503339941</v>
      </c>
      <c r="V45" s="104">
        <f t="shared" si="20"/>
        <v>-4.7321097218373342</v>
      </c>
      <c r="Y45" s="327" t="s">
        <v>160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1">IF(ISERROR(F45/E45-1),"n.a.",F45/E45-1)</f>
        <v>n.a.</v>
      </c>
      <c r="G46" s="6">
        <f t="shared" si="21"/>
        <v>-5.7358490566037723</v>
      </c>
      <c r="H46" s="6">
        <f t="shared" si="21"/>
        <v>-1.4462151394422311</v>
      </c>
      <c r="I46" s="6">
        <f t="shared" si="21"/>
        <v>0.45535714285714324</v>
      </c>
      <c r="J46" s="6">
        <f t="shared" si="21"/>
        <v>-0.22699386503067509</v>
      </c>
      <c r="K46" s="6">
        <f t="shared" si="21"/>
        <v>-0.17460317460317465</v>
      </c>
      <c r="L46" s="6">
        <f t="shared" si="21"/>
        <v>-0.70192307692307687</v>
      </c>
      <c r="M46" s="6">
        <f t="shared" si="21"/>
        <v>0.32258064516129026</v>
      </c>
      <c r="N46" s="6">
        <f t="shared" si="21"/>
        <v>0</v>
      </c>
      <c r="O46" s="6">
        <f t="shared" si="21"/>
        <v>0</v>
      </c>
      <c r="P46" s="6">
        <f t="shared" si="21"/>
        <v>0</v>
      </c>
      <c r="Q46" s="6">
        <f t="shared" si="21"/>
        <v>7.6687378271892204E-2</v>
      </c>
      <c r="R46" s="6">
        <f t="shared" si="21"/>
        <v>1.7999999999999794E-2</v>
      </c>
      <c r="S46" s="6">
        <f t="shared" si="21"/>
        <v>1.6000000000000236E-2</v>
      </c>
      <c r="T46" s="6">
        <f t="shared" si="21"/>
        <v>1.4000000000000012E-2</v>
      </c>
      <c r="U46" s="6">
        <f t="shared" si="21"/>
        <v>1.2000000000000011E-2</v>
      </c>
      <c r="V46" s="6">
        <f t="shared" si="21"/>
        <v>1.0000000000000009E-2</v>
      </c>
    </row>
    <row r="47" spans="2:34">
      <c r="C47" s="14" t="s">
        <v>24</v>
      </c>
      <c r="D47" s="14"/>
      <c r="E47" s="6"/>
      <c r="F47" s="6">
        <f t="shared" ref="F47:P47" si="22">IF(ISERROR(F45/F$11),"n.a.",F45/F$11)</f>
        <v>-5.6400979035862511E-3</v>
      </c>
      <c r="G47" s="6">
        <f t="shared" si="22"/>
        <v>2.4977609712409192E-2</v>
      </c>
      <c r="H47" s="6">
        <f t="shared" si="22"/>
        <v>-1.0964268232990699E-2</v>
      </c>
      <c r="I47" s="6">
        <f t="shared" si="22"/>
        <v>-1.4885844748858451E-2</v>
      </c>
      <c r="J47" s="6">
        <f t="shared" si="22"/>
        <v>-1.1100343582063256E-2</v>
      </c>
      <c r="K47" s="6">
        <f t="shared" si="22"/>
        <v>-9.1340242402950991E-3</v>
      </c>
      <c r="L47" s="6">
        <f t="shared" si="22"/>
        <v>-2.6974554481842645E-3</v>
      </c>
      <c r="M47" s="6">
        <f t="shared" si="22"/>
        <v>-3.2652919291835201E-3</v>
      </c>
      <c r="N47" s="6">
        <f t="shared" si="22"/>
        <v>-3.0284287043740913E-3</v>
      </c>
      <c r="O47" s="6">
        <f t="shared" si="22"/>
        <v>-2.8334965297232609E-3</v>
      </c>
      <c r="P47" s="6">
        <f t="shared" si="22"/>
        <v>-2.8420505912416004E-3</v>
      </c>
      <c r="Q47" s="119">
        <v>-3.0000000000000001E-3</v>
      </c>
      <c r="R47" s="6">
        <f>Q45/Q11</f>
        <v>-3.0000000000000001E-3</v>
      </c>
      <c r="S47" s="6">
        <f t="shared" ref="S47:V47" si="23">R45/R11</f>
        <v>-3.0000000000000001E-3</v>
      </c>
      <c r="T47" s="6">
        <f t="shared" si="23"/>
        <v>-3.0000000000000001E-3</v>
      </c>
      <c r="U47" s="6">
        <f t="shared" si="23"/>
        <v>-3.0000000000000001E-3</v>
      </c>
      <c r="V47" s="6">
        <f t="shared" si="23"/>
        <v>-3.0000000000000001E-3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8">
        <f>'Company fin forecasts'!B29</f>
        <v>0</v>
      </c>
      <c r="M49" s="338">
        <f>'Company fin forecasts'!C29</f>
        <v>0</v>
      </c>
      <c r="N49" s="338">
        <f>'Company fin forecasts'!D29</f>
        <v>-5</v>
      </c>
      <c r="O49" s="338">
        <f>'Company fin forecasts'!E29</f>
        <v>-5</v>
      </c>
      <c r="P49" s="338">
        <f>'Company fin forecasts'!F29</f>
        <v>-5</v>
      </c>
      <c r="Q49" s="328">
        <v>-5</v>
      </c>
      <c r="R49" s="328">
        <v>-5</v>
      </c>
      <c r="S49" s="328">
        <v>-5</v>
      </c>
      <c r="T49" s="328">
        <v>-5</v>
      </c>
      <c r="U49" s="328">
        <v>-5</v>
      </c>
      <c r="V49" s="328">
        <v>-5</v>
      </c>
      <c r="Y49" s="327" t="s">
        <v>161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4">IF(ISERROR(F49/E49-1),"n.a.",F49/E49-1)</f>
        <v>n.a.</v>
      </c>
      <c r="G50" s="6" t="str">
        <f>IF(ISERROR(G49/F49-1),"n.a.",G49/F49-1)</f>
        <v>n.a.</v>
      </c>
      <c r="H50" s="6" t="str">
        <f t="shared" ref="H50" si="25">IF(ISERROR(H49/G49-1),"n.a.",H49/G49-1)</f>
        <v>n.a.</v>
      </c>
      <c r="I50" s="6" t="str">
        <f t="shared" ref="I50" si="26">IF(ISERROR(I49/H49-1),"n.a.",I49/H49-1)</f>
        <v>n.a.</v>
      </c>
      <c r="J50" s="6" t="str">
        <f t="shared" ref="J50" si="27">IF(ISERROR(J49/I49-1),"n.a.",J49/I49-1)</f>
        <v>n.a.</v>
      </c>
      <c r="K50" s="6">
        <f t="shared" ref="K50" si="28">IF(ISERROR(K49/J49-1),"n.a.",K49/J49-1)</f>
        <v>-1.4933333333333334</v>
      </c>
      <c r="L50" s="6">
        <f t="shared" ref="L50" si="29">IF(ISERROR(L49/K49-1),"n.a.",L49/K49-1)</f>
        <v>-1</v>
      </c>
      <c r="M50" s="6" t="str">
        <f t="shared" ref="M50" si="30">IF(ISERROR(M49/L49-1),"n.a.",M49/L49-1)</f>
        <v>n.a.</v>
      </c>
      <c r="N50" s="6" t="str">
        <f t="shared" ref="N50" si="31">IF(ISERROR(N49/M49-1),"n.a.",N49/M49-1)</f>
        <v>n.a.</v>
      </c>
      <c r="O50" s="6">
        <f t="shared" ref="O50" si="32">IF(ISERROR(O49/N49-1),"n.a.",O49/N49-1)</f>
        <v>0</v>
      </c>
      <c r="P50" s="6">
        <f t="shared" ref="P50" si="33">IF(ISERROR(P49/O49-1),"n.a.",P49/O49-1)</f>
        <v>0</v>
      </c>
      <c r="Q50" s="6">
        <f t="shared" ref="Q50" si="34">IF(ISERROR(Q49/P49-1),"n.a.",Q49/P49-1)</f>
        <v>0</v>
      </c>
      <c r="R50" s="6">
        <f t="shared" ref="R50" si="35">IF(ISERROR(R49/Q49-1),"n.a.",R49/Q49-1)</f>
        <v>0</v>
      </c>
      <c r="S50" s="6">
        <f t="shared" ref="S50" si="36">IF(ISERROR(S49/R49-1),"n.a.",S49/R49-1)</f>
        <v>0</v>
      </c>
      <c r="T50" s="6">
        <f t="shared" ref="T50" si="37">IF(ISERROR(T49/S49-1),"n.a.",T49/S49-1)</f>
        <v>0</v>
      </c>
      <c r="U50" s="6">
        <f t="shared" ref="U50" si="38">IF(ISERROR(U49/T49-1),"n.a.",U49/T49-1)</f>
        <v>0</v>
      </c>
      <c r="V50" s="6">
        <f t="shared" ref="V50" si="39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0">IF(ISERROR(-F49/F$11),"n.a.",-F49/F$11)</f>
        <v>0</v>
      </c>
      <c r="G51" s="118">
        <f t="shared" si="40"/>
        <v>0</v>
      </c>
      <c r="H51" s="118">
        <f t="shared" si="40"/>
        <v>0</v>
      </c>
      <c r="I51" s="118">
        <f t="shared" si="40"/>
        <v>0</v>
      </c>
      <c r="J51" s="118">
        <f t="shared" si="40"/>
        <v>1.3214694740551493E-3</v>
      </c>
      <c r="K51" s="118">
        <f t="shared" si="40"/>
        <v>-6.4992095555945904E-4</v>
      </c>
      <c r="L51" s="118">
        <f t="shared" si="40"/>
        <v>0</v>
      </c>
      <c r="M51" s="118">
        <f t="shared" si="40"/>
        <v>0</v>
      </c>
      <c r="N51" s="118">
        <f t="shared" si="40"/>
        <v>3.6932057370415751E-3</v>
      </c>
      <c r="O51" s="118">
        <f t="shared" si="40"/>
        <v>3.4554835728332453E-3</v>
      </c>
      <c r="P51" s="118">
        <f t="shared" si="40"/>
        <v>3.4659153551726838E-3</v>
      </c>
      <c r="Q51" s="118">
        <f t="shared" si="40"/>
        <v>3.3979562305614551E-3</v>
      </c>
      <c r="R51" s="118">
        <f t="shared" si="40"/>
        <v>3.3378744897460265E-3</v>
      </c>
      <c r="S51" s="118">
        <f t="shared" si="40"/>
        <v>3.2853095371516007E-3</v>
      </c>
      <c r="T51" s="118">
        <f t="shared" si="40"/>
        <v>3.2399502338773178E-3</v>
      </c>
      <c r="U51" s="118">
        <f t="shared" si="40"/>
        <v>3.2015318516574287E-3</v>
      </c>
      <c r="V51" s="118">
        <f t="shared" si="40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8">
        <f>'Company fin forecasts'!B15</f>
        <v>0</v>
      </c>
      <c r="M53" s="338">
        <f>'Company fin forecasts'!C15</f>
        <v>-18.004468664734777</v>
      </c>
      <c r="N53" s="338">
        <f>'Company fin forecasts'!D15</f>
        <v>-6.7527180429793674</v>
      </c>
      <c r="O53" s="338">
        <f>'Company fin forecasts'!E15</f>
        <v>1.1384540263188825</v>
      </c>
      <c r="P53" s="338">
        <f>'Company fin forecasts'!F15</f>
        <v>-4.8650405710493061</v>
      </c>
      <c r="Q53" s="107">
        <v>-4.9000000000000004</v>
      </c>
      <c r="R53" s="107">
        <f t="shared" ref="R53:V53" si="41">+Q53</f>
        <v>-4.9000000000000004</v>
      </c>
      <c r="S53" s="107">
        <f t="shared" si="41"/>
        <v>-4.9000000000000004</v>
      </c>
      <c r="T53" s="107">
        <f t="shared" si="41"/>
        <v>-4.9000000000000004</v>
      </c>
      <c r="U53" s="107">
        <f t="shared" si="41"/>
        <v>-4.9000000000000004</v>
      </c>
      <c r="V53" s="107">
        <f t="shared" si="41"/>
        <v>-4.9000000000000004</v>
      </c>
      <c r="Y53" s="327" t="s">
        <v>158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2">IF(ISERROR(F53/E53-1),"n.a.",F53/E53-1)</f>
        <v>n.a.</v>
      </c>
      <c r="G54" s="6" t="str">
        <f>IF(ISERROR(G53/F53-1),"n.a.",G53/F53-1)</f>
        <v>n.a.</v>
      </c>
      <c r="H54" s="6" t="str">
        <f t="shared" ref="H54" si="43">IF(ISERROR(H53/G53-1),"n.a.",H53/G53-1)</f>
        <v>n.a.</v>
      </c>
      <c r="I54" s="6" t="str">
        <f t="shared" ref="I54" si="44">IF(ISERROR(I53/H53-1),"n.a.",I53/H53-1)</f>
        <v>n.a.</v>
      </c>
      <c r="J54" s="6" t="str">
        <f t="shared" ref="J54" si="45">IF(ISERROR(J53/I53-1),"n.a.",J53/I53-1)</f>
        <v>n.a.</v>
      </c>
      <c r="K54" s="6" t="str">
        <f t="shared" ref="K54" si="46">IF(ISERROR(K53/J53-1),"n.a.",K53/J53-1)</f>
        <v>n.a.</v>
      </c>
      <c r="L54" s="6" t="str">
        <f t="shared" ref="L54" si="47">IF(ISERROR(L53/K53-1),"n.a.",L53/K53-1)</f>
        <v>n.a.</v>
      </c>
      <c r="M54" s="6" t="str">
        <f t="shared" ref="M54" si="48">IF(ISERROR(M53/L53-1),"n.a.",M53/L53-1)</f>
        <v>n.a.</v>
      </c>
      <c r="N54" s="6">
        <f t="shared" ref="N54" si="49">IF(ISERROR(N53/M53-1),"n.a.",N53/M53-1)</f>
        <v>-0.62494210916616122</v>
      </c>
      <c r="O54" s="6">
        <f t="shared" ref="O54" si="50">IF(ISERROR(O53/N53-1),"n.a.",O53/N53-1)</f>
        <v>-1.1685919683115609</v>
      </c>
      <c r="P54" s="6">
        <f t="shared" ref="P54" si="51">IF(ISERROR(P53/O53-1),"n.a.",P53/O53-1)</f>
        <v>-5.2733746454216517</v>
      </c>
      <c r="Q54" s="6">
        <f t="shared" ref="Q54" si="52">IF(ISERROR(Q53/P53-1),"n.a.",Q53/P53-1)</f>
        <v>7.185845305942351E-3</v>
      </c>
      <c r="R54" s="6">
        <f t="shared" ref="R54" si="53">IF(ISERROR(R53/Q53-1),"n.a.",R53/Q53-1)</f>
        <v>0</v>
      </c>
      <c r="S54" s="6">
        <f t="shared" ref="S54" si="54">IF(ISERROR(S53/R53-1),"n.a.",S53/R53-1)</f>
        <v>0</v>
      </c>
      <c r="T54" s="6">
        <f t="shared" ref="T54" si="55">IF(ISERROR(T53/S53-1),"n.a.",T53/S53-1)</f>
        <v>0</v>
      </c>
      <c r="U54" s="6">
        <f t="shared" ref="U54" si="56">IF(ISERROR(U53/T53-1),"n.a.",U53/T53-1)</f>
        <v>0</v>
      </c>
      <c r="V54" s="6">
        <f t="shared" ref="V54" si="57">IF(ISERROR(V53/U53-1),"n.a.",V53/U53-1)</f>
        <v>0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58">IF(ISERROR(-F53/F$11),"n.a.",-F53/F$11)</f>
        <v>0</v>
      </c>
      <c r="G55" s="118">
        <f t="shared" si="58"/>
        <v>0</v>
      </c>
      <c r="H55" s="118">
        <f t="shared" si="58"/>
        <v>0</v>
      </c>
      <c r="I55" s="118">
        <f t="shared" si="58"/>
        <v>0</v>
      </c>
      <c r="J55" s="118">
        <f t="shared" si="58"/>
        <v>0</v>
      </c>
      <c r="K55" s="118">
        <f t="shared" si="58"/>
        <v>0</v>
      </c>
      <c r="L55" s="118">
        <f t="shared" si="58"/>
        <v>0</v>
      </c>
      <c r="M55" s="118">
        <f t="shared" si="58"/>
        <v>1.433898688297465E-2</v>
      </c>
      <c r="N55" s="118">
        <f t="shared" si="58"/>
        <v>4.9878354033911108E-3</v>
      </c>
      <c r="O55" s="118">
        <f t="shared" si="58"/>
        <v>-7.8678183727415307E-4</v>
      </c>
      <c r="P55" s="118">
        <f t="shared" si="58"/>
        <v>3.3723637637475745E-3</v>
      </c>
      <c r="Q55" s="118">
        <f t="shared" si="58"/>
        <v>3.3299971059502259E-3</v>
      </c>
      <c r="R55" s="118">
        <f t="shared" si="58"/>
        <v>3.271116999951106E-3</v>
      </c>
      <c r="S55" s="118">
        <f t="shared" si="58"/>
        <v>3.2196033464085686E-3</v>
      </c>
      <c r="T55" s="118">
        <f t="shared" si="58"/>
        <v>3.1751512291997718E-3</v>
      </c>
      <c r="U55" s="118">
        <f t="shared" si="58"/>
        <v>3.1375012146242802E-3</v>
      </c>
      <c r="V55" s="118">
        <f t="shared" si="58"/>
        <v>3.1064368461626536E-3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59">F9</f>
        <v>41729</v>
      </c>
      <c r="G58" s="205">
        <f t="shared" si="59"/>
        <v>42094</v>
      </c>
      <c r="H58" s="205">
        <f t="shared" si="59"/>
        <v>42460</v>
      </c>
      <c r="I58" s="205">
        <f t="shared" si="59"/>
        <v>42825</v>
      </c>
      <c r="J58" s="205">
        <f t="shared" si="59"/>
        <v>43190</v>
      </c>
      <c r="K58" s="205">
        <f t="shared" si="59"/>
        <v>43555</v>
      </c>
      <c r="L58" s="206">
        <f t="shared" si="59"/>
        <v>43921</v>
      </c>
      <c r="M58" s="206">
        <f t="shared" si="59"/>
        <v>44286</v>
      </c>
      <c r="N58" s="206">
        <f t="shared" si="59"/>
        <v>44651</v>
      </c>
      <c r="O58" s="206">
        <f t="shared" si="59"/>
        <v>45016</v>
      </c>
      <c r="P58" s="206">
        <f t="shared" si="59"/>
        <v>45382</v>
      </c>
      <c r="Q58" s="206">
        <f t="shared" si="59"/>
        <v>45747</v>
      </c>
      <c r="R58" s="206">
        <f t="shared" si="59"/>
        <v>46112</v>
      </c>
      <c r="S58" s="206">
        <f t="shared" si="59"/>
        <v>46477</v>
      </c>
      <c r="T58" s="206">
        <f t="shared" si="59"/>
        <v>46843</v>
      </c>
      <c r="U58" s="206">
        <f t="shared" si="59"/>
        <v>47208</v>
      </c>
      <c r="V58" s="206">
        <f t="shared" si="59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0">F11</f>
        <v>939.7</v>
      </c>
      <c r="G60" s="208">
        <f t="shared" si="60"/>
        <v>1004.9</v>
      </c>
      <c r="H60" s="208">
        <f t="shared" si="60"/>
        <v>1021.5</v>
      </c>
      <c r="I60" s="208">
        <f t="shared" si="60"/>
        <v>1095</v>
      </c>
      <c r="J60" s="208">
        <f t="shared" si="60"/>
        <v>1135.0999999999999</v>
      </c>
      <c r="K60" s="208">
        <f t="shared" si="60"/>
        <v>1138.5999999999999</v>
      </c>
      <c r="L60" s="208">
        <f t="shared" si="60"/>
        <v>1149.2312142121568</v>
      </c>
      <c r="M60" s="208">
        <f t="shared" si="60"/>
        <v>1255.6304578332745</v>
      </c>
      <c r="N60" s="208">
        <f t="shared" si="60"/>
        <v>1353.8373857301615</v>
      </c>
      <c r="O60" s="208">
        <f t="shared" si="60"/>
        <v>1446.9754795854415</v>
      </c>
      <c r="P60" s="208">
        <f t="shared" ref="P60:V60" si="61">P11</f>
        <v>1442.6203434361953</v>
      </c>
      <c r="Q60" s="208">
        <f t="shared" si="61"/>
        <v>1471.4727503049191</v>
      </c>
      <c r="R60" s="208">
        <f t="shared" si="61"/>
        <v>1497.9592598104077</v>
      </c>
      <c r="S60" s="208">
        <f t="shared" si="61"/>
        <v>1521.9266079673744</v>
      </c>
      <c r="T60" s="208">
        <f t="shared" si="61"/>
        <v>1543.2335804789177</v>
      </c>
      <c r="U60" s="208">
        <f t="shared" si="61"/>
        <v>1561.7523834446647</v>
      </c>
      <c r="V60" s="208">
        <f t="shared" si="61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2">IF(ISERROR(G60/F60-1),"n.a.",G60/F60-1)</f>
        <v>6.9383845908268516E-2</v>
      </c>
      <c r="H61" s="209">
        <f t="shared" si="62"/>
        <v>1.6519056622549488E-2</v>
      </c>
      <c r="I61" s="209">
        <f t="shared" si="62"/>
        <v>7.1953010279001361E-2</v>
      </c>
      <c r="J61" s="209">
        <f t="shared" si="62"/>
        <v>3.6621004566209869E-2</v>
      </c>
      <c r="K61" s="209">
        <f t="shared" si="62"/>
        <v>3.0834287727954379E-3</v>
      </c>
      <c r="L61" s="209">
        <f t="shared" si="62"/>
        <v>9.3370931074625574E-3</v>
      </c>
      <c r="M61" s="209">
        <f t="shared" si="62"/>
        <v>9.2582973996280238E-2</v>
      </c>
      <c r="N61" s="209">
        <f t="shared" si="62"/>
        <v>7.8213241232100827E-2</v>
      </c>
      <c r="O61" s="209">
        <f t="shared" si="62"/>
        <v>6.879562851268739E-2</v>
      </c>
      <c r="P61" s="209">
        <f t="shared" si="62"/>
        <v>-3.0098202842344657E-3</v>
      </c>
      <c r="Q61" s="209">
        <f t="shared" si="62"/>
        <v>2.0000000000000018E-2</v>
      </c>
      <c r="R61" s="209">
        <f t="shared" si="62"/>
        <v>1.8000000000000016E-2</v>
      </c>
      <c r="S61" s="209">
        <f t="shared" si="62"/>
        <v>1.6000000000000014E-2</v>
      </c>
      <c r="T61" s="209">
        <f t="shared" si="62"/>
        <v>1.4000000000000012E-2</v>
      </c>
      <c r="U61" s="209">
        <f t="shared" si="62"/>
        <v>1.2000000000000011E-2</v>
      </c>
      <c r="V61" s="209">
        <f t="shared" si="62"/>
        <v>1.0000000000000009E-2</v>
      </c>
    </row>
    <row r="62" spans="2:34">
      <c r="C62" s="203" t="s">
        <v>3</v>
      </c>
      <c r="D62" s="203"/>
      <c r="E62" s="203"/>
      <c r="F62" s="208">
        <f t="shared" ref="F62:P62" si="63">F15</f>
        <v>101.1</v>
      </c>
      <c r="G62" s="208">
        <f t="shared" si="63"/>
        <v>109.9</v>
      </c>
      <c r="H62" s="208">
        <f t="shared" si="63"/>
        <v>114.6</v>
      </c>
      <c r="I62" s="208">
        <f t="shared" si="63"/>
        <v>108.7</v>
      </c>
      <c r="J62" s="208">
        <f t="shared" si="63"/>
        <v>109.5</v>
      </c>
      <c r="K62" s="208">
        <f t="shared" si="63"/>
        <v>98.2</v>
      </c>
      <c r="L62" s="208">
        <f t="shared" si="63"/>
        <v>94.147209662938664</v>
      </c>
      <c r="M62" s="208">
        <f t="shared" si="63"/>
        <v>92.625305088518957</v>
      </c>
      <c r="N62" s="208">
        <f t="shared" si="63"/>
        <v>111.79673623719195</v>
      </c>
      <c r="O62" s="208">
        <f t="shared" si="63"/>
        <v>124.39494101920255</v>
      </c>
      <c r="P62" s="208">
        <f t="shared" si="63"/>
        <v>127.56812935492377</v>
      </c>
      <c r="Q62" s="208">
        <f t="shared" ref="Q62:V62" ca="1" si="64">Q15</f>
        <v>130.50500120625895</v>
      </c>
      <c r="R62" s="208">
        <f t="shared" ca="1" si="64"/>
        <v>133.24653965896459</v>
      </c>
      <c r="S62" s="208">
        <f t="shared" ca="1" si="64"/>
        <v>135.77721189939695</v>
      </c>
      <c r="T62" s="208">
        <f t="shared" ca="1" si="64"/>
        <v>138.08240265835985</v>
      </c>
      <c r="U62" s="208">
        <f t="shared" ca="1" si="64"/>
        <v>140.14855300014</v>
      </c>
      <c r="V62" s="208">
        <f t="shared" si="64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5">IF(ISERROR(G62/F62-1),"n.a.",G62/F62-1)</f>
        <v>8.7042532146389906E-2</v>
      </c>
      <c r="H63" s="209">
        <f t="shared" si="65"/>
        <v>4.2766151046405687E-2</v>
      </c>
      <c r="I63" s="209">
        <f t="shared" si="65"/>
        <v>-5.148342059336819E-2</v>
      </c>
      <c r="J63" s="209">
        <f t="shared" si="65"/>
        <v>7.3597056117755688E-3</v>
      </c>
      <c r="K63" s="209">
        <f t="shared" si="65"/>
        <v>-0.10319634703196345</v>
      </c>
      <c r="L63" s="209">
        <f t="shared" si="65"/>
        <v>-4.1270777363150102E-2</v>
      </c>
      <c r="M63" s="209">
        <f t="shared" si="65"/>
        <v>-1.6165158583757888E-2</v>
      </c>
      <c r="N63" s="209">
        <f t="shared" si="65"/>
        <v>0.20697833200496873</v>
      </c>
      <c r="O63" s="209">
        <f t="shared" si="65"/>
        <v>0.1126884845303695</v>
      </c>
      <c r="P63" s="209">
        <f t="shared" si="65"/>
        <v>2.5508982195918906E-2</v>
      </c>
      <c r="Q63" s="209">
        <f t="shared" ca="1" si="65"/>
        <v>2.302198727994309E-2</v>
      </c>
      <c r="R63" s="209">
        <f t="shared" ca="1" si="65"/>
        <v>2.1007152426079978E-2</v>
      </c>
      <c r="S63" s="209">
        <f t="shared" ca="1" si="65"/>
        <v>1.8992404957828057E-2</v>
      </c>
      <c r="T63" s="209">
        <f t="shared" ca="1" si="65"/>
        <v>1.6977744105328485E-2</v>
      </c>
      <c r="U63" s="209">
        <f t="shared" ca="1" si="65"/>
        <v>1.4963169107740315E-2</v>
      </c>
      <c r="V63" s="209">
        <f t="shared" ca="1" si="65"/>
        <v>1.2948679213107717E-2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66">G62/G$60</f>
        <v>0.10936411583242114</v>
      </c>
      <c r="H64" s="211">
        <f>H62/H$60</f>
        <v>0.11218795888399412</v>
      </c>
      <c r="I64" s="211">
        <f t="shared" ref="I64" si="67">I62/I$60</f>
        <v>9.9269406392694062E-2</v>
      </c>
      <c r="J64" s="211">
        <f t="shared" ref="J64:V64" si="68">J62/J$60</f>
        <v>9.6467271606025903E-2</v>
      </c>
      <c r="K64" s="211">
        <f t="shared" si="68"/>
        <v>8.6246267345863353E-2</v>
      </c>
      <c r="L64" s="211">
        <f t="shared" si="68"/>
        <v>8.1921904398916168E-2</v>
      </c>
      <c r="M64" s="211">
        <f t="shared" si="68"/>
        <v>7.3767966132610302E-2</v>
      </c>
      <c r="N64" s="211">
        <f t="shared" si="68"/>
        <v>8.2577669530744205E-2</v>
      </c>
      <c r="O64" s="211">
        <f t="shared" si="68"/>
        <v>8.5968935047082973E-2</v>
      </c>
      <c r="P64" s="211">
        <f t="shared" si="68"/>
        <v>8.8428067672377098E-2</v>
      </c>
      <c r="Q64" s="211">
        <f t="shared" ca="1" si="68"/>
        <v>8.8690056393647562E-2</v>
      </c>
      <c r="R64" s="211">
        <f t="shared" ca="1" si="68"/>
        <v>8.8952045114918027E-2</v>
      </c>
      <c r="S64" s="211">
        <f t="shared" ca="1" si="68"/>
        <v>8.9214033836188505E-2</v>
      </c>
      <c r="T64" s="211">
        <f t="shared" ca="1" si="68"/>
        <v>8.9476022557458998E-2</v>
      </c>
      <c r="U64" s="211">
        <f t="shared" ca="1" si="68"/>
        <v>8.9738011278729504E-2</v>
      </c>
      <c r="V64" s="211">
        <f t="shared" si="68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69">+G68-G62</f>
        <v>-25.300000000000011</v>
      </c>
      <c r="H65" s="210">
        <f t="shared" si="69"/>
        <v>-30.099999999999994</v>
      </c>
      <c r="I65" s="210">
        <f t="shared" si="69"/>
        <v>-31.600000000000009</v>
      </c>
      <c r="J65" s="210">
        <f t="shared" si="69"/>
        <v>-34.900000000000006</v>
      </c>
      <c r="K65" s="210">
        <f t="shared" si="69"/>
        <v>-36</v>
      </c>
      <c r="L65" s="210">
        <f t="shared" si="69"/>
        <v>-36.129215400000028</v>
      </c>
      <c r="M65" s="210">
        <f t="shared" si="69"/>
        <v>-40.455293523349013</v>
      </c>
      <c r="N65" s="210">
        <f t="shared" si="69"/>
        <v>-47.195257615808728</v>
      </c>
      <c r="O65" s="210">
        <f t="shared" si="69"/>
        <v>-51.82954358756416</v>
      </c>
      <c r="P65" s="210">
        <f t="shared" si="69"/>
        <v>-54.799912142159201</v>
      </c>
      <c r="Q65" s="210">
        <f t="shared" ca="1" si="69"/>
        <v>-53.583262142159185</v>
      </c>
      <c r="R65" s="210">
        <f t="shared" ca="1" si="69"/>
        <v>-52.366612142159198</v>
      </c>
      <c r="S65" s="210">
        <f t="shared" ca="1" si="69"/>
        <v>-51.149962142159197</v>
      </c>
      <c r="T65" s="210">
        <f t="shared" ca="1" si="69"/>
        <v>-49.933312142159195</v>
      </c>
      <c r="U65" s="210">
        <f t="shared" ca="1" si="69"/>
        <v>-48.716662142159194</v>
      </c>
      <c r="V65" s="210">
        <f t="shared" si="69"/>
        <v>-47.5</v>
      </c>
    </row>
    <row r="66" spans="3:22">
      <c r="C66" s="200" t="s">
        <v>84</v>
      </c>
      <c r="D66" s="199"/>
      <c r="E66" s="202"/>
      <c r="F66" s="211">
        <f t="shared" ref="F66:V66" si="70">+F65/F60</f>
        <v>-2.4795147387464082E-2</v>
      </c>
      <c r="G66" s="211">
        <f t="shared" si="70"/>
        <v>-2.5176634490994141E-2</v>
      </c>
      <c r="H66" s="211">
        <f t="shared" si="70"/>
        <v>-2.9466470876162502E-2</v>
      </c>
      <c r="I66" s="211">
        <f t="shared" si="70"/>
        <v>-2.8858447488584484E-2</v>
      </c>
      <c r="J66" s="211">
        <f t="shared" si="70"/>
        <v>-3.0746189763016483E-2</v>
      </c>
      <c r="K66" s="211">
        <f t="shared" si="70"/>
        <v>-3.1617776216406115E-2</v>
      </c>
      <c r="L66" s="211">
        <f t="shared" si="70"/>
        <v>-3.1437725457855774E-2</v>
      </c>
      <c r="M66" s="211">
        <f t="shared" si="70"/>
        <v>-3.2219108154766314E-2</v>
      </c>
      <c r="N66" s="211">
        <f t="shared" si="70"/>
        <v>-3.4860359237571976E-2</v>
      </c>
      <c r="O66" s="211">
        <f t="shared" si="70"/>
        <v>-3.5819227290854523E-2</v>
      </c>
      <c r="P66" s="211">
        <f t="shared" si="70"/>
        <v>-3.7986371391124714E-2</v>
      </c>
      <c r="Q66" s="211">
        <f t="shared" ca="1" si="70"/>
        <v>-3.6414715889951509E-2</v>
      </c>
      <c r="R66" s="211">
        <f t="shared" ca="1" si="70"/>
        <v>-3.4958635756747541E-2</v>
      </c>
      <c r="S66" s="211">
        <f t="shared" ca="1" si="70"/>
        <v>-3.3608691690115787E-2</v>
      </c>
      <c r="T66" s="211">
        <f t="shared" ca="1" si="70"/>
        <v>-3.235628927065156E-2</v>
      </c>
      <c r="U66" s="211">
        <f t="shared" ca="1" si="70"/>
        <v>-3.1193589110911257E-2</v>
      </c>
      <c r="V66" s="211">
        <f t="shared" si="70"/>
        <v>-3.0113418406678784E-2</v>
      </c>
    </row>
    <row r="67" spans="3:22">
      <c r="C67" s="200" t="s">
        <v>37</v>
      </c>
      <c r="D67" s="199"/>
      <c r="E67" s="202"/>
      <c r="F67" s="211">
        <f t="shared" ref="F67:V67" si="71">+F65/F72</f>
        <v>0.76644736842105254</v>
      </c>
      <c r="G67" s="211">
        <f t="shared" si="71"/>
        <v>0.67466666666666697</v>
      </c>
      <c r="H67" s="211">
        <f t="shared" si="71"/>
        <v>0.74689826302729523</v>
      </c>
      <c r="I67" s="211">
        <f t="shared" si="71"/>
        <v>0.87534626038781183</v>
      </c>
      <c r="J67" s="211">
        <f t="shared" si="71"/>
        <v>0.93565683646112618</v>
      </c>
      <c r="K67" s="211">
        <f t="shared" si="71"/>
        <v>1.1612903225806452</v>
      </c>
      <c r="L67" s="211">
        <f t="shared" si="71"/>
        <v>1.0035893166666674</v>
      </c>
      <c r="M67" s="211">
        <f t="shared" si="71"/>
        <v>0.79324104947743168</v>
      </c>
      <c r="N67" s="211">
        <f t="shared" si="71"/>
        <v>0.94390515231617456</v>
      </c>
      <c r="O67" s="211">
        <f t="shared" si="71"/>
        <v>1.0365908717512833</v>
      </c>
      <c r="P67" s="211">
        <f t="shared" si="71"/>
        <v>1.095998242843184</v>
      </c>
      <c r="Q67" s="211">
        <f t="shared" ca="1" si="71"/>
        <v>1.0716652428431837</v>
      </c>
      <c r="R67" s="211">
        <f t="shared" ca="1" si="71"/>
        <v>1.0473322428431839</v>
      </c>
      <c r="S67" s="211">
        <f t="shared" ca="1" si="71"/>
        <v>1.022999242843184</v>
      </c>
      <c r="T67" s="211">
        <f t="shared" ca="1" si="71"/>
        <v>0.99866624284318395</v>
      </c>
      <c r="U67" s="211">
        <f t="shared" ca="1" si="71"/>
        <v>0.9743332428431839</v>
      </c>
      <c r="V67" s="211">
        <f t="shared" si="71"/>
        <v>0.95</v>
      </c>
    </row>
    <row r="68" spans="3:22">
      <c r="C68" s="203" t="s">
        <v>5</v>
      </c>
      <c r="D68" s="203"/>
      <c r="E68" s="203"/>
      <c r="F68" s="208">
        <f t="shared" ref="F68:V68" si="72">F25</f>
        <v>77.8</v>
      </c>
      <c r="G68" s="208">
        <f t="shared" si="72"/>
        <v>84.6</v>
      </c>
      <c r="H68" s="208">
        <f t="shared" si="72"/>
        <v>84.5</v>
      </c>
      <c r="I68" s="208">
        <f t="shared" si="72"/>
        <v>77.099999999999994</v>
      </c>
      <c r="J68" s="208">
        <f t="shared" si="72"/>
        <v>74.599999999999994</v>
      </c>
      <c r="K68" s="208">
        <f t="shared" si="72"/>
        <v>62.2</v>
      </c>
      <c r="L68" s="208">
        <f t="shared" si="72"/>
        <v>58.017994262938636</v>
      </c>
      <c r="M68" s="208">
        <f t="shared" si="72"/>
        <v>52.170011565169943</v>
      </c>
      <c r="N68" s="208">
        <f t="shared" si="72"/>
        <v>64.601478621383222</v>
      </c>
      <c r="O68" s="208">
        <f t="shared" si="72"/>
        <v>72.565397431638388</v>
      </c>
      <c r="P68" s="208">
        <f t="shared" si="72"/>
        <v>72.768217212764569</v>
      </c>
      <c r="Q68" s="208">
        <f t="shared" ca="1" si="72"/>
        <v>76.921739064099768</v>
      </c>
      <c r="R68" s="208">
        <f t="shared" ca="1" si="72"/>
        <v>80.879927516805395</v>
      </c>
      <c r="S68" s="208">
        <f t="shared" ca="1" si="72"/>
        <v>84.627249757237749</v>
      </c>
      <c r="T68" s="208">
        <f t="shared" ca="1" si="72"/>
        <v>88.149090516200658</v>
      </c>
      <c r="U68" s="208">
        <f t="shared" ca="1" si="72"/>
        <v>91.431890857980804</v>
      </c>
      <c r="V68" s="208">
        <f t="shared" si="72"/>
        <v>94.463291655120031</v>
      </c>
    </row>
    <row r="69" spans="3:22">
      <c r="C69" s="200" t="s">
        <v>0</v>
      </c>
      <c r="D69" s="199"/>
      <c r="E69" s="201"/>
      <c r="F69" s="211" t="str">
        <f t="shared" ref="F69" si="73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4">IF(ISERROR(I68/H68-1),"n.a.",I68/H68-1)</f>
        <v>-8.7573964497041468E-2</v>
      </c>
      <c r="J69" s="211">
        <f t="shared" si="74"/>
        <v>-3.2425421530479892E-2</v>
      </c>
      <c r="K69" s="211">
        <f t="shared" si="74"/>
        <v>-0.16621983914209104</v>
      </c>
      <c r="L69" s="211">
        <f t="shared" si="74"/>
        <v>-6.723481892381622E-2</v>
      </c>
      <c r="M69" s="211">
        <f t="shared" si="74"/>
        <v>-0.10079601634047408</v>
      </c>
      <c r="N69" s="211">
        <f t="shared" si="74"/>
        <v>0.23828760399418525</v>
      </c>
      <c r="O69" s="211">
        <f t="shared" si="74"/>
        <v>0.12327765525198209</v>
      </c>
      <c r="P69" s="211">
        <f t="shared" si="74"/>
        <v>2.7949930449600036E-3</v>
      </c>
      <c r="Q69" s="211">
        <f t="shared" ca="1" si="74"/>
        <v>5.7078790857151951E-2</v>
      </c>
      <c r="R69" s="211">
        <f t="shared" ca="1" si="74"/>
        <v>5.1457344839892727E-2</v>
      </c>
      <c r="S69" s="211">
        <f t="shared" ca="1" si="74"/>
        <v>4.6331918876333367E-2</v>
      </c>
      <c r="T69" s="211">
        <f t="shared" ca="1" si="74"/>
        <v>4.161591885670024E-2</v>
      </c>
      <c r="U69" s="211">
        <f t="shared" ca="1" si="74"/>
        <v>3.7241454478498692E-2</v>
      </c>
      <c r="V69" s="211">
        <f t="shared" ca="1" si="74"/>
        <v>3.3154742494036826E-2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5">G68/G$60</f>
        <v>8.4187481341427006E-2</v>
      </c>
      <c r="H70" s="313">
        <f>H68/H$60</f>
        <v>8.272148800783162E-2</v>
      </c>
      <c r="I70" s="313">
        <f t="shared" ref="I70:V70" si="76">I68/I$60</f>
        <v>7.0410958904109588E-2</v>
      </c>
      <c r="J70" s="313">
        <f t="shared" si="76"/>
        <v>6.5721081843009427E-2</v>
      </c>
      <c r="K70" s="313">
        <f t="shared" si="76"/>
        <v>5.4628491129457238E-2</v>
      </c>
      <c r="L70" s="313">
        <f t="shared" si="76"/>
        <v>5.0484178941060394E-2</v>
      </c>
      <c r="M70" s="313">
        <f t="shared" si="76"/>
        <v>4.1548857977843988E-2</v>
      </c>
      <c r="N70" s="313">
        <f t="shared" si="76"/>
        <v>4.7717310293172235E-2</v>
      </c>
      <c r="O70" s="313">
        <f t="shared" si="76"/>
        <v>5.0149707756228443E-2</v>
      </c>
      <c r="P70" s="313">
        <f t="shared" si="76"/>
        <v>5.0441696281252384E-2</v>
      </c>
      <c r="Q70" s="313">
        <f t="shared" ca="1" si="76"/>
        <v>5.2275340503696054E-2</v>
      </c>
      <c r="R70" s="313">
        <f t="shared" ca="1" si="76"/>
        <v>5.3993409358170479E-2</v>
      </c>
      <c r="S70" s="313">
        <f t="shared" ca="1" si="76"/>
        <v>5.5605342146072725E-2</v>
      </c>
      <c r="T70" s="313">
        <f t="shared" ca="1" si="76"/>
        <v>5.7119733286807438E-2</v>
      </c>
      <c r="U70" s="313">
        <f t="shared" ca="1" si="76"/>
        <v>5.8544422167818244E-2</v>
      </c>
      <c r="V70" s="313">
        <f t="shared" si="76"/>
        <v>5.988658159332122E-2</v>
      </c>
    </row>
    <row r="71" spans="3:22">
      <c r="C71" s="199" t="s">
        <v>3</v>
      </c>
      <c r="D71" s="199"/>
      <c r="E71" s="199"/>
      <c r="F71" s="210">
        <f t="shared" ref="F71:V71" si="77">F15</f>
        <v>101.1</v>
      </c>
      <c r="G71" s="210">
        <f t="shared" si="77"/>
        <v>109.9</v>
      </c>
      <c r="H71" s="210">
        <f t="shared" si="77"/>
        <v>114.6</v>
      </c>
      <c r="I71" s="210">
        <f t="shared" si="77"/>
        <v>108.7</v>
      </c>
      <c r="J71" s="210">
        <f t="shared" si="77"/>
        <v>109.5</v>
      </c>
      <c r="K71" s="210">
        <f t="shared" si="77"/>
        <v>98.2</v>
      </c>
      <c r="L71" s="210">
        <f t="shared" si="77"/>
        <v>94.147209662938664</v>
      </c>
      <c r="M71" s="210">
        <f t="shared" si="77"/>
        <v>92.625305088518957</v>
      </c>
      <c r="N71" s="210">
        <f t="shared" si="77"/>
        <v>111.79673623719195</v>
      </c>
      <c r="O71" s="210">
        <f t="shared" si="77"/>
        <v>124.39494101920255</v>
      </c>
      <c r="P71" s="210">
        <f t="shared" si="77"/>
        <v>127.56812935492377</v>
      </c>
      <c r="Q71" s="210">
        <f t="shared" ca="1" si="77"/>
        <v>130.50500120625895</v>
      </c>
      <c r="R71" s="210">
        <f t="shared" ca="1" si="77"/>
        <v>133.24653965896459</v>
      </c>
      <c r="S71" s="210">
        <f t="shared" ca="1" si="77"/>
        <v>135.77721189939695</v>
      </c>
      <c r="T71" s="210">
        <f t="shared" ca="1" si="77"/>
        <v>138.08240265835985</v>
      </c>
      <c r="U71" s="210">
        <f t="shared" ca="1" si="77"/>
        <v>140.14855300014</v>
      </c>
      <c r="V71" s="210">
        <f t="shared" si="77"/>
        <v>141.96329165512003</v>
      </c>
    </row>
    <row r="72" spans="3:22">
      <c r="C72" s="203" t="s">
        <v>7</v>
      </c>
      <c r="D72" s="203"/>
      <c r="E72" s="204"/>
      <c r="F72" s="208">
        <f t="shared" ref="F72:V72" si="78">F40</f>
        <v>-30.4</v>
      </c>
      <c r="G72" s="208">
        <f t="shared" si="78"/>
        <v>-37.5</v>
      </c>
      <c r="H72" s="208">
        <f t="shared" si="78"/>
        <v>-40.299999999999997</v>
      </c>
      <c r="I72" s="208">
        <f t="shared" si="78"/>
        <v>-36.1</v>
      </c>
      <c r="J72" s="208">
        <f t="shared" si="78"/>
        <v>-37.299999999999997</v>
      </c>
      <c r="K72" s="208">
        <f t="shared" si="78"/>
        <v>-31</v>
      </c>
      <c r="L72" s="208">
        <f t="shared" si="78"/>
        <v>-36</v>
      </c>
      <c r="M72" s="208">
        <f t="shared" si="78"/>
        <v>-51</v>
      </c>
      <c r="N72" s="208">
        <f t="shared" si="78"/>
        <v>-50</v>
      </c>
      <c r="O72" s="208">
        <f t="shared" si="78"/>
        <v>-50</v>
      </c>
      <c r="P72" s="208">
        <f t="shared" si="78"/>
        <v>-50</v>
      </c>
      <c r="Q72" s="208">
        <f t="shared" si="78"/>
        <v>-50</v>
      </c>
      <c r="R72" s="208">
        <f t="shared" si="78"/>
        <v>-50</v>
      </c>
      <c r="S72" s="208">
        <f t="shared" si="78"/>
        <v>-50</v>
      </c>
      <c r="T72" s="208">
        <f t="shared" si="78"/>
        <v>-50</v>
      </c>
      <c r="U72" s="208">
        <f t="shared" si="78"/>
        <v>-50</v>
      </c>
      <c r="V72" s="208">
        <f t="shared" si="78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79">IF(ISERROR(-G72/G$60),"n.a.",-G72/G$60)</f>
        <v>3.7317145984675094E-2</v>
      </c>
      <c r="H73" s="209">
        <f t="shared" si="79"/>
        <v>3.9451786588350461E-2</v>
      </c>
      <c r="I73" s="209">
        <f t="shared" si="79"/>
        <v>3.2968036529680368E-2</v>
      </c>
      <c r="J73" s="209">
        <f t="shared" si="79"/>
        <v>3.2860540921504713E-2</v>
      </c>
      <c r="K73" s="209">
        <f t="shared" si="79"/>
        <v>2.7226418408571932E-2</v>
      </c>
      <c r="L73" s="209">
        <f t="shared" si="79"/>
        <v>3.1325289075688233E-2</v>
      </c>
      <c r="M73" s="209">
        <f t="shared" si="79"/>
        <v>4.0617045948380379E-2</v>
      </c>
      <c r="N73" s="209">
        <f t="shared" si="79"/>
        <v>3.6932057370415751E-2</v>
      </c>
      <c r="O73" s="209">
        <f t="shared" si="79"/>
        <v>3.4554835728332456E-2</v>
      </c>
      <c r="P73" s="209">
        <f t="shared" si="79"/>
        <v>3.4659153551726836E-2</v>
      </c>
      <c r="Q73" s="209">
        <f t="shared" si="79"/>
        <v>3.3979562305614552E-2</v>
      </c>
      <c r="R73" s="209">
        <f t="shared" si="79"/>
        <v>3.3378744897460261E-2</v>
      </c>
      <c r="S73" s="209">
        <f t="shared" si="79"/>
        <v>3.2853095371516004E-2</v>
      </c>
      <c r="T73" s="209">
        <f t="shared" si="79"/>
        <v>3.239950233877318E-2</v>
      </c>
      <c r="U73" s="209">
        <f t="shared" si="79"/>
        <v>3.2015318516574284E-2</v>
      </c>
      <c r="V73" s="209">
        <f t="shared" si="79"/>
        <v>3.1698335164925033E-2</v>
      </c>
    </row>
    <row r="74" spans="3:22">
      <c r="C74" s="199" t="s">
        <v>75</v>
      </c>
      <c r="D74" s="199"/>
      <c r="E74" s="201"/>
      <c r="F74" s="210">
        <f t="shared" ref="F74:V74" si="80">F45</f>
        <v>-5.3000000000000007</v>
      </c>
      <c r="G74" s="210">
        <f t="shared" si="80"/>
        <v>25.099999999999998</v>
      </c>
      <c r="H74" s="210">
        <f t="shared" si="80"/>
        <v>-11.2</v>
      </c>
      <c r="I74" s="210">
        <f t="shared" si="80"/>
        <v>-16.300000000000004</v>
      </c>
      <c r="J74" s="210">
        <f t="shared" si="80"/>
        <v>-12.6</v>
      </c>
      <c r="K74" s="210">
        <f t="shared" si="80"/>
        <v>-10.399999999999999</v>
      </c>
      <c r="L74" s="210">
        <f t="shared" si="80"/>
        <v>-3.1</v>
      </c>
      <c r="M74" s="210">
        <f t="shared" si="80"/>
        <v>-4.0999999999999996</v>
      </c>
      <c r="N74" s="210">
        <f t="shared" si="80"/>
        <v>-4.0999999999999996</v>
      </c>
      <c r="O74" s="210">
        <f t="shared" si="80"/>
        <v>-4.0999999999999996</v>
      </c>
      <c r="P74" s="210">
        <f t="shared" si="80"/>
        <v>-4.0999999999999996</v>
      </c>
      <c r="Q74" s="210">
        <f t="shared" si="80"/>
        <v>-4.4144182509147578</v>
      </c>
      <c r="R74" s="210">
        <f t="shared" si="80"/>
        <v>-4.493877779431223</v>
      </c>
      <c r="S74" s="210">
        <f t="shared" si="80"/>
        <v>-4.5657798239021234</v>
      </c>
      <c r="T74" s="210">
        <f t="shared" si="80"/>
        <v>-4.6297007414367535</v>
      </c>
      <c r="U74" s="210">
        <f t="shared" si="80"/>
        <v>-4.6852571503339941</v>
      </c>
      <c r="V74" s="210">
        <f t="shared" si="80"/>
        <v>-4.7321097218373342</v>
      </c>
    </row>
    <row r="75" spans="3:22">
      <c r="C75" s="200" t="s">
        <v>135</v>
      </c>
      <c r="D75" s="199"/>
      <c r="E75" s="201"/>
      <c r="F75" s="211">
        <f t="shared" ref="F75:V75" si="81">+F74/F60</f>
        <v>-5.6400979035862511E-3</v>
      </c>
      <c r="G75" s="211">
        <f t="shared" si="81"/>
        <v>2.4977609712409192E-2</v>
      </c>
      <c r="H75" s="211">
        <f t="shared" si="81"/>
        <v>-1.0964268232990699E-2</v>
      </c>
      <c r="I75" s="211">
        <f t="shared" si="81"/>
        <v>-1.4885844748858451E-2</v>
      </c>
      <c r="J75" s="211">
        <f t="shared" si="81"/>
        <v>-1.1100343582063256E-2</v>
      </c>
      <c r="K75" s="211">
        <f t="shared" si="81"/>
        <v>-9.1340242402950991E-3</v>
      </c>
      <c r="L75" s="211">
        <f t="shared" si="81"/>
        <v>-2.6974554481842645E-3</v>
      </c>
      <c r="M75" s="211">
        <f t="shared" si="81"/>
        <v>-3.2652919291835201E-3</v>
      </c>
      <c r="N75" s="211">
        <f t="shared" si="81"/>
        <v>-3.0284287043740913E-3</v>
      </c>
      <c r="O75" s="211">
        <f t="shared" si="81"/>
        <v>-2.8334965297232609E-3</v>
      </c>
      <c r="P75" s="211">
        <f t="shared" si="81"/>
        <v>-2.8420505912416004E-3</v>
      </c>
      <c r="Q75" s="211">
        <f t="shared" si="81"/>
        <v>-3.0000000000000001E-3</v>
      </c>
      <c r="R75" s="211">
        <f t="shared" si="81"/>
        <v>-3.0000000000000001E-3</v>
      </c>
      <c r="S75" s="211">
        <f t="shared" si="81"/>
        <v>-3.0000000000000001E-3</v>
      </c>
      <c r="T75" s="211">
        <f t="shared" si="81"/>
        <v>-3.0000000000000001E-3</v>
      </c>
      <c r="U75" s="211">
        <f t="shared" si="81"/>
        <v>-3.0000000000000001E-3</v>
      </c>
      <c r="V75" s="211">
        <f t="shared" si="81"/>
        <v>-3.0000000000000001E-3</v>
      </c>
    </row>
    <row r="76" spans="3:22">
      <c r="C76" s="308" t="s">
        <v>130</v>
      </c>
      <c r="D76" s="199"/>
      <c r="E76" s="201"/>
      <c r="F76" s="210">
        <f t="shared" ref="F76:V76" si="82">+F49</f>
        <v>0</v>
      </c>
      <c r="G76" s="210">
        <f t="shared" si="82"/>
        <v>0</v>
      </c>
      <c r="H76" s="210">
        <f t="shared" si="82"/>
        <v>0</v>
      </c>
      <c r="I76" s="210">
        <f t="shared" si="82"/>
        <v>0</v>
      </c>
      <c r="J76" s="210">
        <f t="shared" si="82"/>
        <v>-1.5</v>
      </c>
      <c r="K76" s="210">
        <f t="shared" si="82"/>
        <v>0.74</v>
      </c>
      <c r="L76" s="210">
        <f t="shared" si="82"/>
        <v>0</v>
      </c>
      <c r="M76" s="210">
        <f t="shared" si="82"/>
        <v>0</v>
      </c>
      <c r="N76" s="210">
        <f t="shared" si="82"/>
        <v>-5</v>
      </c>
      <c r="O76" s="210">
        <f t="shared" si="82"/>
        <v>-5</v>
      </c>
      <c r="P76" s="210">
        <f t="shared" si="82"/>
        <v>-5</v>
      </c>
      <c r="Q76" s="210">
        <f t="shared" si="82"/>
        <v>-5</v>
      </c>
      <c r="R76" s="210">
        <f t="shared" si="82"/>
        <v>-5</v>
      </c>
      <c r="S76" s="210">
        <f t="shared" si="82"/>
        <v>-5</v>
      </c>
      <c r="T76" s="210">
        <f t="shared" si="82"/>
        <v>-5</v>
      </c>
      <c r="U76" s="210">
        <f t="shared" si="82"/>
        <v>-5</v>
      </c>
      <c r="V76" s="210">
        <f t="shared" si="82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3">IF(ISERROR(-G76/G$60),"n.a.",-G76/G$60)</f>
        <v>0</v>
      </c>
      <c r="H77" s="209">
        <f t="shared" si="83"/>
        <v>0</v>
      </c>
      <c r="I77" s="209">
        <f t="shared" si="83"/>
        <v>0</v>
      </c>
      <c r="J77" s="209">
        <f t="shared" si="83"/>
        <v>1.3214694740551493E-3</v>
      </c>
      <c r="K77" s="209">
        <f t="shared" si="83"/>
        <v>-6.4992095555945904E-4</v>
      </c>
      <c r="L77" s="209">
        <f t="shared" si="83"/>
        <v>0</v>
      </c>
      <c r="M77" s="209">
        <f t="shared" si="83"/>
        <v>0</v>
      </c>
      <c r="N77" s="209">
        <f t="shared" si="83"/>
        <v>3.6932057370415751E-3</v>
      </c>
      <c r="O77" s="209">
        <f t="shared" si="83"/>
        <v>3.4554835728332453E-3</v>
      </c>
      <c r="P77" s="209">
        <f t="shared" si="83"/>
        <v>3.4659153551726838E-3</v>
      </c>
      <c r="Q77" s="209">
        <f t="shared" si="83"/>
        <v>3.3979562305614551E-3</v>
      </c>
      <c r="R77" s="209">
        <f t="shared" si="83"/>
        <v>3.3378744897460265E-3</v>
      </c>
      <c r="S77" s="209">
        <f t="shared" si="83"/>
        <v>3.2853095371516007E-3</v>
      </c>
      <c r="T77" s="209">
        <f t="shared" si="83"/>
        <v>3.2399502338773178E-3</v>
      </c>
      <c r="U77" s="209">
        <f t="shared" si="83"/>
        <v>3.2015318516574287E-3</v>
      </c>
      <c r="V77" s="209">
        <f t="shared" si="83"/>
        <v>3.1698335164925037E-3</v>
      </c>
    </row>
    <row r="78" spans="3:22">
      <c r="C78" s="308" t="s">
        <v>131</v>
      </c>
      <c r="D78" s="199"/>
      <c r="E78" s="201"/>
      <c r="F78" s="210">
        <f t="shared" ref="F78:V78" si="84">+F53</f>
        <v>0</v>
      </c>
      <c r="G78" s="210">
        <f t="shared" si="84"/>
        <v>0</v>
      </c>
      <c r="H78" s="210">
        <f t="shared" si="84"/>
        <v>0</v>
      </c>
      <c r="I78" s="210">
        <f t="shared" si="84"/>
        <v>0</v>
      </c>
      <c r="J78" s="210">
        <f t="shared" si="84"/>
        <v>0</v>
      </c>
      <c r="K78" s="210">
        <f t="shared" si="84"/>
        <v>0</v>
      </c>
      <c r="L78" s="210">
        <f t="shared" si="84"/>
        <v>0</v>
      </c>
      <c r="M78" s="210">
        <f t="shared" si="84"/>
        <v>-18.004468664734777</v>
      </c>
      <c r="N78" s="210">
        <f t="shared" si="84"/>
        <v>-6.7527180429793674</v>
      </c>
      <c r="O78" s="210">
        <f t="shared" si="84"/>
        <v>1.1384540263188825</v>
      </c>
      <c r="P78" s="210">
        <f t="shared" si="84"/>
        <v>-4.8650405710493061</v>
      </c>
      <c r="Q78" s="210">
        <f t="shared" si="84"/>
        <v>-4.9000000000000004</v>
      </c>
      <c r="R78" s="210">
        <f t="shared" si="84"/>
        <v>-4.9000000000000004</v>
      </c>
      <c r="S78" s="210">
        <f t="shared" si="84"/>
        <v>-4.9000000000000004</v>
      </c>
      <c r="T78" s="210">
        <f t="shared" si="84"/>
        <v>-4.9000000000000004</v>
      </c>
      <c r="U78" s="210">
        <f t="shared" si="84"/>
        <v>-4.9000000000000004</v>
      </c>
      <c r="V78" s="210">
        <f t="shared" si="84"/>
        <v>-4.9000000000000004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5">IF(ISERROR(-G78/G$60),"n.a.",-G78/G$60)</f>
        <v>0</v>
      </c>
      <c r="H79" s="318">
        <f t="shared" si="85"/>
        <v>0</v>
      </c>
      <c r="I79" s="318">
        <f t="shared" si="85"/>
        <v>0</v>
      </c>
      <c r="J79" s="318">
        <f t="shared" si="85"/>
        <v>0</v>
      </c>
      <c r="K79" s="318">
        <f t="shared" si="85"/>
        <v>0</v>
      </c>
      <c r="L79" s="318">
        <f t="shared" si="85"/>
        <v>0</v>
      </c>
      <c r="M79" s="318">
        <f t="shared" si="85"/>
        <v>1.433898688297465E-2</v>
      </c>
      <c r="N79" s="318">
        <f t="shared" si="85"/>
        <v>4.9878354033911108E-3</v>
      </c>
      <c r="O79" s="318">
        <f t="shared" si="85"/>
        <v>-7.8678183727415307E-4</v>
      </c>
      <c r="P79" s="318">
        <f t="shared" si="85"/>
        <v>3.3723637637475745E-3</v>
      </c>
      <c r="Q79" s="318">
        <f t="shared" si="85"/>
        <v>3.3299971059502259E-3</v>
      </c>
      <c r="R79" s="318">
        <f t="shared" si="85"/>
        <v>3.271116999951106E-3</v>
      </c>
      <c r="S79" s="318">
        <f t="shared" si="85"/>
        <v>3.2196033464085686E-3</v>
      </c>
      <c r="T79" s="318">
        <f t="shared" si="85"/>
        <v>3.1751512291997718E-3</v>
      </c>
      <c r="U79" s="318">
        <f t="shared" si="85"/>
        <v>3.1375012146242802E-3</v>
      </c>
      <c r="V79" s="318">
        <f t="shared" si="85"/>
        <v>3.1064368461626536E-3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51" zoomScaleNormal="100" zoomScaleSheetLayoutView="100" workbookViewId="0">
      <selection activeCell="U53" sqref="U53"/>
    </sheetView>
  </sheetViews>
  <sheetFormatPr defaultColWidth="9.140625" defaultRowHeight="12.75"/>
  <cols>
    <col min="1" max="1" width="3" customWidth="1"/>
    <col min="2" max="3" width="0.42578125" customWidth="1"/>
    <col min="4" max="4" width="11.28515625" customWidth="1"/>
    <col min="5" max="20" width="14.28515625" customWidth="1"/>
    <col min="21" max="21" width="2.85546875" customWidth="1"/>
  </cols>
  <sheetData>
    <row r="2" spans="4:21" s="7" customFormat="1" ht="12" customHeight="1">
      <c r="D2" s="34"/>
    </row>
    <row r="3" spans="4:21" ht="20.25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1" t="s">
        <v>156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>
        <v>8.5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1" t="s">
        <v>157</v>
      </c>
      <c r="I13" s="331"/>
      <c r="J13" s="331"/>
      <c r="K13" s="331"/>
      <c r="L13" s="344" t="s">
        <v>163</v>
      </c>
      <c r="M13" s="344"/>
      <c r="N13" s="344"/>
      <c r="O13" s="344"/>
      <c r="P13" s="344"/>
      <c r="Q13" s="350" t="s">
        <v>167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>
        <f>' Financials'!I11</f>
        <v>1095</v>
      </c>
      <c r="G24" s="332">
        <f>' Financials'!J11</f>
        <v>1135.0999999999999</v>
      </c>
      <c r="H24" s="332">
        <f>' Financials'!K11</f>
        <v>1138.5999999999999</v>
      </c>
      <c r="I24" s="332">
        <f>' Financials'!L11</f>
        <v>1149.2312142121568</v>
      </c>
      <c r="J24" s="332">
        <f>' Financials'!M11</f>
        <v>1255.6304578332745</v>
      </c>
      <c r="K24" s="332">
        <f>' Financials'!N11</f>
        <v>1353.8373857301615</v>
      </c>
      <c r="L24" s="332">
        <f>' Financials'!O11</f>
        <v>1446.9754795854415</v>
      </c>
      <c r="M24" s="332">
        <f>' Financials'!P11</f>
        <v>1442.6203434361953</v>
      </c>
      <c r="N24" s="332">
        <f>' Financials'!Q11</f>
        <v>1471.4727503049191</v>
      </c>
      <c r="O24" s="332">
        <f>' Financials'!R11</f>
        <v>1497.9592598104077</v>
      </c>
      <c r="P24" s="332">
        <f>' Financials'!S11</f>
        <v>1521.9266079673744</v>
      </c>
      <c r="Q24" s="332">
        <f>' Financials'!T11</f>
        <v>1543.2335804789177</v>
      </c>
      <c r="R24" s="332">
        <f>' Financials'!U11</f>
        <v>1561.7523834446647</v>
      </c>
      <c r="S24" s="332">
        <f>' Financials'!V11</f>
        <v>1577.3699072791114</v>
      </c>
      <c r="T24" s="129"/>
    </row>
    <row r="25" spans="3:21">
      <c r="C25" s="53"/>
      <c r="D25" s="53" t="s">
        <v>0</v>
      </c>
      <c r="E25" s="53"/>
      <c r="F25" s="341"/>
      <c r="G25" s="342">
        <f>(G24-F24)/F24</f>
        <v>3.662100456620996E-2</v>
      </c>
      <c r="H25" s="342">
        <f t="shared" ref="H25:S25" si="4">(H24-G24)/G24</f>
        <v>3.0834287727953486E-3</v>
      </c>
      <c r="I25" s="342">
        <f t="shared" si="4"/>
        <v>9.3370931074626042E-3</v>
      </c>
      <c r="J25" s="342">
        <f t="shared" si="4"/>
        <v>9.258297399628021E-2</v>
      </c>
      <c r="K25" s="342">
        <f t="shared" si="4"/>
        <v>7.8213241232100758E-2</v>
      </c>
      <c r="L25" s="342">
        <f t="shared" si="4"/>
        <v>6.8795628512687335E-2</v>
      </c>
      <c r="M25" s="342">
        <f t="shared" si="4"/>
        <v>-3.0098202842344713E-3</v>
      </c>
      <c r="N25" s="342">
        <f t="shared" si="4"/>
        <v>1.9999999999999959E-2</v>
      </c>
      <c r="O25" s="342">
        <f t="shared" si="4"/>
        <v>1.8000000000000026E-2</v>
      </c>
      <c r="P25" s="342">
        <f t="shared" si="4"/>
        <v>1.6000000000000077E-2</v>
      </c>
      <c r="Q25" s="342">
        <f t="shared" si="4"/>
        <v>1.4000000000000063E-2</v>
      </c>
      <c r="R25" s="342">
        <f t="shared" si="4"/>
        <v>1.1999999999999992E-2</v>
      </c>
      <c r="S25" s="342">
        <f t="shared" si="4"/>
        <v>1.0000000000000052E-2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>
        <f>' Financials'!I62</f>
        <v>108.7</v>
      </c>
      <c r="G27" s="332">
        <f>' Financials'!J62</f>
        <v>109.5</v>
      </c>
      <c r="H27" s="332">
        <f>' Financials'!K62</f>
        <v>98.2</v>
      </c>
      <c r="I27" s="332">
        <f>' Financials'!L62</f>
        <v>94.147209662938664</v>
      </c>
      <c r="J27" s="332">
        <f>' Financials'!M62</f>
        <v>92.625305088518957</v>
      </c>
      <c r="K27" s="332">
        <f>' Financials'!N62</f>
        <v>111.79673623719195</v>
      </c>
      <c r="L27" s="332">
        <f>' Financials'!O62</f>
        <v>124.39494101920255</v>
      </c>
      <c r="M27" s="332">
        <f>' Financials'!P62</f>
        <v>127.56812935492377</v>
      </c>
      <c r="N27" s="332">
        <f ca="1">' Financials'!Q62</f>
        <v>130.50500120625895</v>
      </c>
      <c r="O27" s="332">
        <f ca="1">' Financials'!R62</f>
        <v>133.24653965896459</v>
      </c>
      <c r="P27" s="332">
        <f ca="1">' Financials'!S62</f>
        <v>135.77721189939695</v>
      </c>
      <c r="Q27" s="332">
        <f ca="1">' Financials'!T62</f>
        <v>138.08240265835985</v>
      </c>
      <c r="R27" s="332">
        <f ca="1">' Financials'!U62</f>
        <v>140.14855300014</v>
      </c>
      <c r="S27" s="332">
        <f>' Financials'!V62</f>
        <v>141.96329165512003</v>
      </c>
      <c r="T27" s="129"/>
    </row>
    <row r="28" spans="3:21">
      <c r="C28" s="53"/>
      <c r="D28" s="53" t="s">
        <v>1</v>
      </c>
      <c r="E28" s="53"/>
      <c r="F28" s="343">
        <f>F27/F24</f>
        <v>9.9269406392694062E-2</v>
      </c>
      <c r="G28" s="343">
        <f t="shared" ref="G28:S28" si="5">G27/G24</f>
        <v>9.6467271606025903E-2</v>
      </c>
      <c r="H28" s="343">
        <f t="shared" si="5"/>
        <v>8.6246267345863353E-2</v>
      </c>
      <c r="I28" s="343">
        <f t="shared" si="5"/>
        <v>8.1921904398916168E-2</v>
      </c>
      <c r="J28" s="343">
        <f t="shared" si="5"/>
        <v>7.3767966132610302E-2</v>
      </c>
      <c r="K28" s="343">
        <f t="shared" si="5"/>
        <v>8.2577669530744205E-2</v>
      </c>
      <c r="L28" s="343">
        <f t="shared" si="5"/>
        <v>8.5968935047082973E-2</v>
      </c>
      <c r="M28" s="343">
        <f t="shared" si="5"/>
        <v>8.8428067672377098E-2</v>
      </c>
      <c r="N28" s="343">
        <f t="shared" ca="1" si="5"/>
        <v>8.8690056393647562E-2</v>
      </c>
      <c r="O28" s="343">
        <f t="shared" ca="1" si="5"/>
        <v>8.8952045114918027E-2</v>
      </c>
      <c r="P28" s="343">
        <f t="shared" ca="1" si="5"/>
        <v>8.9214033836188505E-2</v>
      </c>
      <c r="Q28" s="343">
        <f t="shared" ca="1" si="5"/>
        <v>8.9476022557458998E-2</v>
      </c>
      <c r="R28" s="343">
        <f t="shared" ca="1" si="5"/>
        <v>8.9738011278729504E-2</v>
      </c>
      <c r="S28" s="343">
        <f t="shared" si="5"/>
        <v>0.09</v>
      </c>
      <c r="T28" s="54"/>
    </row>
    <row r="29" spans="3:21">
      <c r="C29" s="53"/>
      <c r="D29" s="53" t="s">
        <v>0</v>
      </c>
      <c r="E29" s="53"/>
      <c r="F29" s="341"/>
      <c r="G29" s="342">
        <f>(G27-F27)/F27</f>
        <v>7.3597056117755029E-3</v>
      </c>
      <c r="H29" s="342">
        <f t="shared" ref="H29:S29" si="6">(H27-G27)/G27</f>
        <v>-0.10319634703196344</v>
      </c>
      <c r="I29" s="342">
        <f t="shared" si="6"/>
        <v>-4.1270777363150088E-2</v>
      </c>
      <c r="J29" s="342">
        <f t="shared" si="6"/>
        <v>-1.6165158583757899E-2</v>
      </c>
      <c r="K29" s="342">
        <f t="shared" si="6"/>
        <v>0.20697833200496871</v>
      </c>
      <c r="L29" s="342">
        <f t="shared" si="6"/>
        <v>0.11268848453036943</v>
      </c>
      <c r="M29" s="342">
        <f t="shared" si="6"/>
        <v>2.5508982195918913E-2</v>
      </c>
      <c r="N29" s="342">
        <f t="shared" ca="1" si="6"/>
        <v>2.3021987279943042E-2</v>
      </c>
      <c r="O29" s="342">
        <f t="shared" ca="1" si="6"/>
        <v>2.1007152426080034E-2</v>
      </c>
      <c r="P29" s="342">
        <f t="shared" ca="1" si="6"/>
        <v>1.8992404957828061E-2</v>
      </c>
      <c r="Q29" s="342">
        <f t="shared" ca="1" si="6"/>
        <v>1.6977744105328374E-2</v>
      </c>
      <c r="R29" s="342">
        <f t="shared" ca="1" si="6"/>
        <v>1.4963169107740423E-2</v>
      </c>
      <c r="S29" s="342">
        <f t="shared" ca="1" si="6"/>
        <v>1.2948679213107682E-2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f>' Financials'!I65</f>
        <v>-31.600000000000009</v>
      </c>
      <c r="G31" s="332">
        <f>' Financials'!J65</f>
        <v>-34.900000000000006</v>
      </c>
      <c r="H31" s="332">
        <f>' Financials'!K65</f>
        <v>-36</v>
      </c>
      <c r="I31" s="332">
        <f>' Financials'!L65</f>
        <v>-36.129215400000028</v>
      </c>
      <c r="J31" s="332">
        <f>' Financials'!M65</f>
        <v>-40.455293523349013</v>
      </c>
      <c r="K31" s="332">
        <f>' Financials'!N65</f>
        <v>-47.195257615808728</v>
      </c>
      <c r="L31" s="332">
        <f>' Financials'!O65</f>
        <v>-51.82954358756416</v>
      </c>
      <c r="M31" s="332">
        <f>' Financials'!P65</f>
        <v>-54.799912142159201</v>
      </c>
      <c r="N31" s="332">
        <f ca="1">' Financials'!Q65</f>
        <v>-53.583262142159185</v>
      </c>
      <c r="O31" s="332">
        <f ca="1">' Financials'!R65</f>
        <v>-52.366612142159198</v>
      </c>
      <c r="P31" s="332">
        <f ca="1">' Financials'!S65</f>
        <v>-51.149962142159197</v>
      </c>
      <c r="Q31" s="332">
        <f ca="1">' Financials'!T65</f>
        <v>-49.933312142159195</v>
      </c>
      <c r="R31" s="332">
        <f ca="1">' Financials'!U65</f>
        <v>-48.716662142159194</v>
      </c>
      <c r="S31" s="332">
        <f>' Financials'!V65</f>
        <v>-47.5</v>
      </c>
      <c r="T31" s="129"/>
    </row>
    <row r="32" spans="3:21">
      <c r="C32" s="53"/>
      <c r="D32" s="53" t="s">
        <v>24</v>
      </c>
      <c r="E32" s="53"/>
      <c r="F32" s="343">
        <f>F31/F24</f>
        <v>-2.8858447488584484E-2</v>
      </c>
      <c r="G32" s="343">
        <f t="shared" ref="G32:S32" si="7">G31/G24</f>
        <v>-3.0746189763016483E-2</v>
      </c>
      <c r="H32" s="343">
        <f t="shared" si="7"/>
        <v>-3.1617776216406115E-2</v>
      </c>
      <c r="I32" s="343">
        <f t="shared" si="7"/>
        <v>-3.1437725457855774E-2</v>
      </c>
      <c r="J32" s="343">
        <f t="shared" si="7"/>
        <v>-3.2219108154766314E-2</v>
      </c>
      <c r="K32" s="343">
        <f t="shared" si="7"/>
        <v>-3.4860359237571976E-2</v>
      </c>
      <c r="L32" s="343">
        <f t="shared" si="7"/>
        <v>-3.5819227290854523E-2</v>
      </c>
      <c r="M32" s="343">
        <f t="shared" si="7"/>
        <v>-3.7986371391124714E-2</v>
      </c>
      <c r="N32" s="343">
        <f t="shared" ca="1" si="7"/>
        <v>-3.6414715889951509E-2</v>
      </c>
      <c r="O32" s="343">
        <f t="shared" ca="1" si="7"/>
        <v>-3.4958635756747541E-2</v>
      </c>
      <c r="P32" s="343">
        <f t="shared" ca="1" si="7"/>
        <v>-3.3608691690115787E-2</v>
      </c>
      <c r="Q32" s="343">
        <f t="shared" ca="1" si="7"/>
        <v>-3.235628927065156E-2</v>
      </c>
      <c r="R32" s="343">
        <f t="shared" ca="1" si="7"/>
        <v>-3.1193589110911257E-2</v>
      </c>
      <c r="S32" s="343">
        <f t="shared" si="7"/>
        <v>-3.0113418406678784E-2</v>
      </c>
      <c r="T32" s="54"/>
    </row>
    <row r="33" spans="3:20">
      <c r="C33" s="53"/>
      <c r="D33" s="53" t="s">
        <v>37</v>
      </c>
      <c r="E33" s="53"/>
      <c r="F33" s="340">
        <f>F31/F48</f>
        <v>0.87534626038781183</v>
      </c>
      <c r="G33" s="340">
        <f t="shared" ref="G33:S33" si="8">G31/G48</f>
        <v>0.93565683646112618</v>
      </c>
      <c r="H33" s="340">
        <f t="shared" si="8"/>
        <v>1.1612903225806452</v>
      </c>
      <c r="I33" s="340">
        <f t="shared" si="8"/>
        <v>1.0035893166666674</v>
      </c>
      <c r="J33" s="340">
        <f t="shared" si="8"/>
        <v>0.79324104947743168</v>
      </c>
      <c r="K33" s="340">
        <f t="shared" si="8"/>
        <v>0.94390515231617456</v>
      </c>
      <c r="L33" s="340">
        <f t="shared" si="8"/>
        <v>1.0365908717512833</v>
      </c>
      <c r="M33" s="340">
        <f t="shared" si="8"/>
        <v>1.095998242843184</v>
      </c>
      <c r="N33" s="340">
        <f t="shared" ca="1" si="8"/>
        <v>1.0716652428431837</v>
      </c>
      <c r="O33" s="340">
        <f t="shared" ca="1" si="8"/>
        <v>1.0473322428431839</v>
      </c>
      <c r="P33" s="340">
        <f t="shared" ca="1" si="8"/>
        <v>1.022999242843184</v>
      </c>
      <c r="Q33" s="340">
        <f t="shared" ca="1" si="8"/>
        <v>0.99866624284318395</v>
      </c>
      <c r="R33" s="340">
        <f t="shared" ca="1" si="8"/>
        <v>0.9743332428431839</v>
      </c>
      <c r="S33" s="340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76.921739064099768</v>
      </c>
      <c r="O35" s="40">
        <f t="shared" ca="1" si="10"/>
        <v>80.879927516805395</v>
      </c>
      <c r="P35" s="40">
        <f t="shared" ca="1" si="10"/>
        <v>84.627249757237749</v>
      </c>
      <c r="Q35" s="40">
        <f t="shared" ca="1" si="10"/>
        <v>88.149090516200658</v>
      </c>
      <c r="R35" s="40">
        <f t="shared" ca="1" si="10"/>
        <v>91.431890857980804</v>
      </c>
      <c r="S35" s="40">
        <f t="shared" ref="S35" si="11">S27+S31</f>
        <v>94.463291655120031</v>
      </c>
      <c r="T35" s="40"/>
    </row>
    <row r="36" spans="3:20">
      <c r="C36" s="53"/>
      <c r="D36" s="53" t="s">
        <v>1</v>
      </c>
      <c r="E36" s="53"/>
      <c r="F36" s="343">
        <f>F35/F24</f>
        <v>7.0410958904109588E-2</v>
      </c>
      <c r="G36" s="343">
        <f t="shared" ref="G36:S36" si="12">G35/G24</f>
        <v>6.5721081843009427E-2</v>
      </c>
      <c r="H36" s="343">
        <f t="shared" si="12"/>
        <v>5.4628491129457238E-2</v>
      </c>
      <c r="I36" s="343">
        <f t="shared" si="12"/>
        <v>5.0484178941060394E-2</v>
      </c>
      <c r="J36" s="343">
        <f t="shared" si="12"/>
        <v>4.1548857977843988E-2</v>
      </c>
      <c r="K36" s="343">
        <f t="shared" si="12"/>
        <v>4.7717310293172235E-2</v>
      </c>
      <c r="L36" s="343">
        <f t="shared" si="12"/>
        <v>5.0149707756228443E-2</v>
      </c>
      <c r="M36" s="343">
        <f t="shared" si="12"/>
        <v>5.0441696281252384E-2</v>
      </c>
      <c r="N36" s="343">
        <f t="shared" ca="1" si="12"/>
        <v>5.2275340503696054E-2</v>
      </c>
      <c r="O36" s="343">
        <f t="shared" ca="1" si="12"/>
        <v>5.3993409358170479E-2</v>
      </c>
      <c r="P36" s="343">
        <f t="shared" ca="1" si="12"/>
        <v>5.5605342146072725E-2</v>
      </c>
      <c r="Q36" s="343">
        <f t="shared" ca="1" si="12"/>
        <v>5.7119733286807438E-2</v>
      </c>
      <c r="R36" s="343">
        <f t="shared" ca="1" si="12"/>
        <v>5.8544422167818244E-2</v>
      </c>
      <c r="S36" s="343">
        <f t="shared" si="12"/>
        <v>5.988658159332122E-2</v>
      </c>
      <c r="T36" s="54"/>
    </row>
    <row r="37" spans="3:20">
      <c r="C37" s="53"/>
      <c r="D37" s="53" t="s">
        <v>0</v>
      </c>
      <c r="E37" s="53"/>
      <c r="F37" s="341"/>
      <c r="G37" s="342">
        <f>(G35-F35)/F35</f>
        <v>-3.2425421530479899E-2</v>
      </c>
      <c r="H37" s="342">
        <f t="shared" ref="H37:S37" si="13">(H35-G35)/G35</f>
        <v>-0.16621983914209104</v>
      </c>
      <c r="I37" s="342">
        <f t="shared" si="13"/>
        <v>-6.7234818923816178E-2</v>
      </c>
      <c r="J37" s="342">
        <f t="shared" si="13"/>
        <v>-0.10079601634047405</v>
      </c>
      <c r="K37" s="342">
        <f t="shared" si="13"/>
        <v>0.23828760399418522</v>
      </c>
      <c r="L37" s="342">
        <f t="shared" si="13"/>
        <v>0.12327765525198199</v>
      </c>
      <c r="M37" s="342">
        <f t="shared" si="13"/>
        <v>2.7949930449599029E-3</v>
      </c>
      <c r="N37" s="342">
        <f t="shared" ca="1" si="13"/>
        <v>5.7078790857152027E-2</v>
      </c>
      <c r="O37" s="342">
        <f t="shared" ca="1" si="13"/>
        <v>5.1457344839892706E-2</v>
      </c>
      <c r="P37" s="342">
        <f t="shared" ca="1" si="13"/>
        <v>4.6331918876333408E-2</v>
      </c>
      <c r="Q37" s="342">
        <f t="shared" ca="1" si="13"/>
        <v>4.1615918856700219E-2</v>
      </c>
      <c r="R37" s="342">
        <f t="shared" ca="1" si="13"/>
        <v>3.7241454478498665E-2</v>
      </c>
      <c r="S37" s="342">
        <f t="shared" ca="1" si="13"/>
        <v>3.3154742494036757E-2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5">
        <f>I35*I40*-1</f>
        <v>-11.023418909958341</v>
      </c>
      <c r="J39" s="345">
        <f t="shared" ref="J39:S39" si="14">J35*J40*-1</f>
        <v>-8.8689019660788908</v>
      </c>
      <c r="K39" s="345">
        <f t="shared" si="14"/>
        <v>-10.982251365635149</v>
      </c>
      <c r="L39" s="345">
        <f t="shared" si="14"/>
        <v>-12.336117563378528</v>
      </c>
      <c r="M39" s="345">
        <f t="shared" si="14"/>
        <v>-12.370596926169977</v>
      </c>
      <c r="N39" s="345">
        <f t="shared" ca="1" si="14"/>
        <v>-13.076695640896961</v>
      </c>
      <c r="O39" s="345">
        <f t="shared" ca="1" si="14"/>
        <v>-13.749587677856919</v>
      </c>
      <c r="P39" s="345">
        <f t="shared" ca="1" si="14"/>
        <v>-14.386632458730418</v>
      </c>
      <c r="Q39" s="345">
        <f t="shared" ca="1" si="14"/>
        <v>-14.985345387754114</v>
      </c>
      <c r="R39" s="345">
        <f t="shared" ca="1" si="14"/>
        <v>-15.543421445856739</v>
      </c>
      <c r="S39" s="345">
        <f t="shared" si="14"/>
        <v>-16.058759581370406</v>
      </c>
      <c r="T39" s="345" t="s">
        <v>164</v>
      </c>
    </row>
    <row r="40" spans="3:20">
      <c r="C40" s="53"/>
      <c r="D40" s="53" t="s">
        <v>6</v>
      </c>
      <c r="E40" s="53"/>
      <c r="F40" s="113"/>
      <c r="G40" s="113"/>
      <c r="H40" s="247"/>
      <c r="I40" s="333">
        <f>' Financials'!L29</f>
        <v>0.19</v>
      </c>
      <c r="J40" s="333">
        <f>' Financials'!M29</f>
        <v>0.17</v>
      </c>
      <c r="K40" s="333">
        <f>' Financials'!N29</f>
        <v>0.17</v>
      </c>
      <c r="L40" s="333">
        <f>' Financials'!O29</f>
        <v>0.17</v>
      </c>
      <c r="M40" s="333">
        <f>' Financials'!P29</f>
        <v>0.17</v>
      </c>
      <c r="N40" s="333">
        <f>' Financials'!Q29</f>
        <v>0.17</v>
      </c>
      <c r="O40" s="333">
        <f>' Financials'!R29</f>
        <v>0.17</v>
      </c>
      <c r="P40" s="333">
        <f>' Financials'!S29</f>
        <v>0.17</v>
      </c>
      <c r="Q40" s="333">
        <f>' Financials'!T29</f>
        <v>0.17</v>
      </c>
      <c r="R40" s="333">
        <f>' Financials'!U29</f>
        <v>0.17</v>
      </c>
      <c r="S40" s="333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5">
        <f>I35+I39</f>
        <v>46.994575352980291</v>
      </c>
      <c r="J42" s="345">
        <f t="shared" ref="J42:S42" si="15">J35+J39</f>
        <v>43.301109599091049</v>
      </c>
      <c r="K42" s="345">
        <f t="shared" si="15"/>
        <v>53.619227255748072</v>
      </c>
      <c r="L42" s="345">
        <f t="shared" si="15"/>
        <v>60.229279868259859</v>
      </c>
      <c r="M42" s="345">
        <f t="shared" si="15"/>
        <v>60.397620286594588</v>
      </c>
      <c r="N42" s="345">
        <f t="shared" ca="1" si="15"/>
        <v>63.84504342320281</v>
      </c>
      <c r="O42" s="345">
        <f t="shared" ca="1" si="15"/>
        <v>67.130339838948473</v>
      </c>
      <c r="P42" s="345">
        <f t="shared" ca="1" si="15"/>
        <v>70.240617298507331</v>
      </c>
      <c r="Q42" s="345">
        <f t="shared" ca="1" si="15"/>
        <v>73.16374512844655</v>
      </c>
      <c r="R42" s="345">
        <f t="shared" ca="1" si="15"/>
        <v>75.888469412124067</v>
      </c>
      <c r="S42" s="345">
        <f t="shared" si="15"/>
        <v>78.404532073749621</v>
      </c>
      <c r="T42" s="345" t="s">
        <v>165</v>
      </c>
    </row>
    <row r="43" spans="3:20">
      <c r="C43" s="53"/>
      <c r="D43" s="53" t="s">
        <v>1</v>
      </c>
      <c r="E43" s="53"/>
      <c r="F43" s="54"/>
      <c r="G43" s="54"/>
      <c r="H43" s="73"/>
      <c r="I43" s="343">
        <f>I42/I24</f>
        <v>4.0892184942258915E-2</v>
      </c>
      <c r="J43" s="343">
        <f t="shared" ref="J43:S43" si="16">J42/J24</f>
        <v>3.4485552121610502E-2</v>
      </c>
      <c r="K43" s="343">
        <f t="shared" si="16"/>
        <v>3.9605367543332951E-2</v>
      </c>
      <c r="L43" s="343">
        <f t="shared" si="16"/>
        <v>4.1624257437669607E-2</v>
      </c>
      <c r="M43" s="343">
        <f t="shared" si="16"/>
        <v>4.1866607913439477E-2</v>
      </c>
      <c r="N43" s="343">
        <f t="shared" ca="1" si="16"/>
        <v>4.3388532618067722E-2</v>
      </c>
      <c r="O43" s="343">
        <f t="shared" ca="1" si="16"/>
        <v>4.4814529767281494E-2</v>
      </c>
      <c r="P43" s="343">
        <f t="shared" ca="1" si="16"/>
        <v>4.6152433981240366E-2</v>
      </c>
      <c r="Q43" s="343">
        <f t="shared" ca="1" si="16"/>
        <v>4.7409378628050176E-2</v>
      </c>
      <c r="R43" s="343">
        <f t="shared" ca="1" si="16"/>
        <v>4.8591870399289139E-2</v>
      </c>
      <c r="S43" s="343">
        <f t="shared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1"/>
      <c r="J44" s="343">
        <f>(J42-I42)/I42</f>
        <v>-7.8593448842707997E-2</v>
      </c>
      <c r="K44" s="343">
        <f t="shared" ref="K44:S44" si="17">(K42-J42)/J42</f>
        <v>0.23828760399418528</v>
      </c>
      <c r="L44" s="343">
        <f t="shared" si="17"/>
        <v>0.12327765525198198</v>
      </c>
      <c r="M44" s="343">
        <f t="shared" si="17"/>
        <v>2.7949930449598934E-3</v>
      </c>
      <c r="N44" s="343">
        <f t="shared" ca="1" si="17"/>
        <v>5.7078790857152145E-2</v>
      </c>
      <c r="O44" s="343">
        <f t="shared" ca="1" si="17"/>
        <v>5.1457344839892574E-2</v>
      </c>
      <c r="P44" s="343">
        <f t="shared" ca="1" si="17"/>
        <v>4.6331918876333485E-2</v>
      </c>
      <c r="Q44" s="343">
        <f t="shared" ca="1" si="17"/>
        <v>4.1615918856700275E-2</v>
      </c>
      <c r="R44" s="343">
        <f t="shared" ca="1" si="17"/>
        <v>3.7241454478498616E-2</v>
      </c>
      <c r="S44" s="343">
        <f t="shared" ca="1" si="17"/>
        <v>3.3154742494036701E-2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:S46" si="18">-I31</f>
        <v>36.129215400000028</v>
      </c>
      <c r="J46" s="2">
        <f t="shared" si="18"/>
        <v>40.455293523349013</v>
      </c>
      <c r="K46" s="2">
        <f t="shared" si="18"/>
        <v>47.195257615808728</v>
      </c>
      <c r="L46" s="2">
        <f t="shared" si="18"/>
        <v>51.82954358756416</v>
      </c>
      <c r="M46" s="2">
        <f t="shared" si="18"/>
        <v>54.799912142159201</v>
      </c>
      <c r="N46" s="2">
        <f t="shared" ca="1" si="18"/>
        <v>53.583262142159185</v>
      </c>
      <c r="O46" s="2">
        <f t="shared" ca="1" si="18"/>
        <v>52.366612142159198</v>
      </c>
      <c r="P46" s="2">
        <f t="shared" ca="1" si="18"/>
        <v>51.149962142159197</v>
      </c>
      <c r="Q46" s="2">
        <f t="shared" ca="1" si="18"/>
        <v>49.933312142159195</v>
      </c>
      <c r="R46" s="2">
        <f t="shared" ca="1" si="18"/>
        <v>48.716662142159194</v>
      </c>
      <c r="S46" s="2">
        <f t="shared" si="18"/>
        <v>47.5</v>
      </c>
      <c r="T46" s="346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7"/>
    </row>
    <row r="48" spans="3:20" s="53" customFormat="1">
      <c r="C48"/>
      <c r="D48" t="s">
        <v>7</v>
      </c>
      <c r="E48"/>
      <c r="F48" s="332">
        <f>' Financials'!I40</f>
        <v>-36.1</v>
      </c>
      <c r="G48" s="332">
        <f>' Financials'!J40</f>
        <v>-37.299999999999997</v>
      </c>
      <c r="H48" s="332">
        <f>' Financials'!K40</f>
        <v>-31</v>
      </c>
      <c r="I48" s="332">
        <f>' Financials'!L40</f>
        <v>-36</v>
      </c>
      <c r="J48" s="332">
        <f>' Financials'!M40</f>
        <v>-51</v>
      </c>
      <c r="K48" s="332">
        <f>' Financials'!N40</f>
        <v>-50</v>
      </c>
      <c r="L48" s="332">
        <f>' Financials'!O40</f>
        <v>-50</v>
      </c>
      <c r="M48" s="332">
        <f>' Financials'!P40</f>
        <v>-50</v>
      </c>
      <c r="N48" s="332">
        <f>' Financials'!Q40</f>
        <v>-50</v>
      </c>
      <c r="O48" s="332">
        <f>' Financials'!R40</f>
        <v>-50</v>
      </c>
      <c r="P48" s="332">
        <f>' Financials'!S40</f>
        <v>-50</v>
      </c>
      <c r="Q48" s="332">
        <f>' Financials'!T40</f>
        <v>-50</v>
      </c>
      <c r="R48" s="332">
        <f>' Financials'!U40</f>
        <v>-50</v>
      </c>
      <c r="S48" s="332">
        <f>' Financials'!V40</f>
        <v>-50</v>
      </c>
      <c r="T48" s="346"/>
    </row>
    <row r="49" spans="3:20">
      <c r="C49" s="53"/>
      <c r="D49" s="53" t="s">
        <v>24</v>
      </c>
      <c r="E49" s="53"/>
      <c r="F49" s="343">
        <f>F48/F24</f>
        <v>-3.2968036529680368E-2</v>
      </c>
      <c r="G49" s="343">
        <f t="shared" ref="G49:S49" si="19">G48/G24</f>
        <v>-3.2860540921504713E-2</v>
      </c>
      <c r="H49" s="343">
        <f t="shared" si="19"/>
        <v>-2.7226418408571932E-2</v>
      </c>
      <c r="I49" s="343">
        <f t="shared" si="19"/>
        <v>-3.1325289075688233E-2</v>
      </c>
      <c r="J49" s="343">
        <f t="shared" si="19"/>
        <v>-4.0617045948380379E-2</v>
      </c>
      <c r="K49" s="343">
        <f t="shared" si="19"/>
        <v>-3.6932057370415751E-2</v>
      </c>
      <c r="L49" s="343">
        <f t="shared" si="19"/>
        <v>-3.4554835728332456E-2</v>
      </c>
      <c r="M49" s="343">
        <f t="shared" si="19"/>
        <v>-3.4659153551726836E-2</v>
      </c>
      <c r="N49" s="343">
        <f t="shared" si="19"/>
        <v>-3.3979562305614552E-2</v>
      </c>
      <c r="O49" s="343">
        <f t="shared" si="19"/>
        <v>-3.3378744897460261E-2</v>
      </c>
      <c r="P49" s="343">
        <f t="shared" si="19"/>
        <v>-3.2853095371516004E-2</v>
      </c>
      <c r="Q49" s="343">
        <f t="shared" si="19"/>
        <v>-3.239950233877318E-2</v>
      </c>
      <c r="R49" s="343">
        <f t="shared" si="19"/>
        <v>-3.2015318516574284E-2</v>
      </c>
      <c r="S49" s="343">
        <f t="shared" si="19"/>
        <v>-3.1698335164925033E-2</v>
      </c>
      <c r="T49" s="348"/>
    </row>
    <row r="50" spans="3:20">
      <c r="C50" s="53"/>
      <c r="D50" s="53" t="s">
        <v>27</v>
      </c>
      <c r="E50" s="53"/>
      <c r="F50" s="343">
        <f>F48/F31</f>
        <v>1.1424050632911389</v>
      </c>
      <c r="G50" s="343">
        <f t="shared" ref="G50:S50" si="20">G48/G31</f>
        <v>1.0687679083094552</v>
      </c>
      <c r="H50" s="343">
        <f t="shared" si="20"/>
        <v>0.86111111111111116</v>
      </c>
      <c r="I50" s="343">
        <f t="shared" si="20"/>
        <v>0.99642352045098581</v>
      </c>
      <c r="J50" s="343">
        <f t="shared" si="20"/>
        <v>1.2606508458668098</v>
      </c>
      <c r="K50" s="343">
        <f t="shared" si="20"/>
        <v>1.0594284791710042</v>
      </c>
      <c r="L50" s="343">
        <f t="shared" si="20"/>
        <v>0.96470075827557289</v>
      </c>
      <c r="M50" s="343">
        <f t="shared" si="20"/>
        <v>0.91241022194146026</v>
      </c>
      <c r="N50" s="343">
        <f t="shared" ca="1" si="20"/>
        <v>0.9331272117652597</v>
      </c>
      <c r="O50" s="343">
        <f t="shared" ca="1" si="20"/>
        <v>0.95480685029356915</v>
      </c>
      <c r="P50" s="343">
        <f t="shared" ca="1" si="20"/>
        <v>0.97751783004329207</v>
      </c>
      <c r="Q50" s="343">
        <f t="shared" ca="1" si="20"/>
        <v>1.0013355384407696</v>
      </c>
      <c r="R50" s="343">
        <f t="shared" ca="1" si="20"/>
        <v>1.0263428938151782</v>
      </c>
      <c r="S50" s="343">
        <f t="shared" si="20"/>
        <v>1.0526315789473684</v>
      </c>
      <c r="T50" s="348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8"/>
    </row>
    <row r="52" spans="3:20">
      <c r="D52" t="s">
        <v>39</v>
      </c>
      <c r="F52" s="332">
        <f>' Financials'!I45</f>
        <v>-16.300000000000004</v>
      </c>
      <c r="G52" s="332">
        <f>' Financials'!J45</f>
        <v>-12.6</v>
      </c>
      <c r="H52" s="332">
        <f>' Financials'!K45</f>
        <v>-10.399999999999999</v>
      </c>
      <c r="I52" s="332">
        <f>' Financials'!L45</f>
        <v>-3.1</v>
      </c>
      <c r="J52" s="332">
        <f>' Financials'!M45</f>
        <v>-4.0999999999999996</v>
      </c>
      <c r="K52" s="332">
        <f>' Financials'!N45</f>
        <v>-4.0999999999999996</v>
      </c>
      <c r="L52" s="332">
        <f>' Financials'!O45</f>
        <v>-4.0999999999999996</v>
      </c>
      <c r="M52" s="332">
        <f>' Financials'!P45</f>
        <v>-4.0999999999999996</v>
      </c>
      <c r="N52" s="332"/>
      <c r="O52" s="332"/>
      <c r="P52" s="332"/>
      <c r="Q52" s="332"/>
      <c r="R52" s="332"/>
      <c r="S52" s="332"/>
      <c r="T52" s="346"/>
    </row>
    <row r="53" spans="3:20">
      <c r="C53" s="53"/>
      <c r="D53" s="53" t="s">
        <v>24</v>
      </c>
      <c r="E53" s="53"/>
      <c r="F53" s="343">
        <f>F52/F$24</f>
        <v>-1.4885844748858451E-2</v>
      </c>
      <c r="G53" s="343">
        <f t="shared" ref="G53:S53" si="21">G52/G$24</f>
        <v>-1.1100343582063256E-2</v>
      </c>
      <c r="H53" s="343">
        <f t="shared" si="21"/>
        <v>-9.1340242402950991E-3</v>
      </c>
      <c r="I53" s="343">
        <f t="shared" si="21"/>
        <v>-2.6974554481842645E-3</v>
      </c>
      <c r="J53" s="343">
        <f t="shared" si="21"/>
        <v>-3.2652919291835201E-3</v>
      </c>
      <c r="K53" s="343">
        <f t="shared" si="21"/>
        <v>-3.0284287043740913E-3</v>
      </c>
      <c r="L53" s="343">
        <f t="shared" si="21"/>
        <v>-2.8334965297232609E-3</v>
      </c>
      <c r="M53" s="343">
        <f t="shared" si="21"/>
        <v>-2.8420505912416004E-3</v>
      </c>
      <c r="N53" s="343">
        <f t="shared" si="21"/>
        <v>0</v>
      </c>
      <c r="O53" s="343">
        <f t="shared" si="21"/>
        <v>0</v>
      </c>
      <c r="P53" s="343">
        <f t="shared" si="21"/>
        <v>0</v>
      </c>
      <c r="Q53" s="343">
        <f t="shared" si="21"/>
        <v>0</v>
      </c>
      <c r="R53" s="343">
        <f t="shared" si="21"/>
        <v>0</v>
      </c>
      <c r="S53" s="343">
        <f t="shared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>
        <f>' Financials'!I49</f>
        <v>0</v>
      </c>
      <c r="G55" s="332">
        <f>' Financials'!J49</f>
        <v>-1.5</v>
      </c>
      <c r="H55" s="332">
        <f>' Financials'!K49</f>
        <v>0.74</v>
      </c>
      <c r="I55" s="332">
        <f>' Financials'!L49</f>
        <v>0</v>
      </c>
      <c r="J55" s="332">
        <f>' Financials'!M49</f>
        <v>0</v>
      </c>
      <c r="K55" s="332">
        <f>' Financials'!N49</f>
        <v>-5</v>
      </c>
      <c r="L55" s="332">
        <f>' Financials'!O49</f>
        <v>-5</v>
      </c>
      <c r="M55" s="332">
        <f>' Financials'!P49</f>
        <v>-5</v>
      </c>
      <c r="N55" s="332">
        <f>' Financials'!Q49</f>
        <v>-5</v>
      </c>
      <c r="O55" s="332">
        <f>' Financials'!R49</f>
        <v>-5</v>
      </c>
      <c r="P55" s="332">
        <f>' Financials'!S49</f>
        <v>-5</v>
      </c>
      <c r="Q55" s="332">
        <f>' Financials'!T49</f>
        <v>-5</v>
      </c>
      <c r="R55" s="332">
        <f>' Financials'!U49</f>
        <v>-5</v>
      </c>
      <c r="S55" s="332">
        <f>' Financials'!V49</f>
        <v>-5</v>
      </c>
      <c r="T55" s="54"/>
    </row>
    <row r="56" spans="3:20">
      <c r="C56" s="53"/>
      <c r="D56" s="53" t="s">
        <v>24</v>
      </c>
      <c r="E56" s="53"/>
      <c r="F56" s="343">
        <f t="shared" ref="F56:S56" si="22">F55/F$24</f>
        <v>0</v>
      </c>
      <c r="G56" s="343">
        <f t="shared" si="22"/>
        <v>-1.3214694740551493E-3</v>
      </c>
      <c r="H56" s="343">
        <f t="shared" si="22"/>
        <v>6.4992095555945904E-4</v>
      </c>
      <c r="I56" s="343">
        <f t="shared" si="22"/>
        <v>0</v>
      </c>
      <c r="J56" s="343">
        <f t="shared" si="22"/>
        <v>0</v>
      </c>
      <c r="K56" s="343">
        <f t="shared" si="22"/>
        <v>-3.6932057370415751E-3</v>
      </c>
      <c r="L56" s="343">
        <f t="shared" si="22"/>
        <v>-3.4554835728332453E-3</v>
      </c>
      <c r="M56" s="343">
        <f t="shared" si="22"/>
        <v>-3.4659153551726838E-3</v>
      </c>
      <c r="N56" s="343">
        <f t="shared" si="22"/>
        <v>-3.3979562305614551E-3</v>
      </c>
      <c r="O56" s="343">
        <f t="shared" si="22"/>
        <v>-3.3378744897460265E-3</v>
      </c>
      <c r="P56" s="343">
        <f t="shared" si="22"/>
        <v>-3.2853095371516007E-3</v>
      </c>
      <c r="Q56" s="343">
        <f t="shared" si="22"/>
        <v>-3.2399502338773178E-3</v>
      </c>
      <c r="R56" s="343">
        <f t="shared" si="22"/>
        <v>-3.2015318516574287E-3</v>
      </c>
      <c r="S56" s="343">
        <f t="shared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>
        <f>' Financials'!I53</f>
        <v>0</v>
      </c>
      <c r="G58" s="332">
        <f>' Financials'!J53</f>
        <v>0</v>
      </c>
      <c r="H58" s="332">
        <f>' Financials'!K53</f>
        <v>0</v>
      </c>
      <c r="I58" s="332">
        <f>' Financials'!L53</f>
        <v>0</v>
      </c>
      <c r="J58" s="332">
        <f>' Financials'!M53</f>
        <v>-18.004468664734777</v>
      </c>
      <c r="K58" s="332">
        <f>' Financials'!N53</f>
        <v>-6.7527180429793674</v>
      </c>
      <c r="L58" s="332">
        <f>' Financials'!O53</f>
        <v>1.1384540263188825</v>
      </c>
      <c r="M58" s="332"/>
      <c r="N58" s="332"/>
      <c r="O58" s="332"/>
      <c r="P58" s="332"/>
      <c r="Q58" s="332"/>
      <c r="R58" s="332"/>
      <c r="S58" s="332"/>
      <c r="T58" s="54"/>
    </row>
    <row r="59" spans="3:20">
      <c r="C59" s="53"/>
      <c r="D59" s="53" t="s">
        <v>24</v>
      </c>
      <c r="E59" s="53"/>
      <c r="F59" s="343">
        <f t="shared" ref="F59:S59" si="23">F58/F$24</f>
        <v>0</v>
      </c>
      <c r="G59" s="343">
        <f t="shared" si="23"/>
        <v>0</v>
      </c>
      <c r="H59" s="343">
        <f t="shared" si="23"/>
        <v>0</v>
      </c>
      <c r="I59" s="343">
        <f t="shared" si="23"/>
        <v>0</v>
      </c>
      <c r="J59" s="343">
        <f t="shared" si="23"/>
        <v>-1.433898688297465E-2</v>
      </c>
      <c r="K59" s="343">
        <f t="shared" si="23"/>
        <v>-4.9878354033911108E-3</v>
      </c>
      <c r="L59" s="343">
        <f t="shared" si="23"/>
        <v>7.8678183727415307E-4</v>
      </c>
      <c r="M59" s="343">
        <f t="shared" si="23"/>
        <v>0</v>
      </c>
      <c r="N59" s="343">
        <f t="shared" si="23"/>
        <v>0</v>
      </c>
      <c r="O59" s="343">
        <f t="shared" si="23"/>
        <v>0</v>
      </c>
      <c r="P59" s="343">
        <f t="shared" si="23"/>
        <v>0</v>
      </c>
      <c r="Q59" s="343">
        <f t="shared" si="23"/>
        <v>0</v>
      </c>
      <c r="R59" s="343">
        <f t="shared" si="23"/>
        <v>0</v>
      </c>
      <c r="S59" s="343">
        <f t="shared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9">
        <f>I42+I46+I48+I52+I55+I58</f>
        <v>44.023790752980311</v>
      </c>
      <c r="J61" s="349">
        <f t="shared" ref="J61:S61" si="24">J42+J46+J48+J52+J55+J58</f>
        <v>10.651934457705284</v>
      </c>
      <c r="K61" s="349">
        <f t="shared" si="24"/>
        <v>34.961766828577431</v>
      </c>
      <c r="L61" s="349">
        <f t="shared" si="24"/>
        <v>54.097277482142893</v>
      </c>
      <c r="M61" s="349">
        <f t="shared" si="24"/>
        <v>56.097532428753787</v>
      </c>
      <c r="N61" s="349">
        <f t="shared" ca="1" si="24"/>
        <v>62.428305565361995</v>
      </c>
      <c r="O61" s="349">
        <f t="shared" ca="1" si="24"/>
        <v>64.496951981107671</v>
      </c>
      <c r="P61" s="349">
        <f t="shared" ca="1" si="24"/>
        <v>66.390579440666528</v>
      </c>
      <c r="Q61" s="349">
        <f t="shared" ca="1" si="24"/>
        <v>68.097057270605745</v>
      </c>
      <c r="R61" s="349">
        <f t="shared" ca="1" si="24"/>
        <v>69.605131554283261</v>
      </c>
      <c r="S61" s="349">
        <f t="shared" si="24"/>
        <v>70.904532073749621</v>
      </c>
      <c r="T61" s="130" t="s">
        <v>166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5">-I18*I61</f>
        <v>-44.023790752980311</v>
      </c>
      <c r="J63" s="2">
        <f t="shared" si="25"/>
        <v>-7.2908517848769023E-3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si="25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6">J63+J61</f>
        <v>10.644643605920407</v>
      </c>
      <c r="K64" s="130">
        <f t="shared" si="26"/>
        <v>34.961766828577431</v>
      </c>
      <c r="L64" s="130">
        <f t="shared" si="26"/>
        <v>54.097277482142893</v>
      </c>
      <c r="M64" s="130">
        <f>M63+M61</f>
        <v>56.097532428753787</v>
      </c>
      <c r="N64" s="130">
        <f t="shared" ca="1" si="26"/>
        <v>62.428305565361995</v>
      </c>
      <c r="O64" s="130">
        <f t="shared" ca="1" si="26"/>
        <v>64.496951981107671</v>
      </c>
      <c r="P64" s="130">
        <f ca="1">P63+P61</f>
        <v>66.390579440666528</v>
      </c>
      <c r="Q64" s="130">
        <f ca="1">Q63+Q61</f>
        <v>68.097057270605745</v>
      </c>
      <c r="R64" s="130">
        <f ca="1">R63+R61</f>
        <v>69.605131554283261</v>
      </c>
      <c r="S64" s="130">
        <f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142</v>
      </c>
      <c r="I74" s="126" t="s">
        <v>21</v>
      </c>
      <c r="L74" s="36" t="s">
        <v>49</v>
      </c>
      <c r="M74" s="78"/>
      <c r="N74" s="126" t="s">
        <v>142</v>
      </c>
      <c r="O74" s="126" t="s">
        <v>21</v>
      </c>
    </row>
    <row r="75" spans="4:20">
      <c r="F75" t="s">
        <v>50</v>
      </c>
      <c r="H75" s="310">
        <f ca="1">SUMPRODUCT($I$64:$T$64,$I$67:$T$67)</f>
        <v>341.11564482836661</v>
      </c>
      <c r="I75" s="52">
        <f ca="1">H75/$H$77</f>
        <v>0.46405483807116182</v>
      </c>
      <c r="L75" t="s">
        <v>50</v>
      </c>
      <c r="N75" s="40">
        <f ca="1">SUMPRODUCT($G$64:$T$64,$G$67:$T$67)</f>
        <v>341.11564482836661</v>
      </c>
      <c r="O75" s="52">
        <f ca="1">N75/$N$77</f>
        <v>0.37070507138755077</v>
      </c>
    </row>
    <row r="76" spans="4:20">
      <c r="F76" t="s">
        <v>51</v>
      </c>
      <c r="H76" s="310">
        <f>T69*S67</f>
        <v>393.96050747770471</v>
      </c>
      <c r="I76" s="52">
        <f ca="1">H76/$H$77</f>
        <v>0.53594516192883823</v>
      </c>
      <c r="L76" t="s">
        <v>51</v>
      </c>
      <c r="N76" s="40">
        <f>T70*R67</f>
        <v>579.0650356019529</v>
      </c>
      <c r="O76" s="52">
        <f ca="1">N76/$N$77</f>
        <v>0.62929492861244929</v>
      </c>
    </row>
    <row r="77" spans="4:20">
      <c r="F77" s="24" t="s">
        <v>52</v>
      </c>
      <c r="G77" s="55"/>
      <c r="H77" s="311">
        <f ca="1">SUM(H75:H76)</f>
        <v>735.07615230607132</v>
      </c>
      <c r="I77" s="57">
        <f ca="1">SUM(I75:I76)</f>
        <v>1</v>
      </c>
      <c r="L77" s="24" t="s">
        <v>52</v>
      </c>
      <c r="M77" s="55"/>
      <c r="N77" s="48">
        <f ca="1">SUM(N75:N76)</f>
        <v>920.18068043031951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650.45933876648633</v>
      </c>
      <c r="I79" s="57"/>
      <c r="L79" s="24" t="s">
        <v>68</v>
      </c>
      <c r="M79" s="55"/>
      <c r="N79" s="48">
        <f ca="1">N77+N78</f>
        <v>835.56386689073452</v>
      </c>
      <c r="O79" s="57"/>
    </row>
    <row r="80" spans="4:20">
      <c r="F80" s="56" t="s">
        <v>64</v>
      </c>
      <c r="G80" s="56"/>
      <c r="H80" s="62">
        <f ca="1">H79/Assumptions!$D$17*100</f>
        <v>326.8639893298926</v>
      </c>
      <c r="I80" s="83"/>
      <c r="L80" s="56" t="s">
        <v>64</v>
      </c>
      <c r="M80" s="56"/>
      <c r="N80" s="82">
        <f ca="1">N79/Assumptions!$D$17*100</f>
        <v>419.88134014609778</v>
      </c>
      <c r="O80" s="83"/>
    </row>
    <row r="81" spans="4:20">
      <c r="F81" s="84" t="s">
        <v>28</v>
      </c>
      <c r="G81" s="41"/>
      <c r="H81" s="312">
        <f ca="1">H80/Assumptions!$D$16-1</f>
        <v>0.98099387472662181</v>
      </c>
      <c r="I81" s="86"/>
      <c r="L81" s="84" t="s">
        <v>28</v>
      </c>
      <c r="M81" s="41"/>
      <c r="N81" s="85">
        <f ca="1">N80/Assumptions!$D$16-1</f>
        <v>1.5447353948248352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4">
        <v>5.0000000000000001E-3</v>
      </c>
      <c r="G87" s="26" t="s">
        <v>54</v>
      </c>
      <c r="I87" s="336">
        <v>2.5000000000000001E-3</v>
      </c>
      <c r="L87" s="26" t="s">
        <v>55</v>
      </c>
      <c r="M87" s="337">
        <v>8.5</v>
      </c>
      <c r="N87" s="26" t="s">
        <v>56</v>
      </c>
      <c r="P87" s="337">
        <v>0.5</v>
      </c>
    </row>
    <row r="88" spans="4:20">
      <c r="E88" s="26" t="s">
        <v>35</v>
      </c>
      <c r="F88" s="335">
        <v>8.5000000000000006E-2</v>
      </c>
      <c r="G88" s="26" t="s">
        <v>57</v>
      </c>
      <c r="I88" s="336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143</v>
      </c>
      <c r="F92" s="36"/>
      <c r="G92" s="36"/>
      <c r="H92" s="36"/>
      <c r="I92" s="36"/>
      <c r="J92" s="36"/>
      <c r="L92" s="74" t="s">
        <v>143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735.07615230607132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920.18068043031951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818.59017306337512</v>
      </c>
      <c r="G95" s="256">
        <v>835.59368206801082</v>
      </c>
      <c r="H95" s="257">
        <v>853.81172743012053</v>
      </c>
      <c r="I95" s="256">
        <v>873.37925763386806</v>
      </c>
      <c r="J95" s="258">
        <v>894.45198246867312</v>
      </c>
      <c r="L95" s="27">
        <f>L96-$I$88</f>
        <v>7.4999999999999997E-2</v>
      </c>
      <c r="M95" s="281">
        <f t="dataTable" ref="M95:Q99" dt2D="1" dtr="1" r1="F10" r2="F11" ca="1"/>
        <v>915.23366054925896</v>
      </c>
      <c r="N95" s="282">
        <v>952.25651389386439</v>
      </c>
      <c r="O95" s="282">
        <v>989.2793672384696</v>
      </c>
      <c r="P95" s="282">
        <v>1026.302220583075</v>
      </c>
      <c r="Q95" s="283">
        <v>1063.3250739276803</v>
      </c>
    </row>
    <row r="96" spans="4:20" ht="12.75" customHeight="1">
      <c r="E96" s="27">
        <f>E97-$I$88</f>
        <v>0.08</v>
      </c>
      <c r="F96" s="259">
        <v>760.86229984910051</v>
      </c>
      <c r="G96" s="260">
        <v>775.1646865163716</v>
      </c>
      <c r="H96" s="257">
        <v>790.42056562812763</v>
      </c>
      <c r="I96" s="260">
        <v>806.72857433379784</v>
      </c>
      <c r="J96" s="261">
        <v>824.20144080415878</v>
      </c>
      <c r="L96" s="27">
        <f>L97-$I$88</f>
        <v>0.08</v>
      </c>
      <c r="M96" s="284">
        <v>882.95825585386388</v>
      </c>
      <c r="N96" s="285">
        <v>918.46675086439177</v>
      </c>
      <c r="O96" s="286">
        <v>953.97524587491966</v>
      </c>
      <c r="P96" s="285">
        <v>989.48374088544767</v>
      </c>
      <c r="Q96" s="287">
        <v>1024.9922358959757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710.05729654878076</v>
      </c>
      <c r="G97" s="257">
        <v>722.18765085534585</v>
      </c>
      <c r="H97" s="260">
        <v>735.07615230607132</v>
      </c>
      <c r="I97" s="257">
        <v>748.79616997942423</v>
      </c>
      <c r="J97" s="261">
        <v>763.43085549766738</v>
      </c>
      <c r="L97" s="150">
        <f>$M$88</f>
        <v>8.5000000000000006E-2</v>
      </c>
      <c r="M97" s="284">
        <v>852.05538212420743</v>
      </c>
      <c r="N97" s="286">
        <v>886.11803127726341</v>
      </c>
      <c r="O97" s="285">
        <v>920.18068043031951</v>
      </c>
      <c r="P97" s="286">
        <v>954.2433295833755</v>
      </c>
      <c r="Q97" s="287">
        <v>988.3059787364316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665.01745020774979</v>
      </c>
      <c r="G98" s="260">
        <v>675.38139187770491</v>
      </c>
      <c r="H98" s="257">
        <v>686.35497717530461</v>
      </c>
      <c r="I98" s="260">
        <v>697.99362824851619</v>
      </c>
      <c r="J98" s="261">
        <v>710.35969501380373</v>
      </c>
      <c r="L98" s="127">
        <f>L97+$I$88</f>
        <v>9.0000000000000011E-2</v>
      </c>
      <c r="M98" s="284">
        <v>822.45915598709121</v>
      </c>
      <c r="N98" s="285">
        <v>855.14107756188719</v>
      </c>
      <c r="O98" s="286">
        <v>887.82299913668305</v>
      </c>
      <c r="P98" s="285">
        <v>920.50492071147903</v>
      </c>
      <c r="Q98" s="287">
        <v>953.18684228627501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624.82892507485758</v>
      </c>
      <c r="G99" s="263">
        <v>633.74187760188124</v>
      </c>
      <c r="H99" s="263">
        <v>643.1499941581842</v>
      </c>
      <c r="I99" s="263">
        <v>653.09571737484725</v>
      </c>
      <c r="J99" s="264">
        <v>663.62648313366685</v>
      </c>
      <c r="L99" s="128">
        <f>L98+$I$88</f>
        <v>9.5000000000000015E-2</v>
      </c>
      <c r="M99" s="288">
        <v>794.10717656647341</v>
      </c>
      <c r="N99" s="289">
        <v>825.47027725951443</v>
      </c>
      <c r="O99" s="289">
        <v>856.83337795255545</v>
      </c>
      <c r="P99" s="289">
        <v>888.19647864559636</v>
      </c>
      <c r="Q99" s="290">
        <v>919.55957933863738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326.8639893298926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419.88134014609778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368.83083393155283</v>
      </c>
      <c r="G104" s="266">
        <f>(G95-SUM(Assumptions!$D$19:$D$22))/Assumptions!$D$17*100</f>
        <v>377.37531081830446</v>
      </c>
      <c r="H104" s="267">
        <f>(H95-SUM(Assumptions!$D$19:$D$22))/Assumptions!$D$17*100</f>
        <v>386.53010748268116</v>
      </c>
      <c r="I104" s="266">
        <f>(I95-SUM(Assumptions!$D$19:$D$22))/Assumptions!$D$17*100</f>
        <v>396.36303723330803</v>
      </c>
      <c r="J104" s="268">
        <f>(J95-SUM(Assumptions!$D$19:$D$22))/Assumptions!$D$17*100</f>
        <v>406.95234619552167</v>
      </c>
      <c r="L104" s="27">
        <f>L105-$I$88</f>
        <v>7.4999999999999997E-2</v>
      </c>
      <c r="M104" s="61">
        <f>(M95-SUM(Assumptions!$D$19:$D$22))/Assumptions!$D$17*100</f>
        <v>417.39540050737389</v>
      </c>
      <c r="N104" s="62">
        <f>(N95-SUM(Assumptions!$D$19:$D$22))/Assumptions!$D$17*100</f>
        <v>435.99984942426101</v>
      </c>
      <c r="O104" s="66">
        <f>(O95-SUM(Assumptions!$D$19:$D$22))/Assumptions!$D$17*100</f>
        <v>454.60429834114802</v>
      </c>
      <c r="P104" s="62">
        <f>(P95-SUM(Assumptions!$D$19:$D$22))/Assumptions!$D$17*100</f>
        <v>473.20874725803515</v>
      </c>
      <c r="Q104" s="63">
        <f>(Q95-SUM(Assumptions!$D$19:$D$22))/Assumptions!$D$17*100</f>
        <v>491.81319617492221</v>
      </c>
    </row>
    <row r="105" spans="4:20">
      <c r="E105" s="27">
        <f>E106-$I$88</f>
        <v>0.08</v>
      </c>
      <c r="F105" s="269">
        <f>(F96-SUM(Assumptions!$D$19:$D$22))/Assumptions!$D$17*100</f>
        <v>339.82185241684198</v>
      </c>
      <c r="G105" s="270">
        <f>(G96-SUM(Assumptions!$D$19:$D$22))/Assumptions!$D$17*100</f>
        <v>347.00898139537014</v>
      </c>
      <c r="H105" s="267">
        <f>(H96-SUM(Assumptions!$D$19:$D$22))/Assumptions!$D$17*100</f>
        <v>354.67525230580031</v>
      </c>
      <c r="I105" s="270">
        <f>(I96-SUM(Assumptions!$D$19:$D$22))/Assumptions!$D$17*100</f>
        <v>362.87023155488083</v>
      </c>
      <c r="J105" s="271">
        <f>(J96-SUM(Assumptions!$D$19:$D$22))/Assumptions!$D$17*100</f>
        <v>371.65056646460994</v>
      </c>
      <c r="L105" s="27">
        <f>L106-$I$88</f>
        <v>0.08</v>
      </c>
      <c r="M105" s="64">
        <f>(M96-SUM(Assumptions!$D$19:$D$22))/Assumptions!$D$17*100</f>
        <v>401.17660417802961</v>
      </c>
      <c r="N105" s="65">
        <f>(N96-SUM(Assumptions!$D$19:$D$22))/Assumptions!$D$17*100</f>
        <v>419.02006900744055</v>
      </c>
      <c r="O105" s="66">
        <f>(O96-SUM(Assumptions!$D$19:$D$22))/Assumptions!$D$17*100</f>
        <v>436.86353383685156</v>
      </c>
      <c r="P105" s="65">
        <f>(P96-SUM(Assumptions!$D$19:$D$22))/Assumptions!$D$17*100</f>
        <v>454.70699866626268</v>
      </c>
      <c r="Q105" s="67">
        <f>(Q96-SUM(Assumptions!$D$19:$D$22))/Assumptions!$D$17*100</f>
        <v>472.55046349567368</v>
      </c>
    </row>
    <row r="106" spans="4:20">
      <c r="E106" s="150">
        <f>$F$88</f>
        <v>8.5000000000000006E-2</v>
      </c>
      <c r="F106" s="269">
        <f>(F97-SUM(Assumptions!$D$19:$D$22))/Assumptions!$D$17*100</f>
        <v>314.29170000462096</v>
      </c>
      <c r="G106" s="267">
        <f>(G97-SUM(Assumptions!$D$19:$D$22))/Assumptions!$D$17*100</f>
        <v>320.38735543505572</v>
      </c>
      <c r="H106" s="270">
        <f>(H97-SUM(Assumptions!$D$19:$D$22))/Assumptions!$D$17*100</f>
        <v>326.8639893298926</v>
      </c>
      <c r="I106" s="267">
        <f>(I97-SUM(Assumptions!$D$19:$D$22))/Assumptions!$D$17*100</f>
        <v>333.75847057278355</v>
      </c>
      <c r="J106" s="271">
        <f>(J97-SUM(Assumptions!$D$19:$D$22))/Assumptions!$D$17*100</f>
        <v>341.1125838985339</v>
      </c>
      <c r="L106" s="150">
        <f>$M$88</f>
        <v>8.5000000000000006E-2</v>
      </c>
      <c r="M106" s="64">
        <f>(M97-SUM(Assumptions!$D$19:$D$22))/Assumptions!$D$17*100</f>
        <v>385.64752190182031</v>
      </c>
      <c r="N106" s="66">
        <f>(N97-SUM(Assumptions!$D$19:$D$22))/Assumptions!$D$17*100</f>
        <v>402.76443102395899</v>
      </c>
      <c r="O106" s="65">
        <f>(O97-SUM(Assumptions!$D$19:$D$22))/Assumptions!$D$17*100</f>
        <v>419.88134014609778</v>
      </c>
      <c r="P106" s="66">
        <f>(P97-SUM(Assumptions!$D$19:$D$22))/Assumptions!$D$17*100</f>
        <v>436.99824926823646</v>
      </c>
      <c r="Q106" s="67">
        <f>(Q97-SUM(Assumptions!$D$19:$D$22))/Assumptions!$D$17*100</f>
        <v>454.1151583903752</v>
      </c>
    </row>
    <row r="107" spans="4:20">
      <c r="E107" s="127">
        <f>E106+$I$88</f>
        <v>9.0000000000000011E-2</v>
      </c>
      <c r="F107" s="269">
        <f>(F98-SUM(Assumptions!$D$19:$D$22))/Assumptions!$D$17*100</f>
        <v>291.6586113910376</v>
      </c>
      <c r="G107" s="270">
        <f>(G98-SUM(Assumptions!$D$19:$D$22))/Assumptions!$D$17*100</f>
        <v>296.86662228046225</v>
      </c>
      <c r="H107" s="267">
        <f>(H98-SUM(Assumptions!$D$19:$D$22))/Assumptions!$D$17*100</f>
        <v>302.38098675161791</v>
      </c>
      <c r="I107" s="270">
        <f>(I98-SUM(Assumptions!$D$19:$D$22))/Assumptions!$D$17*100</f>
        <v>308.22955513011618</v>
      </c>
      <c r="J107" s="271">
        <f>(J98-SUM(Assumptions!$D$19:$D$22))/Assumptions!$D$17*100</f>
        <v>314.44365903227072</v>
      </c>
      <c r="L107" s="127">
        <f>L106+$I$88</f>
        <v>9.0000000000000011E-2</v>
      </c>
      <c r="M107" s="64">
        <f>(M98-SUM(Assumptions!$D$19:$D$22))/Assumptions!$D$17*100</f>
        <v>370.77504645603329</v>
      </c>
      <c r="N107" s="65">
        <f>(N98-SUM(Assumptions!$D$19:$D$22))/Assumptions!$D$17*100</f>
        <v>387.19812262427246</v>
      </c>
      <c r="O107" s="66">
        <f>(O98-SUM(Assumptions!$D$19:$D$22))/Assumptions!$D$17*100</f>
        <v>403.62119879251156</v>
      </c>
      <c r="P107" s="65">
        <f>(P98-SUM(Assumptions!$D$19:$D$22))/Assumptions!$D$17*100</f>
        <v>420.04427496075073</v>
      </c>
      <c r="Q107" s="67">
        <f>(Q98-SUM(Assumptions!$D$19:$D$22))/Assumptions!$D$17*100</f>
        <v>436.46735112899</v>
      </c>
    </row>
    <row r="108" spans="4:20">
      <c r="E108" s="128">
        <f>E107+$I$88</f>
        <v>9.5000000000000015E-2</v>
      </c>
      <c r="F108" s="272">
        <f>(F99-SUM(Assumptions!$D$19:$D$22))/Assumptions!$D$17*100</f>
        <v>271.46337263079022</v>
      </c>
      <c r="G108" s="273">
        <f>(G99-SUM(Assumptions!$D$19:$D$22))/Assumptions!$D$17*100</f>
        <v>275.94224324738502</v>
      </c>
      <c r="H108" s="273">
        <f>(H99-SUM(Assumptions!$D$19:$D$22))/Assumptions!$D$17*100</f>
        <v>280.66994000934631</v>
      </c>
      <c r="I108" s="273">
        <f>(I99-SUM(Assumptions!$D$19:$D$22))/Assumptions!$D$17*100</f>
        <v>285.66779087199109</v>
      </c>
      <c r="J108" s="274">
        <f>(J99-SUM(Assumptions!$D$19:$D$22))/Assumptions!$D$17*100</f>
        <v>290.95963296185016</v>
      </c>
      <c r="L108" s="128">
        <f>L107+$I$88</f>
        <v>9.5000000000000015E-2</v>
      </c>
      <c r="M108" s="68">
        <f>(M99-SUM(Assumptions!$D$19:$D$22))/Assumptions!$D$17*100</f>
        <v>356.52782061652687</v>
      </c>
      <c r="N108" s="69">
        <f>(N99-SUM(Assumptions!$D$19:$D$22))/Assumptions!$D$17*100</f>
        <v>372.28817272358265</v>
      </c>
      <c r="O108" s="69">
        <f>(O99-SUM(Assumptions!$D$19:$D$22))/Assumptions!$D$17*100</f>
        <v>388.04852483063843</v>
      </c>
      <c r="P108" s="69">
        <f>(P99-SUM(Assumptions!$D$19:$D$22))/Assumptions!$D$17*100</f>
        <v>403.80887693769421</v>
      </c>
      <c r="Q108" s="70">
        <f>(Q99-SUM(Assumptions!$D$19:$D$22))/Assumptions!$D$17*100</f>
        <v>419.56922904474993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130.50500120625895</v>
      </c>
      <c r="O112" s="115">
        <f t="shared" ca="1" si="30"/>
        <v>133.24653965896459</v>
      </c>
      <c r="P112" s="115">
        <f t="shared" ca="1" si="30"/>
        <v>135.77721189939695</v>
      </c>
      <c r="Q112" s="115">
        <f t="shared" ca="1" si="30"/>
        <v>138.08240265835985</v>
      </c>
      <c r="R112" s="115">
        <f t="shared" ca="1" si="30"/>
        <v>140.14855300014</v>
      </c>
      <c r="S112" s="115">
        <f t="shared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8.8690056393647562E-2</v>
      </c>
      <c r="O113" s="117">
        <f t="shared" ca="1" si="31"/>
        <v>8.8952045114918027E-2</v>
      </c>
      <c r="P113" s="117">
        <f t="shared" ca="1" si="31"/>
        <v>8.9214033836188505E-2</v>
      </c>
      <c r="Q113" s="117">
        <f t="shared" ca="1" si="31"/>
        <v>8.9476022557458998E-2</v>
      </c>
      <c r="R113" s="117">
        <f t="shared" ca="1" si="31"/>
        <v>8.9738011278729504E-2</v>
      </c>
      <c r="S113" s="117">
        <f t="shared" ref="S113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47.195257615808728</v>
      </c>
      <c r="L114" s="116">
        <f t="shared" si="33"/>
        <v>51.82954358756416</v>
      </c>
      <c r="M114" s="116">
        <f t="shared" si="33"/>
        <v>54.799912142159201</v>
      </c>
      <c r="N114" s="116">
        <f t="shared" ca="1" si="33"/>
        <v>53.583262142159185</v>
      </c>
      <c r="O114" s="116">
        <f t="shared" ca="1" si="33"/>
        <v>52.366612142159198</v>
      </c>
      <c r="P114" s="116">
        <f t="shared" ca="1" si="33"/>
        <v>51.149962142159197</v>
      </c>
      <c r="Q114" s="116">
        <f t="shared" ca="1" si="33"/>
        <v>49.933312142159195</v>
      </c>
      <c r="R114" s="116">
        <f t="shared" ca="1" si="33"/>
        <v>48.716662142159194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 t="shared" ref="F115:S115" si="34">-F114/F48</f>
        <v>0</v>
      </c>
      <c r="G115" s="117">
        <f t="shared" si="34"/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0.94390515231617456</v>
      </c>
      <c r="L115" s="117">
        <f t="shared" si="34"/>
        <v>1.0365908717512833</v>
      </c>
      <c r="M115" s="117">
        <f t="shared" si="34"/>
        <v>1.095998242843184</v>
      </c>
      <c r="N115" s="117">
        <f t="shared" ca="1" si="34"/>
        <v>1.0716652428431837</v>
      </c>
      <c r="O115" s="117">
        <f t="shared" ca="1" si="34"/>
        <v>1.0473322428431839</v>
      </c>
      <c r="P115" s="117">
        <f t="shared" ca="1" si="34"/>
        <v>1.022999242843184</v>
      </c>
      <c r="Q115" s="117">
        <f t="shared" ca="1" si="34"/>
        <v>0.99866624284318395</v>
      </c>
      <c r="R115" s="117">
        <f t="shared" ca="1" si="34"/>
        <v>0.9743332428431839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76.921739064099768</v>
      </c>
      <c r="O116" s="115">
        <f t="shared" ca="1" si="35"/>
        <v>80.879927516805395</v>
      </c>
      <c r="P116" s="115">
        <f t="shared" ca="1" si="35"/>
        <v>84.627249757237749</v>
      </c>
      <c r="Q116" s="115">
        <f t="shared" ca="1" si="35"/>
        <v>88.149090516200658</v>
      </c>
      <c r="R116" s="115">
        <f t="shared" ca="1" si="35"/>
        <v>91.431890857980804</v>
      </c>
      <c r="S116" s="115">
        <f t="shared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5.2275340503696054E-2</v>
      </c>
      <c r="O117" s="117">
        <f t="shared" ca="1" si="36"/>
        <v>5.3993409358170479E-2</v>
      </c>
      <c r="P117" s="117">
        <f t="shared" ca="1" si="36"/>
        <v>5.5605342146072725E-2</v>
      </c>
      <c r="Q117" s="117">
        <f t="shared" ca="1" si="36"/>
        <v>5.7119733286807438E-2</v>
      </c>
      <c r="R117" s="117">
        <f t="shared" ca="1" si="36"/>
        <v>5.8544422167818244E-2</v>
      </c>
      <c r="S117" s="117">
        <f t="shared" ref="S117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-11.023418909958341</v>
      </c>
      <c r="J118" s="116">
        <f t="shared" si="38"/>
        <v>-8.8689019660788908</v>
      </c>
      <c r="K118" s="116">
        <f t="shared" si="38"/>
        <v>-10.982251365635149</v>
      </c>
      <c r="L118" s="116">
        <f t="shared" si="38"/>
        <v>-12.336117563378528</v>
      </c>
      <c r="M118" s="116">
        <f t="shared" si="38"/>
        <v>-12.370596926169977</v>
      </c>
      <c r="N118" s="116">
        <f t="shared" ca="1" si="38"/>
        <v>-13.076695640896961</v>
      </c>
      <c r="O118" s="116">
        <f t="shared" ca="1" si="38"/>
        <v>-13.749587677856919</v>
      </c>
      <c r="P118" s="116">
        <f t="shared" ca="1" si="38"/>
        <v>-14.386632458730418</v>
      </c>
      <c r="Q118" s="116">
        <f t="shared" ca="1" si="38"/>
        <v>-14.985345387754114</v>
      </c>
      <c r="R118" s="116">
        <f t="shared" ca="1" si="38"/>
        <v>-15.543421445856739</v>
      </c>
      <c r="S118" s="116">
        <f t="shared" si="38"/>
        <v>-16.058759581370406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63.84504342320281</v>
      </c>
      <c r="O120" s="116">
        <f t="shared" ca="1" si="40"/>
        <v>67.130339838948473</v>
      </c>
      <c r="P120" s="116">
        <f t="shared" ca="1" si="40"/>
        <v>70.240617298507331</v>
      </c>
      <c r="Q120" s="116">
        <f t="shared" ca="1" si="40"/>
        <v>73.16374512844655</v>
      </c>
      <c r="R120" s="116">
        <f t="shared" ca="1" si="40"/>
        <v>75.888469412124067</v>
      </c>
      <c r="S120" s="116">
        <f t="shared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47.195257615808728</v>
      </c>
      <c r="L121" s="116">
        <f t="shared" si="41"/>
        <v>51.82954358756416</v>
      </c>
      <c r="M121" s="116">
        <f t="shared" si="41"/>
        <v>54.799912142159201</v>
      </c>
      <c r="N121" s="116">
        <f t="shared" ca="1" si="41"/>
        <v>53.583262142159185</v>
      </c>
      <c r="O121" s="116">
        <f t="shared" ca="1" si="41"/>
        <v>52.366612142159198</v>
      </c>
      <c r="P121" s="116">
        <f t="shared" ca="1" si="41"/>
        <v>51.149962142159197</v>
      </c>
      <c r="Q121" s="116">
        <f t="shared" ca="1" si="41"/>
        <v>49.933312142159195</v>
      </c>
      <c r="R121" s="116">
        <f t="shared" ca="1" si="41"/>
        <v>48.716662142159194</v>
      </c>
      <c r="S121" s="116">
        <f t="shared" si="41"/>
        <v>47.5</v>
      </c>
      <c r="T121" s="116"/>
    </row>
    <row r="122" spans="4:20">
      <c r="D122" s="106" t="s">
        <v>132</v>
      </c>
      <c r="E122" s="95"/>
      <c r="F122" s="116">
        <f t="shared" ref="F122:S122" si="42">F48</f>
        <v>-36.1</v>
      </c>
      <c r="G122" s="116">
        <f t="shared" si="42"/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-3.1</v>
      </c>
      <c r="J123" s="115">
        <f t="shared" si="43"/>
        <v>-4.0999999999999996</v>
      </c>
      <c r="K123" s="115">
        <f t="shared" si="43"/>
        <v>-4.0999999999999996</v>
      </c>
      <c r="L123" s="115">
        <f t="shared" si="43"/>
        <v>-4.0999999999999996</v>
      </c>
      <c r="M123" s="115">
        <f t="shared" si="43"/>
        <v>-4.0999999999999996</v>
      </c>
      <c r="N123" s="115">
        <f t="shared" si="43"/>
        <v>0</v>
      </c>
      <c r="O123" s="115">
        <f t="shared" si="43"/>
        <v>0</v>
      </c>
      <c r="P123" s="115">
        <f t="shared" si="43"/>
        <v>0</v>
      </c>
      <c r="Q123" s="115">
        <f t="shared" si="43"/>
        <v>0</v>
      </c>
      <c r="R123" s="115">
        <f t="shared" si="43"/>
        <v>0</v>
      </c>
      <c r="S123" s="115">
        <f t="shared" si="43"/>
        <v>0</v>
      </c>
      <c r="T123" s="115"/>
    </row>
    <row r="124" spans="4:20">
      <c r="D124" s="106" t="s">
        <v>133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1.1384540263188825</v>
      </c>
      <c r="M124" s="116">
        <f t="shared" si="44"/>
        <v>0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134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44.023790752980311</v>
      </c>
      <c r="J127" s="124">
        <f>SUM(J120:J125)</f>
        <v>10.651934457705284</v>
      </c>
      <c r="K127" s="124">
        <f t="shared" si="46"/>
        <v>34.961766828577431</v>
      </c>
      <c r="L127" s="124">
        <f t="shared" si="46"/>
        <v>54.097277482142893</v>
      </c>
      <c r="M127" s="124">
        <f t="shared" si="46"/>
        <v>56.097532428753787</v>
      </c>
      <c r="N127" s="124">
        <f t="shared" ca="1" si="46"/>
        <v>62.428305565361995</v>
      </c>
      <c r="O127" s="124">
        <f t="shared" ca="1" si="46"/>
        <v>64.496951981107671</v>
      </c>
      <c r="P127" s="124">
        <f t="shared" ca="1" si="46"/>
        <v>66.390579440666528</v>
      </c>
      <c r="Q127" s="124">
        <f t="shared" ca="1" si="46"/>
        <v>68.097057270605745</v>
      </c>
      <c r="R127" s="124">
        <f t="shared" ca="1" si="46"/>
        <v>69.605131554283261</v>
      </c>
      <c r="S127" s="124">
        <f t="shared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23" zoomScaleNormal="100" workbookViewId="0">
      <selection activeCell="P44" sqref="P44"/>
    </sheetView>
  </sheetViews>
  <sheetFormatPr defaultColWidth="8.85546875" defaultRowHeight="12.75"/>
  <cols>
    <col min="1" max="2" width="2.7109375" style="162" customWidth="1"/>
    <col min="3" max="5" width="12" style="162" customWidth="1"/>
    <col min="6" max="7" width="9.140625" style="162"/>
    <col min="8" max="8" width="0.85546875" style="162" customWidth="1"/>
    <col min="9" max="19" width="12.7109375" style="162" customWidth="1"/>
    <col min="20" max="253" width="9.140625" style="162"/>
    <col min="254" max="255" width="2.7109375" style="162" customWidth="1"/>
    <col min="256" max="258" width="12" style="162" customWidth="1"/>
    <col min="259" max="260" width="9.140625" style="162"/>
    <col min="261" max="261" width="0.85546875" style="162" customWidth="1"/>
    <col min="262" max="275" width="7.7109375" style="162" customWidth="1"/>
    <col min="276" max="509" width="9.140625" style="162"/>
    <col min="510" max="511" width="2.7109375" style="162" customWidth="1"/>
    <col min="512" max="514" width="12" style="162" customWidth="1"/>
    <col min="515" max="516" width="9.140625" style="162"/>
    <col min="517" max="517" width="0.85546875" style="162" customWidth="1"/>
    <col min="518" max="531" width="7.7109375" style="162" customWidth="1"/>
    <col min="532" max="765" width="9.140625" style="162"/>
    <col min="766" max="767" width="2.7109375" style="162" customWidth="1"/>
    <col min="768" max="770" width="12" style="162" customWidth="1"/>
    <col min="771" max="772" width="9.140625" style="162"/>
    <col min="773" max="773" width="0.85546875" style="162" customWidth="1"/>
    <col min="774" max="787" width="7.7109375" style="162" customWidth="1"/>
    <col min="788" max="1021" width="9.140625" style="162"/>
    <col min="1022" max="1023" width="2.7109375" style="162" customWidth="1"/>
    <col min="1024" max="1026" width="12" style="162" customWidth="1"/>
    <col min="1027" max="1028" width="9.140625" style="162"/>
    <col min="1029" max="1029" width="0.85546875" style="162" customWidth="1"/>
    <col min="1030" max="1043" width="7.7109375" style="162" customWidth="1"/>
    <col min="1044" max="1277" width="9.140625" style="162"/>
    <col min="1278" max="1279" width="2.7109375" style="162" customWidth="1"/>
    <col min="1280" max="1282" width="12" style="162" customWidth="1"/>
    <col min="1283" max="1284" width="9.140625" style="162"/>
    <col min="1285" max="1285" width="0.85546875" style="162" customWidth="1"/>
    <col min="1286" max="1299" width="7.7109375" style="162" customWidth="1"/>
    <col min="1300" max="1533" width="9.140625" style="162"/>
    <col min="1534" max="1535" width="2.7109375" style="162" customWidth="1"/>
    <col min="1536" max="1538" width="12" style="162" customWidth="1"/>
    <col min="1539" max="1540" width="9.140625" style="162"/>
    <col min="1541" max="1541" width="0.85546875" style="162" customWidth="1"/>
    <col min="1542" max="1555" width="7.7109375" style="162" customWidth="1"/>
    <col min="1556" max="1789" width="9.140625" style="162"/>
    <col min="1790" max="1791" width="2.7109375" style="162" customWidth="1"/>
    <col min="1792" max="1794" width="12" style="162" customWidth="1"/>
    <col min="1795" max="1796" width="9.140625" style="162"/>
    <col min="1797" max="1797" width="0.85546875" style="162" customWidth="1"/>
    <col min="1798" max="1811" width="7.7109375" style="162" customWidth="1"/>
    <col min="1812" max="2045" width="9.140625" style="162"/>
    <col min="2046" max="2047" width="2.7109375" style="162" customWidth="1"/>
    <col min="2048" max="2050" width="12" style="162" customWidth="1"/>
    <col min="2051" max="2052" width="9.140625" style="162"/>
    <col min="2053" max="2053" width="0.85546875" style="162" customWidth="1"/>
    <col min="2054" max="2067" width="7.7109375" style="162" customWidth="1"/>
    <col min="2068" max="2301" width="9.140625" style="162"/>
    <col min="2302" max="2303" width="2.7109375" style="162" customWidth="1"/>
    <col min="2304" max="2306" width="12" style="162" customWidth="1"/>
    <col min="2307" max="2308" width="9.140625" style="162"/>
    <col min="2309" max="2309" width="0.85546875" style="162" customWidth="1"/>
    <col min="2310" max="2323" width="7.7109375" style="162" customWidth="1"/>
    <col min="2324" max="2557" width="9.140625" style="162"/>
    <col min="2558" max="2559" width="2.7109375" style="162" customWidth="1"/>
    <col min="2560" max="2562" width="12" style="162" customWidth="1"/>
    <col min="2563" max="2564" width="9.140625" style="162"/>
    <col min="2565" max="2565" width="0.85546875" style="162" customWidth="1"/>
    <col min="2566" max="2579" width="7.7109375" style="162" customWidth="1"/>
    <col min="2580" max="2813" width="9.140625" style="162"/>
    <col min="2814" max="2815" width="2.7109375" style="162" customWidth="1"/>
    <col min="2816" max="2818" width="12" style="162" customWidth="1"/>
    <col min="2819" max="2820" width="9.140625" style="162"/>
    <col min="2821" max="2821" width="0.85546875" style="162" customWidth="1"/>
    <col min="2822" max="2835" width="7.7109375" style="162" customWidth="1"/>
    <col min="2836" max="3069" width="9.140625" style="162"/>
    <col min="3070" max="3071" width="2.7109375" style="162" customWidth="1"/>
    <col min="3072" max="3074" width="12" style="162" customWidth="1"/>
    <col min="3075" max="3076" width="9.140625" style="162"/>
    <col min="3077" max="3077" width="0.85546875" style="162" customWidth="1"/>
    <col min="3078" max="3091" width="7.7109375" style="162" customWidth="1"/>
    <col min="3092" max="3325" width="9.140625" style="162"/>
    <col min="3326" max="3327" width="2.7109375" style="162" customWidth="1"/>
    <col min="3328" max="3330" width="12" style="162" customWidth="1"/>
    <col min="3331" max="3332" width="9.140625" style="162"/>
    <col min="3333" max="3333" width="0.85546875" style="162" customWidth="1"/>
    <col min="3334" max="3347" width="7.7109375" style="162" customWidth="1"/>
    <col min="3348" max="3581" width="9.140625" style="162"/>
    <col min="3582" max="3583" width="2.7109375" style="162" customWidth="1"/>
    <col min="3584" max="3586" width="12" style="162" customWidth="1"/>
    <col min="3587" max="3588" width="9.140625" style="162"/>
    <col min="3589" max="3589" width="0.85546875" style="162" customWidth="1"/>
    <col min="3590" max="3603" width="7.7109375" style="162" customWidth="1"/>
    <col min="3604" max="3837" width="9.140625" style="162"/>
    <col min="3838" max="3839" width="2.7109375" style="162" customWidth="1"/>
    <col min="3840" max="3842" width="12" style="162" customWidth="1"/>
    <col min="3843" max="3844" width="9.140625" style="162"/>
    <col min="3845" max="3845" width="0.85546875" style="162" customWidth="1"/>
    <col min="3846" max="3859" width="7.7109375" style="162" customWidth="1"/>
    <col min="3860" max="4093" width="9.140625" style="162"/>
    <col min="4094" max="4095" width="2.7109375" style="162" customWidth="1"/>
    <col min="4096" max="4098" width="12" style="162" customWidth="1"/>
    <col min="4099" max="4100" width="9.140625" style="162"/>
    <col min="4101" max="4101" width="0.85546875" style="162" customWidth="1"/>
    <col min="4102" max="4115" width="7.7109375" style="162" customWidth="1"/>
    <col min="4116" max="4349" width="9.140625" style="162"/>
    <col min="4350" max="4351" width="2.7109375" style="162" customWidth="1"/>
    <col min="4352" max="4354" width="12" style="162" customWidth="1"/>
    <col min="4355" max="4356" width="9.140625" style="162"/>
    <col min="4357" max="4357" width="0.85546875" style="162" customWidth="1"/>
    <col min="4358" max="4371" width="7.7109375" style="162" customWidth="1"/>
    <col min="4372" max="4605" width="9.140625" style="162"/>
    <col min="4606" max="4607" width="2.7109375" style="162" customWidth="1"/>
    <col min="4608" max="4610" width="12" style="162" customWidth="1"/>
    <col min="4611" max="4612" width="9.140625" style="162"/>
    <col min="4613" max="4613" width="0.85546875" style="162" customWidth="1"/>
    <col min="4614" max="4627" width="7.7109375" style="162" customWidth="1"/>
    <col min="4628" max="4861" width="9.140625" style="162"/>
    <col min="4862" max="4863" width="2.7109375" style="162" customWidth="1"/>
    <col min="4864" max="4866" width="12" style="162" customWidth="1"/>
    <col min="4867" max="4868" width="9.140625" style="162"/>
    <col min="4869" max="4869" width="0.85546875" style="162" customWidth="1"/>
    <col min="4870" max="4883" width="7.7109375" style="162" customWidth="1"/>
    <col min="4884" max="5117" width="9.140625" style="162"/>
    <col min="5118" max="5119" width="2.7109375" style="162" customWidth="1"/>
    <col min="5120" max="5122" width="12" style="162" customWidth="1"/>
    <col min="5123" max="5124" width="9.140625" style="162"/>
    <col min="5125" max="5125" width="0.85546875" style="162" customWidth="1"/>
    <col min="5126" max="5139" width="7.7109375" style="162" customWidth="1"/>
    <col min="5140" max="5373" width="9.140625" style="162"/>
    <col min="5374" max="5375" width="2.7109375" style="162" customWidth="1"/>
    <col min="5376" max="5378" width="12" style="162" customWidth="1"/>
    <col min="5379" max="5380" width="9.140625" style="162"/>
    <col min="5381" max="5381" width="0.85546875" style="162" customWidth="1"/>
    <col min="5382" max="5395" width="7.7109375" style="162" customWidth="1"/>
    <col min="5396" max="5629" width="9.140625" style="162"/>
    <col min="5630" max="5631" width="2.7109375" style="162" customWidth="1"/>
    <col min="5632" max="5634" width="12" style="162" customWidth="1"/>
    <col min="5635" max="5636" width="9.140625" style="162"/>
    <col min="5637" max="5637" width="0.85546875" style="162" customWidth="1"/>
    <col min="5638" max="5651" width="7.7109375" style="162" customWidth="1"/>
    <col min="5652" max="5885" width="9.140625" style="162"/>
    <col min="5886" max="5887" width="2.7109375" style="162" customWidth="1"/>
    <col min="5888" max="5890" width="12" style="162" customWidth="1"/>
    <col min="5891" max="5892" width="9.140625" style="162"/>
    <col min="5893" max="5893" width="0.85546875" style="162" customWidth="1"/>
    <col min="5894" max="5907" width="7.7109375" style="162" customWidth="1"/>
    <col min="5908" max="6141" width="9.140625" style="162"/>
    <col min="6142" max="6143" width="2.7109375" style="162" customWidth="1"/>
    <col min="6144" max="6146" width="12" style="162" customWidth="1"/>
    <col min="6147" max="6148" width="9.140625" style="162"/>
    <col min="6149" max="6149" width="0.85546875" style="162" customWidth="1"/>
    <col min="6150" max="6163" width="7.7109375" style="162" customWidth="1"/>
    <col min="6164" max="6397" width="9.140625" style="162"/>
    <col min="6398" max="6399" width="2.7109375" style="162" customWidth="1"/>
    <col min="6400" max="6402" width="12" style="162" customWidth="1"/>
    <col min="6403" max="6404" width="9.140625" style="162"/>
    <col min="6405" max="6405" width="0.85546875" style="162" customWidth="1"/>
    <col min="6406" max="6419" width="7.7109375" style="162" customWidth="1"/>
    <col min="6420" max="6653" width="9.140625" style="162"/>
    <col min="6654" max="6655" width="2.7109375" style="162" customWidth="1"/>
    <col min="6656" max="6658" width="12" style="162" customWidth="1"/>
    <col min="6659" max="6660" width="9.140625" style="162"/>
    <col min="6661" max="6661" width="0.85546875" style="162" customWidth="1"/>
    <col min="6662" max="6675" width="7.7109375" style="162" customWidth="1"/>
    <col min="6676" max="6909" width="9.140625" style="162"/>
    <col min="6910" max="6911" width="2.7109375" style="162" customWidth="1"/>
    <col min="6912" max="6914" width="12" style="162" customWidth="1"/>
    <col min="6915" max="6916" width="9.140625" style="162"/>
    <col min="6917" max="6917" width="0.85546875" style="162" customWidth="1"/>
    <col min="6918" max="6931" width="7.7109375" style="162" customWidth="1"/>
    <col min="6932" max="7165" width="9.140625" style="162"/>
    <col min="7166" max="7167" width="2.7109375" style="162" customWidth="1"/>
    <col min="7168" max="7170" width="12" style="162" customWidth="1"/>
    <col min="7171" max="7172" width="9.140625" style="162"/>
    <col min="7173" max="7173" width="0.85546875" style="162" customWidth="1"/>
    <col min="7174" max="7187" width="7.7109375" style="162" customWidth="1"/>
    <col min="7188" max="7421" width="9.140625" style="162"/>
    <col min="7422" max="7423" width="2.7109375" style="162" customWidth="1"/>
    <col min="7424" max="7426" width="12" style="162" customWidth="1"/>
    <col min="7427" max="7428" width="9.140625" style="162"/>
    <col min="7429" max="7429" width="0.85546875" style="162" customWidth="1"/>
    <col min="7430" max="7443" width="7.7109375" style="162" customWidth="1"/>
    <col min="7444" max="7677" width="9.140625" style="162"/>
    <col min="7678" max="7679" width="2.7109375" style="162" customWidth="1"/>
    <col min="7680" max="7682" width="12" style="162" customWidth="1"/>
    <col min="7683" max="7684" width="9.140625" style="162"/>
    <col min="7685" max="7685" width="0.85546875" style="162" customWidth="1"/>
    <col min="7686" max="7699" width="7.7109375" style="162" customWidth="1"/>
    <col min="7700" max="7933" width="9.140625" style="162"/>
    <col min="7934" max="7935" width="2.7109375" style="162" customWidth="1"/>
    <col min="7936" max="7938" width="12" style="162" customWidth="1"/>
    <col min="7939" max="7940" width="9.140625" style="162"/>
    <col min="7941" max="7941" width="0.85546875" style="162" customWidth="1"/>
    <col min="7942" max="7955" width="7.7109375" style="162" customWidth="1"/>
    <col min="7956" max="8189" width="9.140625" style="162"/>
    <col min="8190" max="8191" width="2.7109375" style="162" customWidth="1"/>
    <col min="8192" max="8194" width="12" style="162" customWidth="1"/>
    <col min="8195" max="8196" width="9.140625" style="162"/>
    <col min="8197" max="8197" width="0.85546875" style="162" customWidth="1"/>
    <col min="8198" max="8211" width="7.7109375" style="162" customWidth="1"/>
    <col min="8212" max="8445" width="9.140625" style="162"/>
    <col min="8446" max="8447" width="2.7109375" style="162" customWidth="1"/>
    <col min="8448" max="8450" width="12" style="162" customWidth="1"/>
    <col min="8451" max="8452" width="9.140625" style="162"/>
    <col min="8453" max="8453" width="0.85546875" style="162" customWidth="1"/>
    <col min="8454" max="8467" width="7.7109375" style="162" customWidth="1"/>
    <col min="8468" max="8701" width="9.140625" style="162"/>
    <col min="8702" max="8703" width="2.7109375" style="162" customWidth="1"/>
    <col min="8704" max="8706" width="12" style="162" customWidth="1"/>
    <col min="8707" max="8708" width="9.140625" style="162"/>
    <col min="8709" max="8709" width="0.85546875" style="162" customWidth="1"/>
    <col min="8710" max="8723" width="7.7109375" style="162" customWidth="1"/>
    <col min="8724" max="8957" width="9.140625" style="162"/>
    <col min="8958" max="8959" width="2.7109375" style="162" customWidth="1"/>
    <col min="8960" max="8962" width="12" style="162" customWidth="1"/>
    <col min="8963" max="8964" width="9.140625" style="162"/>
    <col min="8965" max="8965" width="0.85546875" style="162" customWidth="1"/>
    <col min="8966" max="8979" width="7.7109375" style="162" customWidth="1"/>
    <col min="8980" max="9213" width="9.140625" style="162"/>
    <col min="9214" max="9215" width="2.7109375" style="162" customWidth="1"/>
    <col min="9216" max="9218" width="12" style="162" customWidth="1"/>
    <col min="9219" max="9220" width="9.140625" style="162"/>
    <col min="9221" max="9221" width="0.85546875" style="162" customWidth="1"/>
    <col min="9222" max="9235" width="7.7109375" style="162" customWidth="1"/>
    <col min="9236" max="9469" width="9.140625" style="162"/>
    <col min="9470" max="9471" width="2.7109375" style="162" customWidth="1"/>
    <col min="9472" max="9474" width="12" style="162" customWidth="1"/>
    <col min="9475" max="9476" width="9.140625" style="162"/>
    <col min="9477" max="9477" width="0.85546875" style="162" customWidth="1"/>
    <col min="9478" max="9491" width="7.7109375" style="162" customWidth="1"/>
    <col min="9492" max="9725" width="9.140625" style="162"/>
    <col min="9726" max="9727" width="2.7109375" style="162" customWidth="1"/>
    <col min="9728" max="9730" width="12" style="162" customWidth="1"/>
    <col min="9731" max="9732" width="9.140625" style="162"/>
    <col min="9733" max="9733" width="0.85546875" style="162" customWidth="1"/>
    <col min="9734" max="9747" width="7.7109375" style="162" customWidth="1"/>
    <col min="9748" max="9981" width="9.140625" style="162"/>
    <col min="9982" max="9983" width="2.7109375" style="162" customWidth="1"/>
    <col min="9984" max="9986" width="12" style="162" customWidth="1"/>
    <col min="9987" max="9988" width="9.140625" style="162"/>
    <col min="9989" max="9989" width="0.85546875" style="162" customWidth="1"/>
    <col min="9990" max="10003" width="7.7109375" style="162" customWidth="1"/>
    <col min="10004" max="10237" width="9.140625" style="162"/>
    <col min="10238" max="10239" width="2.7109375" style="162" customWidth="1"/>
    <col min="10240" max="10242" width="12" style="162" customWidth="1"/>
    <col min="10243" max="10244" width="9.140625" style="162"/>
    <col min="10245" max="10245" width="0.85546875" style="162" customWidth="1"/>
    <col min="10246" max="10259" width="7.7109375" style="162" customWidth="1"/>
    <col min="10260" max="10493" width="9.140625" style="162"/>
    <col min="10494" max="10495" width="2.7109375" style="162" customWidth="1"/>
    <col min="10496" max="10498" width="12" style="162" customWidth="1"/>
    <col min="10499" max="10500" width="9.140625" style="162"/>
    <col min="10501" max="10501" width="0.85546875" style="162" customWidth="1"/>
    <col min="10502" max="10515" width="7.7109375" style="162" customWidth="1"/>
    <col min="10516" max="10749" width="9.140625" style="162"/>
    <col min="10750" max="10751" width="2.7109375" style="162" customWidth="1"/>
    <col min="10752" max="10754" width="12" style="162" customWidth="1"/>
    <col min="10755" max="10756" width="9.140625" style="162"/>
    <col min="10757" max="10757" width="0.85546875" style="162" customWidth="1"/>
    <col min="10758" max="10771" width="7.7109375" style="162" customWidth="1"/>
    <col min="10772" max="11005" width="9.140625" style="162"/>
    <col min="11006" max="11007" width="2.7109375" style="162" customWidth="1"/>
    <col min="11008" max="11010" width="12" style="162" customWidth="1"/>
    <col min="11011" max="11012" width="9.140625" style="162"/>
    <col min="11013" max="11013" width="0.85546875" style="162" customWidth="1"/>
    <col min="11014" max="11027" width="7.7109375" style="162" customWidth="1"/>
    <col min="11028" max="11261" width="9.140625" style="162"/>
    <col min="11262" max="11263" width="2.7109375" style="162" customWidth="1"/>
    <col min="11264" max="11266" width="12" style="162" customWidth="1"/>
    <col min="11267" max="11268" width="9.140625" style="162"/>
    <col min="11269" max="11269" width="0.85546875" style="162" customWidth="1"/>
    <col min="11270" max="11283" width="7.7109375" style="162" customWidth="1"/>
    <col min="11284" max="11517" width="9.140625" style="162"/>
    <col min="11518" max="11519" width="2.7109375" style="162" customWidth="1"/>
    <col min="11520" max="11522" width="12" style="162" customWidth="1"/>
    <col min="11523" max="11524" width="9.140625" style="162"/>
    <col min="11525" max="11525" width="0.85546875" style="162" customWidth="1"/>
    <col min="11526" max="11539" width="7.7109375" style="162" customWidth="1"/>
    <col min="11540" max="11773" width="9.140625" style="162"/>
    <col min="11774" max="11775" width="2.7109375" style="162" customWidth="1"/>
    <col min="11776" max="11778" width="12" style="162" customWidth="1"/>
    <col min="11779" max="11780" width="9.140625" style="162"/>
    <col min="11781" max="11781" width="0.85546875" style="162" customWidth="1"/>
    <col min="11782" max="11795" width="7.7109375" style="162" customWidth="1"/>
    <col min="11796" max="12029" width="9.140625" style="162"/>
    <col min="12030" max="12031" width="2.7109375" style="162" customWidth="1"/>
    <col min="12032" max="12034" width="12" style="162" customWidth="1"/>
    <col min="12035" max="12036" width="9.140625" style="162"/>
    <col min="12037" max="12037" width="0.85546875" style="162" customWidth="1"/>
    <col min="12038" max="12051" width="7.7109375" style="162" customWidth="1"/>
    <col min="12052" max="12285" width="9.140625" style="162"/>
    <col min="12286" max="12287" width="2.7109375" style="162" customWidth="1"/>
    <col min="12288" max="12290" width="12" style="162" customWidth="1"/>
    <col min="12291" max="12292" width="9.140625" style="162"/>
    <col min="12293" max="12293" width="0.85546875" style="162" customWidth="1"/>
    <col min="12294" max="12307" width="7.7109375" style="162" customWidth="1"/>
    <col min="12308" max="12541" width="9.140625" style="162"/>
    <col min="12542" max="12543" width="2.7109375" style="162" customWidth="1"/>
    <col min="12544" max="12546" width="12" style="162" customWidth="1"/>
    <col min="12547" max="12548" width="9.140625" style="162"/>
    <col min="12549" max="12549" width="0.85546875" style="162" customWidth="1"/>
    <col min="12550" max="12563" width="7.7109375" style="162" customWidth="1"/>
    <col min="12564" max="12797" width="9.140625" style="162"/>
    <col min="12798" max="12799" width="2.7109375" style="162" customWidth="1"/>
    <col min="12800" max="12802" width="12" style="162" customWidth="1"/>
    <col min="12803" max="12804" width="9.140625" style="162"/>
    <col min="12805" max="12805" width="0.85546875" style="162" customWidth="1"/>
    <col min="12806" max="12819" width="7.7109375" style="162" customWidth="1"/>
    <col min="12820" max="13053" width="9.140625" style="162"/>
    <col min="13054" max="13055" width="2.7109375" style="162" customWidth="1"/>
    <col min="13056" max="13058" width="12" style="162" customWidth="1"/>
    <col min="13059" max="13060" width="9.140625" style="162"/>
    <col min="13061" max="13061" width="0.85546875" style="162" customWidth="1"/>
    <col min="13062" max="13075" width="7.7109375" style="162" customWidth="1"/>
    <col min="13076" max="13309" width="9.140625" style="162"/>
    <col min="13310" max="13311" width="2.7109375" style="162" customWidth="1"/>
    <col min="13312" max="13314" width="12" style="162" customWidth="1"/>
    <col min="13315" max="13316" width="9.140625" style="162"/>
    <col min="13317" max="13317" width="0.85546875" style="162" customWidth="1"/>
    <col min="13318" max="13331" width="7.7109375" style="162" customWidth="1"/>
    <col min="13332" max="13565" width="9.140625" style="162"/>
    <col min="13566" max="13567" width="2.7109375" style="162" customWidth="1"/>
    <col min="13568" max="13570" width="12" style="162" customWidth="1"/>
    <col min="13571" max="13572" width="9.140625" style="162"/>
    <col min="13573" max="13573" width="0.85546875" style="162" customWidth="1"/>
    <col min="13574" max="13587" width="7.7109375" style="162" customWidth="1"/>
    <col min="13588" max="13821" width="9.140625" style="162"/>
    <col min="13822" max="13823" width="2.7109375" style="162" customWidth="1"/>
    <col min="13824" max="13826" width="12" style="162" customWidth="1"/>
    <col min="13827" max="13828" width="9.140625" style="162"/>
    <col min="13829" max="13829" width="0.85546875" style="162" customWidth="1"/>
    <col min="13830" max="13843" width="7.7109375" style="162" customWidth="1"/>
    <col min="13844" max="14077" width="9.140625" style="162"/>
    <col min="14078" max="14079" width="2.7109375" style="162" customWidth="1"/>
    <col min="14080" max="14082" width="12" style="162" customWidth="1"/>
    <col min="14083" max="14084" width="9.140625" style="162"/>
    <col min="14085" max="14085" width="0.85546875" style="162" customWidth="1"/>
    <col min="14086" max="14099" width="7.7109375" style="162" customWidth="1"/>
    <col min="14100" max="14333" width="9.140625" style="162"/>
    <col min="14334" max="14335" width="2.7109375" style="162" customWidth="1"/>
    <col min="14336" max="14338" width="12" style="162" customWidth="1"/>
    <col min="14339" max="14340" width="9.140625" style="162"/>
    <col min="14341" max="14341" width="0.85546875" style="162" customWidth="1"/>
    <col min="14342" max="14355" width="7.7109375" style="162" customWidth="1"/>
    <col min="14356" max="14589" width="9.140625" style="162"/>
    <col min="14590" max="14591" width="2.7109375" style="162" customWidth="1"/>
    <col min="14592" max="14594" width="12" style="162" customWidth="1"/>
    <col min="14595" max="14596" width="9.140625" style="162"/>
    <col min="14597" max="14597" width="0.85546875" style="162" customWidth="1"/>
    <col min="14598" max="14611" width="7.7109375" style="162" customWidth="1"/>
    <col min="14612" max="14845" width="9.140625" style="162"/>
    <col min="14846" max="14847" width="2.7109375" style="162" customWidth="1"/>
    <col min="14848" max="14850" width="12" style="162" customWidth="1"/>
    <col min="14851" max="14852" width="9.140625" style="162"/>
    <col min="14853" max="14853" width="0.85546875" style="162" customWidth="1"/>
    <col min="14854" max="14867" width="7.7109375" style="162" customWidth="1"/>
    <col min="14868" max="15101" width="9.140625" style="162"/>
    <col min="15102" max="15103" width="2.7109375" style="162" customWidth="1"/>
    <col min="15104" max="15106" width="12" style="162" customWidth="1"/>
    <col min="15107" max="15108" width="9.140625" style="162"/>
    <col min="15109" max="15109" width="0.85546875" style="162" customWidth="1"/>
    <col min="15110" max="15123" width="7.7109375" style="162" customWidth="1"/>
    <col min="15124" max="15357" width="9.140625" style="162"/>
    <col min="15358" max="15359" width="2.7109375" style="162" customWidth="1"/>
    <col min="15360" max="15362" width="12" style="162" customWidth="1"/>
    <col min="15363" max="15364" width="9.140625" style="162"/>
    <col min="15365" max="15365" width="0.85546875" style="162" customWidth="1"/>
    <col min="15366" max="15379" width="7.7109375" style="162" customWidth="1"/>
    <col min="15380" max="15613" width="9.140625" style="162"/>
    <col min="15614" max="15615" width="2.7109375" style="162" customWidth="1"/>
    <col min="15616" max="15618" width="12" style="162" customWidth="1"/>
    <col min="15619" max="15620" width="9.140625" style="162"/>
    <col min="15621" max="15621" width="0.85546875" style="162" customWidth="1"/>
    <col min="15622" max="15635" width="7.7109375" style="162" customWidth="1"/>
    <col min="15636" max="15869" width="9.140625" style="162"/>
    <col min="15870" max="15871" width="2.7109375" style="162" customWidth="1"/>
    <col min="15872" max="15874" width="12" style="162" customWidth="1"/>
    <col min="15875" max="15876" width="9.140625" style="162"/>
    <col min="15877" max="15877" width="0.85546875" style="162" customWidth="1"/>
    <col min="15878" max="15891" width="7.7109375" style="162" customWidth="1"/>
    <col min="15892" max="16125" width="9.140625" style="162"/>
    <col min="16126" max="16127" width="2.7109375" style="162" customWidth="1"/>
    <col min="16128" max="16130" width="12" style="162" customWidth="1"/>
    <col min="16131" max="16132" width="9.140625" style="162"/>
    <col min="16133" max="16133" width="0.85546875" style="162" customWidth="1"/>
    <col min="16134" max="16147" width="7.7109375" style="162" customWidth="1"/>
    <col min="16148" max="16384" width="9.140625" style="162"/>
  </cols>
  <sheetData>
    <row r="1" spans="1:21" ht="13.5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5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5.9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5.9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144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>'DCF input'!O24</f>
        <v>1497.9592598104077</v>
      </c>
      <c r="P9" s="213">
        <f>'DCF input'!P24</f>
        <v>1521.9266079673744</v>
      </c>
      <c r="Q9" s="213">
        <f>'DCF input'!Q24</f>
        <v>1543.2335804789177</v>
      </c>
      <c r="R9" s="213">
        <f>'DCF input'!R24</f>
        <v>1561.7523834446647</v>
      </c>
      <c r="S9" s="213">
        <f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si="10"/>
        <v>1.8000000000000016E-2</v>
      </c>
      <c r="P10" s="215">
        <f t="shared" si="10"/>
        <v>1.6000000000000014E-2</v>
      </c>
      <c r="Q10" s="215">
        <f t="shared" si="10"/>
        <v>1.4000000000000012E-2</v>
      </c>
      <c r="R10" s="215">
        <f t="shared" si="10"/>
        <v>1.2000000000000011E-2</v>
      </c>
      <c r="S10" s="215">
        <f t="shared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-47.195257615808728</v>
      </c>
      <c r="L14" s="217">
        <f>'DCF input'!L31</f>
        <v>-51.82954358756416</v>
      </c>
      <c r="M14" s="217">
        <f>'DCF input'!M31</f>
        <v>-54.799912142159201</v>
      </c>
      <c r="N14" s="217">
        <f ca="1">'DCF input'!N31</f>
        <v>-53.583262142159185</v>
      </c>
      <c r="O14" s="217">
        <f ca="1">'DCF input'!O31</f>
        <v>-52.366612142159198</v>
      </c>
      <c r="P14" s="217">
        <f ca="1">'DCF input'!P31</f>
        <v>-51.149962142159197</v>
      </c>
      <c r="Q14" s="217">
        <f ca="1">'DCF input'!Q31</f>
        <v>-49.933312142159195</v>
      </c>
      <c r="R14" s="217">
        <f ca="1">'DCF input'!R31</f>
        <v>-48.716662142159194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3.4860359237571976E-2</v>
      </c>
      <c r="L15" s="215">
        <f t="shared" si="13"/>
        <v>3.5819227290854523E-2</v>
      </c>
      <c r="M15" s="215">
        <f t="shared" si="13"/>
        <v>3.7986371391124714E-2</v>
      </c>
      <c r="N15" s="215">
        <f t="shared" ca="1" si="13"/>
        <v>3.6414715889951509E-2</v>
      </c>
      <c r="O15" s="215">
        <f t="shared" ca="1" si="13"/>
        <v>3.4958635756747541E-2</v>
      </c>
      <c r="P15" s="215">
        <f t="shared" ca="1" si="13"/>
        <v>3.3608691690115787E-2</v>
      </c>
      <c r="Q15" s="215">
        <f t="shared" ca="1" si="13"/>
        <v>3.235628927065156E-2</v>
      </c>
      <c r="R15" s="215">
        <f t="shared" ca="1" si="13"/>
        <v>3.1193589110911257E-2</v>
      </c>
      <c r="S15" s="215">
        <f t="shared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0.94390515231617456</v>
      </c>
      <c r="L16" s="215">
        <f t="shared" ref="L16:S16" si="14">+L14/L21</f>
        <v>1.0365908717512833</v>
      </c>
      <c r="M16" s="215">
        <f t="shared" si="14"/>
        <v>1.095998242843184</v>
      </c>
      <c r="N16" s="215">
        <f t="shared" ca="1" si="14"/>
        <v>1.0716652428431837</v>
      </c>
      <c r="O16" s="215">
        <f t="shared" ca="1" si="14"/>
        <v>1.0473322428431839</v>
      </c>
      <c r="P16" s="215">
        <f t="shared" ca="1" si="14"/>
        <v>1.022999242843184</v>
      </c>
      <c r="Q16" s="215">
        <f t="shared" ca="1" si="14"/>
        <v>0.99866624284318395</v>
      </c>
      <c r="R16" s="215">
        <f t="shared" ca="1" si="14"/>
        <v>0.9743332428431839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76.921739064099768</v>
      </c>
      <c r="O17" s="217">
        <f t="shared" ca="1" si="15"/>
        <v>80.879927516805395</v>
      </c>
      <c r="P17" s="217">
        <f t="shared" ca="1" si="15"/>
        <v>84.627249757237749</v>
      </c>
      <c r="Q17" s="217">
        <f t="shared" ca="1" si="15"/>
        <v>88.149090516200658</v>
      </c>
      <c r="R17" s="217">
        <f t="shared" ca="1" si="15"/>
        <v>91.431890857980804</v>
      </c>
      <c r="S17" s="217">
        <f t="shared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5.2275340503696054E-2</v>
      </c>
      <c r="O18" s="215">
        <f t="shared" ca="1" si="16"/>
        <v>5.3993409358170479E-2</v>
      </c>
      <c r="P18" s="215">
        <f t="shared" ca="1" si="16"/>
        <v>5.5605342146072725E-2</v>
      </c>
      <c r="Q18" s="215">
        <f t="shared" ca="1" si="16"/>
        <v>5.7119733286807438E-2</v>
      </c>
      <c r="R18" s="215">
        <f t="shared" ca="1" si="16"/>
        <v>5.8544422167818244E-2</v>
      </c>
      <c r="S18" s="215">
        <f t="shared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-13.076695640896961</v>
      </c>
      <c r="O19" s="217">
        <f t="shared" ca="1" si="17"/>
        <v>-13.749587677856919</v>
      </c>
      <c r="P19" s="217">
        <f t="shared" ca="1" si="17"/>
        <v>-14.386632458730418</v>
      </c>
      <c r="Q19" s="217">
        <f t="shared" ca="1" si="17"/>
        <v>-14.985345387754114</v>
      </c>
      <c r="R19" s="217">
        <f t="shared" ca="1" si="17"/>
        <v>-15.543421445856739</v>
      </c>
      <c r="S19" s="217">
        <f t="shared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si="19"/>
        <v>3.3378744897460261E-2</v>
      </c>
      <c r="P22" s="215">
        <f t="shared" si="19"/>
        <v>3.2853095371516004E-2</v>
      </c>
      <c r="Q22" s="215">
        <f t="shared" si="19"/>
        <v>3.239950233877318E-2</v>
      </c>
      <c r="R22" s="215">
        <f t="shared" si="19"/>
        <v>3.2015318516574284E-2</v>
      </c>
      <c r="S22" s="215">
        <f t="shared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-4.0999999999999996</v>
      </c>
      <c r="K23" s="217">
        <f>'DCF input'!K52</f>
        <v>-4.0999999999999996</v>
      </c>
      <c r="L23" s="217">
        <f>'DCF input'!L52</f>
        <v>-4.0999999999999996</v>
      </c>
      <c r="M23" s="217">
        <f>'DCF input'!M52</f>
        <v>-4.0999999999999996</v>
      </c>
      <c r="N23" s="217">
        <f>'DCF input'!N52</f>
        <v>0</v>
      </c>
      <c r="O23" s="217">
        <f>'DCF input'!O52</f>
        <v>0</v>
      </c>
      <c r="P23" s="217">
        <f>'DCF input'!P52</f>
        <v>0</v>
      </c>
      <c r="Q23" s="217">
        <f>'DCF input'!Q52</f>
        <v>0</v>
      </c>
      <c r="R23" s="217">
        <f>'DCF input'!R52</f>
        <v>0</v>
      </c>
      <c r="S23" s="217">
        <f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si="20"/>
        <v>3.3378744897460265E-3</v>
      </c>
      <c r="P25" s="215">
        <f t="shared" si="20"/>
        <v>3.2853095371516007E-3</v>
      </c>
      <c r="Q25" s="215">
        <f t="shared" si="20"/>
        <v>3.2399502338773178E-3</v>
      </c>
      <c r="R25" s="215">
        <f t="shared" si="20"/>
        <v>3.2015318516574287E-3</v>
      </c>
      <c r="S25" s="215">
        <f t="shared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1.1384540263188825</v>
      </c>
      <c r="M26" s="217">
        <f>'DCF input'!M58</f>
        <v>0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-7.8678183727415307E-4</v>
      </c>
      <c r="M27" s="215">
        <f t="shared" si="21"/>
        <v>0</v>
      </c>
      <c r="N27" s="215">
        <f t="shared" si="21"/>
        <v>0</v>
      </c>
      <c r="O27" s="215">
        <f t="shared" si="21"/>
        <v>0</v>
      </c>
      <c r="P27" s="215">
        <f t="shared" si="21"/>
        <v>0</v>
      </c>
      <c r="Q27" s="215">
        <f t="shared" si="21"/>
        <v>0</v>
      </c>
      <c r="R27" s="215">
        <f t="shared" si="21"/>
        <v>0</v>
      </c>
      <c r="S27" s="215">
        <f t="shared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10.651934457705284</v>
      </c>
      <c r="K28" s="213">
        <f t="shared" ref="K28:S28" si="22">K17+K19-K14+K21+K23+K24+K26</f>
        <v>34.961766828577431</v>
      </c>
      <c r="L28" s="213">
        <f t="shared" si="22"/>
        <v>54.097277482142893</v>
      </c>
      <c r="M28" s="213">
        <f t="shared" si="22"/>
        <v>56.097532428753787</v>
      </c>
      <c r="N28" s="213">
        <f t="shared" ca="1" si="22"/>
        <v>62.428305565361995</v>
      </c>
      <c r="O28" s="213">
        <f t="shared" ca="1" si="22"/>
        <v>64.496951981107671</v>
      </c>
      <c r="P28" s="213">
        <f t="shared" ca="1" si="22"/>
        <v>66.390579440666528</v>
      </c>
      <c r="Q28" s="213">
        <f t="shared" ca="1" si="22"/>
        <v>68.097057270605745</v>
      </c>
      <c r="R28" s="213">
        <f t="shared" ca="1" si="22"/>
        <v>69.605131554283261</v>
      </c>
      <c r="S28" s="213">
        <f t="shared" si="22"/>
        <v>70.904532073749621</v>
      </c>
      <c r="T28" s="213">
        <f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9.817451113092428</v>
      </c>
      <c r="K31" s="222">
        <f t="shared" ref="K31:S31" si="25">K30*K28</f>
        <v>29.698457668311015</v>
      </c>
      <c r="L31" s="222">
        <f t="shared" si="25"/>
        <v>42.353196643823999</v>
      </c>
      <c r="M31" s="222">
        <f t="shared" si="25"/>
        <v>40.478536811476317</v>
      </c>
      <c r="N31" s="222">
        <f t="shared" ca="1" si="25"/>
        <v>41.517658899896006</v>
      </c>
      <c r="O31" s="222">
        <f t="shared" ca="1" si="25"/>
        <v>39.533090074737046</v>
      </c>
      <c r="P31" s="222">
        <f t="shared" ca="1" si="25"/>
        <v>37.505787769103293</v>
      </c>
      <c r="Q31" s="222">
        <f t="shared" ca="1" si="25"/>
        <v>35.456057200226205</v>
      </c>
      <c r="R31" s="222">
        <f t="shared" ca="1" si="25"/>
        <v>33.402087930529497</v>
      </c>
      <c r="S31" s="222">
        <f t="shared" si="25"/>
        <v>31.360040396235206</v>
      </c>
      <c r="T31" s="222">
        <f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7" t="str">
        <f>"Value Based on "&amp;TEXT(K40,"#0.0%")&amp;" WACC &amp; "&amp;TEXT(N37,"#0.0%")&amp;" TGR"</f>
        <v>Value Based on 8.5% WACC &amp; 0.5% TGR</v>
      </c>
      <c r="D35" s="357"/>
      <c r="E35" s="357"/>
      <c r="F35" s="182" t="s">
        <v>91</v>
      </c>
      <c r="G35" s="182" t="s">
        <v>92</v>
      </c>
      <c r="H35" s="159"/>
      <c r="I35" s="38"/>
      <c r="J35" s="191" t="s">
        <v>145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8"/>
      <c r="D36" s="358"/>
      <c r="E36" s="358"/>
      <c r="F36" s="291" t="s">
        <v>142</v>
      </c>
      <c r="G36" s="171" t="s">
        <v>93</v>
      </c>
      <c r="H36" s="159"/>
      <c r="I36" s="38"/>
      <c r="J36" s="167"/>
      <c r="K36" s="182"/>
      <c r="L36" s="361" t="s">
        <v>94</v>
      </c>
      <c r="M36" s="361"/>
      <c r="N36" s="361"/>
      <c r="O36" s="361"/>
      <c r="P36" s="361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341.12236450743103</v>
      </c>
      <c r="G37" s="224">
        <f ca="1">F37/F$39</f>
        <v>0.46405973735479572</v>
      </c>
      <c r="H37" s="159"/>
      <c r="I37" s="38"/>
      <c r="J37" s="359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>T31</f>
        <v>393.96050747770471</v>
      </c>
      <c r="G38" s="224">
        <f ca="1">F38/F$39</f>
        <v>0.53594026264520422</v>
      </c>
      <c r="H38" s="159"/>
      <c r="I38" s="38"/>
      <c r="J38" s="359"/>
      <c r="K38" s="236">
        <f>'DCF input'!E95</f>
        <v>7.4999999999999997E-2</v>
      </c>
      <c r="L38" s="237" t="str">
        <f>CONCATENATE(ROUND('DCF input'!F95,)," / ",ROUND('DCF input'!F104,0),"c")</f>
        <v>819 / 369c</v>
      </c>
      <c r="M38" s="238" t="str">
        <f>CONCATENATE(ROUND('DCF input'!G95,)," / ",ROUND('DCF input'!G104,0),"c")</f>
        <v>836 / 377c</v>
      </c>
      <c r="N38" s="238" t="str">
        <f>CONCATENATE(ROUND('DCF input'!H95,)," / ",ROUND('DCF input'!H104,0),"c")</f>
        <v>854 / 387c</v>
      </c>
      <c r="O38" s="238" t="str">
        <f>CONCATENATE(ROUND('DCF input'!I95,)," / ",ROUND('DCF input'!I104,0),"c")</f>
        <v>873 / 396c</v>
      </c>
      <c r="P38" s="238" t="str">
        <f>CONCATENATE(ROUND('DCF input'!J95,)," / ",ROUND('DCF input'!J104,0),"c")</f>
        <v>894 / 407c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735.08287198513574</v>
      </c>
      <c r="G39" s="226">
        <f ca="1">F39/F$39</f>
        <v>1</v>
      </c>
      <c r="H39" s="159"/>
      <c r="I39" s="38"/>
      <c r="J39" s="359"/>
      <c r="K39" s="236">
        <f>'DCF input'!E96</f>
        <v>0.08</v>
      </c>
      <c r="L39" s="238" t="str">
        <f>CONCATENATE(ROUND('DCF input'!F96,)," / ",ROUND('DCF input'!F105,0),"c")</f>
        <v>761 / 340c</v>
      </c>
      <c r="M39" s="239" t="str">
        <f>CONCATENATE(ROUND('DCF input'!G96,)," / ",ROUND('DCF input'!G105,0),"c")</f>
        <v>775 / 347c</v>
      </c>
      <c r="N39" s="239" t="str">
        <f>CONCATENATE(ROUND('DCF input'!H96,)," / ",ROUND('DCF input'!H105,0),"c")</f>
        <v>790 / 355c</v>
      </c>
      <c r="O39" s="239" t="str">
        <f>CONCATENATE(ROUND('DCF input'!I96,)," / ",ROUND('DCF input'!I105,0),"c")</f>
        <v>807 / 363c</v>
      </c>
      <c r="P39" s="238" t="str">
        <f>CONCATENATE(ROUND('DCF input'!J96,)," / ",ROUND('DCF input'!J105,0),"c")</f>
        <v>824 / 372c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59"/>
      <c r="K40" s="236">
        <f>'DCF input'!E97</f>
        <v>8.5000000000000006E-2</v>
      </c>
      <c r="L40" s="238" t="str">
        <f>CONCATENATE(ROUND('DCF input'!F97,)," / ",ROUND('DCF input'!F106,0),"c")</f>
        <v>710 / 314c</v>
      </c>
      <c r="M40" s="239" t="str">
        <f>CONCATENATE(ROUND('DCF input'!G97,)," / ",ROUND('DCF input'!G106,0),"c")</f>
        <v>722 / 320c</v>
      </c>
      <c r="N40" s="240" t="str">
        <f>CONCATENATE(ROUND('DCF input'!H97,)," / ",ROUND('DCF input'!H106,0),"c")</f>
        <v>735 / 327c</v>
      </c>
      <c r="O40" s="239" t="str">
        <f>CONCATENATE(ROUND('DCF input'!I97,)," / ",ROUND('DCF input'!I106,0),"c")</f>
        <v>749 / 334c</v>
      </c>
      <c r="P40" s="238" t="str">
        <f>CONCATENATE(ROUND('DCF input'!J97,)," / ",ROUND('DCF input'!J106,0),"c")</f>
        <v>763 / 341c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650.46605844555074</v>
      </c>
      <c r="G41" s="226"/>
      <c r="H41" s="159"/>
      <c r="I41" s="38"/>
      <c r="J41" s="359"/>
      <c r="K41" s="236">
        <f>'DCF input'!E98</f>
        <v>9.0000000000000011E-2</v>
      </c>
      <c r="L41" s="238" t="str">
        <f>CONCATENATE(ROUND('DCF input'!F98,)," / ",ROUND('DCF input'!F107,0),"c")</f>
        <v>665 / 292c</v>
      </c>
      <c r="M41" s="239" t="str">
        <f>CONCATENATE(ROUND('DCF input'!G98,)," / ",ROUND('DCF input'!G107,0),"c")</f>
        <v>675 / 297c</v>
      </c>
      <c r="N41" s="239" t="str">
        <f>CONCATENATE(ROUND('DCF input'!H98,)," / ",ROUND('DCF input'!H107,0),"c")</f>
        <v>686 / 302c</v>
      </c>
      <c r="O41" s="239" t="str">
        <f>CONCATENATE(ROUND('DCF input'!I98,)," / ",ROUND('DCF input'!I107,0),"c")</f>
        <v>698 / 308c</v>
      </c>
      <c r="P41" s="238" t="str">
        <f>CONCATENATE(ROUND('DCF input'!J98,)," / ",ROUND('DCF input'!J107,0),"c")</f>
        <v>710 / 314c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150</v>
      </c>
      <c r="D42" s="185"/>
      <c r="E42" s="185"/>
      <c r="F42" s="227">
        <f ca="1">+F41/Assumptions!D17*100</f>
        <v>326.86736605304054</v>
      </c>
      <c r="G42" s="229"/>
      <c r="H42" s="159"/>
      <c r="I42" s="38"/>
      <c r="J42" s="360"/>
      <c r="K42" s="241">
        <f>'DCF input'!E99</f>
        <v>9.5000000000000015E-2</v>
      </c>
      <c r="L42" s="242" t="str">
        <f>CONCATENATE(ROUND('DCF input'!F99,)," / ",ROUND('DCF input'!F108,0),"c")</f>
        <v>625 / 271c</v>
      </c>
      <c r="M42" s="242" t="str">
        <f>CONCATENATE(ROUND('DCF input'!G99,)," / ",ROUND('DCF input'!G108,0),"c")</f>
        <v>634 / 276c</v>
      </c>
      <c r="N42" s="242" t="str">
        <f>CONCATENATE(ROUND('DCF input'!H99,)," / ",ROUND('DCF input'!H108,0),"c")</f>
        <v>643 / 281c</v>
      </c>
      <c r="O42" s="242" t="str">
        <f>CONCATENATE(ROUND('DCF input'!I99,)," / ",ROUND('DCF input'!I108,0),"c")</f>
        <v>653 / 286c</v>
      </c>
      <c r="P42" s="242" t="str">
        <f>CONCATENATE(ROUND('DCF input'!J99,)," / ",ROUND('DCF input'!J108,0),"c")</f>
        <v>664 / 291c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0.9810143397153972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5.9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Konrad Maciejny</cp:lastModifiedBy>
  <cp:lastPrinted>2019-02-04T16:32:05Z</cp:lastPrinted>
  <dcterms:created xsi:type="dcterms:W3CDTF">2010-12-03T17:25:22Z</dcterms:created>
  <dcterms:modified xsi:type="dcterms:W3CDTF">2025-02-23T13:15:57Z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