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tstarr/Documents/dms-ab/protocols/"/>
    </mc:Choice>
  </mc:AlternateContent>
  <xr:revisionPtr revIDLastSave="0" documentId="13_ncr:1_{3152195E-A8C2-0F4F-8C61-3D3171A2B651}" xr6:coauthVersionLast="45" xr6:coauthVersionMax="45" xr10:uidLastSave="{00000000-0000-0000-0000-000000000000}"/>
  <bookViews>
    <workbookView xWindow="8580" yWindow="460" windowWidth="24360" windowHeight="13660" activeTab="2" xr2:uid="{00000000-000D-0000-FFFF-FFFF00000000}"/>
  </bookViews>
  <sheets>
    <sheet name="primary solution calculations" sheetId="1" r:id="rId1"/>
    <sheet name="Sorting counts and plate layout" sheetId="2" r:id="rId2"/>
    <sheet name="Illumina Pre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1" l="1"/>
  <c r="Q12" i="1"/>
  <c r="D3" i="1"/>
  <c r="R3" i="1"/>
  <c r="Q3" i="1"/>
  <c r="Z97" i="3"/>
  <c r="Y97" i="3"/>
  <c r="X97" i="3"/>
  <c r="W97" i="3"/>
  <c r="V97" i="3"/>
  <c r="U97" i="3"/>
  <c r="T97" i="3"/>
  <c r="S97" i="3"/>
  <c r="R94" i="3"/>
  <c r="Z93" i="3"/>
  <c r="Y93" i="3"/>
  <c r="V93" i="3"/>
  <c r="U93" i="3"/>
  <c r="R93" i="3"/>
  <c r="Q93" i="3"/>
  <c r="Z92" i="3"/>
  <c r="Y92" i="3"/>
  <c r="V92" i="3"/>
  <c r="U92" i="3"/>
  <c r="R92" i="3"/>
  <c r="Q92" i="3"/>
  <c r="H70" i="3"/>
  <c r="J70" i="3" s="1"/>
  <c r="G70" i="3"/>
  <c r="E70" i="3"/>
  <c r="D70" i="3"/>
  <c r="J69" i="3"/>
  <c r="I69" i="3"/>
  <c r="F69" i="3"/>
  <c r="AC68" i="3"/>
  <c r="J68" i="3"/>
  <c r="I68" i="3"/>
  <c r="F68" i="3"/>
  <c r="J67" i="3"/>
  <c r="I67" i="3"/>
  <c r="F67" i="3"/>
  <c r="J66" i="3"/>
  <c r="I66" i="3"/>
  <c r="F66" i="3"/>
  <c r="J65" i="3"/>
  <c r="I65" i="3"/>
  <c r="F65" i="3"/>
  <c r="J64" i="3"/>
  <c r="I64" i="3"/>
  <c r="F64" i="3"/>
  <c r="J63" i="3"/>
  <c r="I63" i="3"/>
  <c r="F63" i="3"/>
  <c r="J62" i="3"/>
  <c r="I62" i="3"/>
  <c r="F62" i="3"/>
  <c r="J61" i="3"/>
  <c r="I61" i="3"/>
  <c r="F61" i="3"/>
  <c r="J60" i="3"/>
  <c r="I60" i="3"/>
  <c r="F60" i="3"/>
  <c r="J59" i="3"/>
  <c r="I59" i="3"/>
  <c r="F59" i="3"/>
  <c r="AA58" i="3"/>
  <c r="AA59" i="3" s="1"/>
  <c r="AA60" i="3" s="1"/>
  <c r="AA61" i="3" s="1"/>
  <c r="AA62" i="3" s="1"/>
  <c r="AA63" i="3" s="1"/>
  <c r="AA64" i="3" s="1"/>
  <c r="AA65" i="3" s="1"/>
  <c r="AA66" i="3" s="1"/>
  <c r="AA67" i="3" s="1"/>
  <c r="J58" i="3"/>
  <c r="I58" i="3"/>
  <c r="F58" i="3"/>
  <c r="AA57" i="3"/>
  <c r="J57" i="3"/>
  <c r="I57" i="3"/>
  <c r="F57" i="3"/>
  <c r="J56" i="3"/>
  <c r="I56" i="3"/>
  <c r="F56" i="3"/>
  <c r="J55" i="3"/>
  <c r="I55" i="3"/>
  <c r="F55" i="3"/>
  <c r="J54" i="3"/>
  <c r="I54" i="3"/>
  <c r="F54" i="3"/>
  <c r="Z53" i="3"/>
  <c r="Y53" i="3"/>
  <c r="X53" i="3"/>
  <c r="W53" i="3"/>
  <c r="V53" i="3"/>
  <c r="U53" i="3"/>
  <c r="T53" i="3"/>
  <c r="S53" i="3"/>
  <c r="R53" i="3"/>
  <c r="Q53" i="3"/>
  <c r="P53" i="3"/>
  <c r="O53" i="3"/>
  <c r="J53" i="3"/>
  <c r="I53" i="3"/>
  <c r="F53" i="3"/>
  <c r="Z52" i="3"/>
  <c r="Y52" i="3"/>
  <c r="X52" i="3"/>
  <c r="W52" i="3"/>
  <c r="V52" i="3"/>
  <c r="U52" i="3"/>
  <c r="T52" i="3"/>
  <c r="S52" i="3"/>
  <c r="R52" i="3"/>
  <c r="Q52" i="3"/>
  <c r="P52" i="3"/>
  <c r="O52" i="3"/>
  <c r="J52" i="3"/>
  <c r="I52" i="3"/>
  <c r="F52" i="3"/>
  <c r="Z51" i="3"/>
  <c r="Z61" i="3" s="1"/>
  <c r="Z77" i="3" s="1"/>
  <c r="Z87" i="3" s="1"/>
  <c r="Y51" i="3"/>
  <c r="X51" i="3"/>
  <c r="W51" i="3"/>
  <c r="V51" i="3"/>
  <c r="V61" i="3" s="1"/>
  <c r="V77" i="3" s="1"/>
  <c r="V87" i="3" s="1"/>
  <c r="U51" i="3"/>
  <c r="T51" i="3"/>
  <c r="S51" i="3"/>
  <c r="R51" i="3"/>
  <c r="R61" i="3" s="1"/>
  <c r="R77" i="3" s="1"/>
  <c r="R87" i="3" s="1"/>
  <c r="Q51" i="3"/>
  <c r="P51" i="3"/>
  <c r="O51" i="3"/>
  <c r="J51" i="3"/>
  <c r="I51" i="3"/>
  <c r="F51" i="3"/>
  <c r="Z50" i="3"/>
  <c r="Y50" i="3"/>
  <c r="Y60" i="3" s="1"/>
  <c r="Y76" i="3" s="1"/>
  <c r="Y86" i="3" s="1"/>
  <c r="X50" i="3"/>
  <c r="W50" i="3"/>
  <c r="V50" i="3"/>
  <c r="U50" i="3"/>
  <c r="U60" i="3" s="1"/>
  <c r="U76" i="3" s="1"/>
  <c r="U86" i="3" s="1"/>
  <c r="T50" i="3"/>
  <c r="S50" i="3"/>
  <c r="R50" i="3"/>
  <c r="Q50" i="3"/>
  <c r="Q60" i="3" s="1"/>
  <c r="Q76" i="3" s="1"/>
  <c r="Q86" i="3" s="1"/>
  <c r="P50" i="3"/>
  <c r="O50" i="3"/>
  <c r="J50" i="3"/>
  <c r="I50" i="3"/>
  <c r="F50" i="3"/>
  <c r="Z49" i="3"/>
  <c r="Y49" i="3"/>
  <c r="X49" i="3"/>
  <c r="X59" i="3" s="1"/>
  <c r="X75" i="3" s="1"/>
  <c r="X85" i="3" s="1"/>
  <c r="W49" i="3"/>
  <c r="V49" i="3"/>
  <c r="U49" i="3"/>
  <c r="T49" i="3"/>
  <c r="T59" i="3" s="1"/>
  <c r="T75" i="3" s="1"/>
  <c r="T85" i="3" s="1"/>
  <c r="S49" i="3"/>
  <c r="R49" i="3"/>
  <c r="Q49" i="3"/>
  <c r="P49" i="3"/>
  <c r="P59" i="3" s="1"/>
  <c r="P75" i="3" s="1"/>
  <c r="P85" i="3" s="1"/>
  <c r="O49" i="3"/>
  <c r="J49" i="3"/>
  <c r="I49" i="3"/>
  <c r="F49" i="3"/>
  <c r="Z48" i="3"/>
  <c r="Y48" i="3"/>
  <c r="X48" i="3"/>
  <c r="W48" i="3"/>
  <c r="W58" i="3" s="1"/>
  <c r="W74" i="3" s="1"/>
  <c r="W84" i="3" s="1"/>
  <c r="V48" i="3"/>
  <c r="U48" i="3"/>
  <c r="T48" i="3"/>
  <c r="S48" i="3"/>
  <c r="S58" i="3" s="1"/>
  <c r="S74" i="3" s="1"/>
  <c r="S84" i="3" s="1"/>
  <c r="R48" i="3"/>
  <c r="Q48" i="3"/>
  <c r="P48" i="3"/>
  <c r="O48" i="3"/>
  <c r="O58" i="3" s="1"/>
  <c r="O74" i="3" s="1"/>
  <c r="O84" i="3" s="1"/>
  <c r="J48" i="3"/>
  <c r="I48" i="3"/>
  <c r="F48" i="3"/>
  <c r="Z47" i="3"/>
  <c r="Z57" i="3" s="1"/>
  <c r="Z73" i="3" s="1"/>
  <c r="Z83" i="3" s="1"/>
  <c r="Y47" i="3"/>
  <c r="X47" i="3"/>
  <c r="W47" i="3"/>
  <c r="V47" i="3"/>
  <c r="V57" i="3" s="1"/>
  <c r="V73" i="3" s="1"/>
  <c r="V83" i="3" s="1"/>
  <c r="U47" i="3"/>
  <c r="T47" i="3"/>
  <c r="S47" i="3"/>
  <c r="R47" i="3"/>
  <c r="R57" i="3" s="1"/>
  <c r="R73" i="3" s="1"/>
  <c r="R83" i="3" s="1"/>
  <c r="Q47" i="3"/>
  <c r="P47" i="3"/>
  <c r="O47" i="3"/>
  <c r="J47" i="3"/>
  <c r="I47" i="3"/>
  <c r="F47" i="3"/>
  <c r="Z46" i="3"/>
  <c r="Y46" i="3"/>
  <c r="Y56" i="3" s="1"/>
  <c r="Y72" i="3" s="1"/>
  <c r="Y82" i="3" s="1"/>
  <c r="X46" i="3"/>
  <c r="W46" i="3"/>
  <c r="V46" i="3"/>
  <c r="U46" i="3"/>
  <c r="U56" i="3" s="1"/>
  <c r="U72" i="3" s="1"/>
  <c r="U82" i="3" s="1"/>
  <c r="T46" i="3"/>
  <c r="S46" i="3"/>
  <c r="R46" i="3"/>
  <c r="Q46" i="3"/>
  <c r="Q56" i="3" s="1"/>
  <c r="Q72" i="3" s="1"/>
  <c r="Q82" i="3" s="1"/>
  <c r="P46" i="3"/>
  <c r="O46" i="3"/>
  <c r="J46" i="3"/>
  <c r="I46" i="3"/>
  <c r="F46" i="3"/>
  <c r="J45" i="3"/>
  <c r="I45" i="3"/>
  <c r="F45" i="3"/>
  <c r="J44" i="3"/>
  <c r="I44" i="3"/>
  <c r="F44" i="3"/>
  <c r="J43" i="3"/>
  <c r="I43" i="3"/>
  <c r="F43" i="3"/>
  <c r="J42" i="3"/>
  <c r="I42" i="3"/>
  <c r="F42" i="3"/>
  <c r="J41" i="3"/>
  <c r="I41" i="3"/>
  <c r="F41" i="3"/>
  <c r="J40" i="3"/>
  <c r="I40" i="3"/>
  <c r="F40" i="3"/>
  <c r="J39" i="3"/>
  <c r="I39" i="3"/>
  <c r="F39" i="3"/>
  <c r="J38" i="3"/>
  <c r="I38" i="3"/>
  <c r="F38" i="3"/>
  <c r="J37" i="3"/>
  <c r="I37" i="3"/>
  <c r="F37" i="3"/>
  <c r="J36" i="3"/>
  <c r="I36" i="3"/>
  <c r="F36" i="3"/>
  <c r="J35" i="3"/>
  <c r="I35" i="3"/>
  <c r="F35" i="3"/>
  <c r="J34" i="3"/>
  <c r="I34" i="3"/>
  <c r="F34" i="3"/>
  <c r="J33" i="3"/>
  <c r="I33" i="3"/>
  <c r="F33" i="3"/>
  <c r="J32" i="3"/>
  <c r="I32" i="3"/>
  <c r="F32" i="3"/>
  <c r="J31" i="3"/>
  <c r="I31" i="3"/>
  <c r="F31" i="3"/>
  <c r="J30" i="3"/>
  <c r="I30" i="3"/>
  <c r="F30" i="3"/>
  <c r="J29" i="3"/>
  <c r="I29" i="3"/>
  <c r="F29" i="3"/>
  <c r="J28" i="3"/>
  <c r="I28" i="3"/>
  <c r="F28" i="3"/>
  <c r="J27" i="3"/>
  <c r="I27" i="3"/>
  <c r="F27" i="3"/>
  <c r="J26" i="3"/>
  <c r="I26" i="3"/>
  <c r="F26" i="3"/>
  <c r="J25" i="3"/>
  <c r="I25" i="3"/>
  <c r="F25" i="3"/>
  <c r="J24" i="3"/>
  <c r="I24" i="3"/>
  <c r="F24" i="3"/>
  <c r="J23" i="3"/>
  <c r="I23" i="3"/>
  <c r="F23" i="3"/>
  <c r="J22" i="3"/>
  <c r="I22" i="3"/>
  <c r="F22" i="3"/>
  <c r="J21" i="3"/>
  <c r="I21" i="3"/>
  <c r="F21" i="3"/>
  <c r="J20" i="3"/>
  <c r="I20" i="3"/>
  <c r="F20" i="3"/>
  <c r="J19" i="3"/>
  <c r="I19" i="3"/>
  <c r="F19" i="3"/>
  <c r="J18" i="3"/>
  <c r="I18" i="3"/>
  <c r="F18" i="3"/>
  <c r="J17" i="3"/>
  <c r="I17" i="3"/>
  <c r="F17" i="3"/>
  <c r="J16" i="3"/>
  <c r="I16" i="3"/>
  <c r="F16" i="3"/>
  <c r="J15" i="3"/>
  <c r="I15" i="3"/>
  <c r="F15" i="3"/>
  <c r="J14" i="3"/>
  <c r="I14" i="3"/>
  <c r="F14" i="3"/>
  <c r="J13" i="3"/>
  <c r="I13" i="3"/>
  <c r="F13" i="3"/>
  <c r="J12" i="3"/>
  <c r="I12" i="3"/>
  <c r="F12" i="3"/>
  <c r="J11" i="3"/>
  <c r="I11" i="3"/>
  <c r="F11" i="3"/>
  <c r="J10" i="3"/>
  <c r="I10" i="3"/>
  <c r="F10" i="3"/>
  <c r="J9" i="3"/>
  <c r="I9" i="3"/>
  <c r="F9" i="3"/>
  <c r="J8" i="3"/>
  <c r="I8" i="3"/>
  <c r="F8" i="3"/>
  <c r="J7" i="3"/>
  <c r="I7" i="3"/>
  <c r="F7" i="3"/>
  <c r="J6" i="3"/>
  <c r="I6" i="3"/>
  <c r="F6" i="3"/>
  <c r="J5" i="3"/>
  <c r="I5" i="3"/>
  <c r="F5" i="3"/>
  <c r="J4" i="3"/>
  <c r="I4" i="3"/>
  <c r="F4" i="3"/>
  <c r="J3" i="3"/>
  <c r="I3" i="3"/>
  <c r="F3" i="3"/>
  <c r="J2" i="3"/>
  <c r="I2" i="3"/>
  <c r="F2" i="3"/>
  <c r="J29" i="2"/>
  <c r="J28" i="2"/>
  <c r="C28" i="2"/>
  <c r="J27" i="2"/>
  <c r="C27" i="2"/>
  <c r="J26" i="2"/>
  <c r="C26" i="2"/>
  <c r="J25" i="2"/>
  <c r="C25" i="2"/>
  <c r="J24" i="2"/>
  <c r="C24" i="2"/>
  <c r="J23" i="2"/>
  <c r="C23" i="2"/>
  <c r="J22" i="2"/>
  <c r="C22" i="2"/>
  <c r="J21" i="2"/>
  <c r="C21" i="2"/>
  <c r="J20" i="2"/>
  <c r="C20" i="2"/>
  <c r="J19" i="2"/>
  <c r="C19" i="2"/>
  <c r="J18" i="2"/>
  <c r="C18" i="2"/>
  <c r="J17" i="2"/>
  <c r="C17" i="2"/>
  <c r="J16" i="2"/>
  <c r="C16" i="2"/>
  <c r="J15" i="2"/>
  <c r="C15" i="2"/>
  <c r="J14" i="2"/>
  <c r="J30" i="2" s="1"/>
  <c r="C14" i="2"/>
  <c r="L25" i="1"/>
  <c r="L26" i="1" s="1"/>
  <c r="Q18" i="1"/>
  <c r="P18" i="1"/>
  <c r="O18" i="1"/>
  <c r="P17" i="1"/>
  <c r="M17" i="1"/>
  <c r="D17" i="1"/>
  <c r="E17" i="1" s="1"/>
  <c r="C17" i="1"/>
  <c r="P16" i="1"/>
  <c r="M16" i="1"/>
  <c r="E16" i="1"/>
  <c r="D16" i="1"/>
  <c r="C16" i="1"/>
  <c r="P15" i="1"/>
  <c r="M15" i="1"/>
  <c r="D15" i="1"/>
  <c r="E15" i="1" s="1"/>
  <c r="C15" i="1"/>
  <c r="P14" i="1"/>
  <c r="M14" i="1"/>
  <c r="E14" i="1"/>
  <c r="D14" i="1"/>
  <c r="C14" i="1"/>
  <c r="P13" i="1"/>
  <c r="M13" i="1"/>
  <c r="D13" i="1"/>
  <c r="E13" i="1" s="1"/>
  <c r="C13" i="1"/>
  <c r="P12" i="1"/>
  <c r="M12" i="1"/>
  <c r="E12" i="1"/>
  <c r="D12" i="1"/>
  <c r="C12" i="1"/>
  <c r="P11" i="1"/>
  <c r="M11" i="1"/>
  <c r="D11" i="1"/>
  <c r="E11" i="1" s="1"/>
  <c r="C11" i="1"/>
  <c r="P10" i="1"/>
  <c r="M10" i="1"/>
  <c r="E10" i="1"/>
  <c r="D10" i="1"/>
  <c r="C10" i="1"/>
  <c r="P9" i="1"/>
  <c r="M9" i="1"/>
  <c r="D9" i="1"/>
  <c r="E9" i="1" s="1"/>
  <c r="C9" i="1"/>
  <c r="P8" i="1"/>
  <c r="M8" i="1"/>
  <c r="E8" i="1"/>
  <c r="D8" i="1"/>
  <c r="C8" i="1"/>
  <c r="P7" i="1"/>
  <c r="M7" i="1"/>
  <c r="D7" i="1"/>
  <c r="E7" i="1" s="1"/>
  <c r="C7" i="1"/>
  <c r="P6" i="1"/>
  <c r="M6" i="1"/>
  <c r="E6" i="1"/>
  <c r="D6" i="1"/>
  <c r="C6" i="1"/>
  <c r="R5" i="1"/>
  <c r="O5" i="1"/>
  <c r="P5" i="1" s="1"/>
  <c r="Q5" i="1" s="1"/>
  <c r="M5" i="1"/>
  <c r="C5" i="1"/>
  <c r="D5" i="1" s="1"/>
  <c r="E5" i="1" s="1"/>
  <c r="P4" i="1"/>
  <c r="M4" i="1"/>
  <c r="D4" i="1"/>
  <c r="E4" i="1" s="1"/>
  <c r="C4" i="1"/>
  <c r="P3" i="1"/>
  <c r="M3" i="1"/>
  <c r="E3" i="1"/>
  <c r="C3" i="1"/>
  <c r="B3" i="1"/>
  <c r="F17" i="1" s="1"/>
  <c r="G17" i="1" s="1"/>
  <c r="H17" i="1" s="1"/>
  <c r="I17" i="1" s="1"/>
  <c r="B2" i="1"/>
  <c r="F16" i="1" s="1"/>
  <c r="G16" i="1" s="1"/>
  <c r="H16" i="1" s="1"/>
  <c r="I16" i="1" s="1"/>
  <c r="R11" i="1" l="1"/>
  <c r="Q11" i="1" s="1"/>
  <c r="R7" i="1"/>
  <c r="Q7" i="1" s="1"/>
  <c r="L27" i="1"/>
  <c r="R14" i="1" s="1"/>
  <c r="Q14" i="1" s="1"/>
  <c r="R9" i="1"/>
  <c r="Q9" i="1" s="1"/>
  <c r="R6" i="1"/>
  <c r="Q6" i="1" s="1"/>
  <c r="R10" i="1"/>
  <c r="Q10" i="1" s="1"/>
  <c r="F3" i="1"/>
  <c r="G3" i="1" s="1"/>
  <c r="H3" i="1" s="1"/>
  <c r="I3" i="1" s="1"/>
  <c r="F4" i="1"/>
  <c r="G4" i="1" s="1"/>
  <c r="H4" i="1" s="1"/>
  <c r="I4" i="1" s="1"/>
  <c r="F7" i="1"/>
  <c r="G7" i="1" s="1"/>
  <c r="H7" i="1" s="1"/>
  <c r="I7" i="1" s="1"/>
  <c r="F11" i="1"/>
  <c r="G11" i="1" s="1"/>
  <c r="H11" i="1" s="1"/>
  <c r="I11" i="1" s="1"/>
  <c r="V63" i="3"/>
  <c r="AB63" i="3" s="1"/>
  <c r="AC63" i="3" s="1"/>
  <c r="Q63" i="3"/>
  <c r="AB58" i="3" s="1"/>
  <c r="AC58" i="3" s="1"/>
  <c r="X62" i="3"/>
  <c r="T62" i="3"/>
  <c r="P62" i="3"/>
  <c r="X60" i="3"/>
  <c r="X76" i="3" s="1"/>
  <c r="X86" i="3" s="1"/>
  <c r="T60" i="3"/>
  <c r="T76" i="3" s="1"/>
  <c r="T86" i="3" s="1"/>
  <c r="P60" i="3"/>
  <c r="P76" i="3" s="1"/>
  <c r="P86" i="3" s="1"/>
  <c r="X58" i="3"/>
  <c r="X74" i="3" s="1"/>
  <c r="X84" i="3" s="1"/>
  <c r="T58" i="3"/>
  <c r="T74" i="3" s="1"/>
  <c r="T84" i="3" s="1"/>
  <c r="P58" i="3"/>
  <c r="P74" i="3" s="1"/>
  <c r="P84" i="3" s="1"/>
  <c r="Z63" i="3"/>
  <c r="AB67" i="3" s="1"/>
  <c r="AC67" i="3" s="1"/>
  <c r="U63" i="3"/>
  <c r="AB62" i="3" s="1"/>
  <c r="AC62" i="3" s="1"/>
  <c r="O62" i="3"/>
  <c r="Y59" i="3"/>
  <c r="Y75" i="3" s="1"/>
  <c r="Y85" i="3" s="1"/>
  <c r="U59" i="3"/>
  <c r="U75" i="3" s="1"/>
  <c r="U85" i="3" s="1"/>
  <c r="Q59" i="3"/>
  <c r="Q75" i="3" s="1"/>
  <c r="Q85" i="3" s="1"/>
  <c r="Z56" i="3"/>
  <c r="Z72" i="3" s="1"/>
  <c r="Z82" i="3" s="1"/>
  <c r="V56" i="3"/>
  <c r="V72" i="3" s="1"/>
  <c r="V82" i="3" s="1"/>
  <c r="R56" i="3"/>
  <c r="R72" i="3" s="1"/>
  <c r="R82" i="3" s="1"/>
  <c r="S62" i="3"/>
  <c r="W62" i="3"/>
  <c r="P63" i="3"/>
  <c r="AB57" i="3" s="1"/>
  <c r="AC57" i="3" s="1"/>
  <c r="T63" i="3"/>
  <c r="AB61" i="3" s="1"/>
  <c r="AC61" i="3" s="1"/>
  <c r="X63" i="3"/>
  <c r="AB65" i="3" s="1"/>
  <c r="AC65" i="3" s="1"/>
  <c r="O56" i="3"/>
  <c r="O72" i="3" s="1"/>
  <c r="O82" i="3" s="1"/>
  <c r="S107" i="3"/>
  <c r="Q4" i="1"/>
  <c r="F6" i="1"/>
  <c r="G6" i="1" s="1"/>
  <c r="H6" i="1" s="1"/>
  <c r="I6" i="1" s="1"/>
  <c r="R8" i="1"/>
  <c r="Q8" i="1" s="1"/>
  <c r="F10" i="1"/>
  <c r="G10" i="1" s="1"/>
  <c r="H10" i="1" s="1"/>
  <c r="I10" i="1" s="1"/>
  <c r="R12" i="1"/>
  <c r="F14" i="1"/>
  <c r="G14" i="1" s="1"/>
  <c r="H14" i="1" s="1"/>
  <c r="I14" i="1" s="1"/>
  <c r="O57" i="3"/>
  <c r="O73" i="3" s="1"/>
  <c r="O83" i="3" s="1"/>
  <c r="S57" i="3"/>
  <c r="S73" i="3" s="1"/>
  <c r="S83" i="3" s="1"/>
  <c r="W57" i="3"/>
  <c r="W73" i="3" s="1"/>
  <c r="W83" i="3" s="1"/>
  <c r="R60" i="3"/>
  <c r="R76" i="3" s="1"/>
  <c r="R86" i="3" s="1"/>
  <c r="V60" i="3"/>
  <c r="V76" i="3" s="1"/>
  <c r="V86" i="3" s="1"/>
  <c r="Z60" i="3"/>
  <c r="Z76" i="3" s="1"/>
  <c r="Z86" i="3" s="1"/>
  <c r="O61" i="3"/>
  <c r="O77" i="3" s="1"/>
  <c r="O87" i="3" s="1"/>
  <c r="S61" i="3"/>
  <c r="S77" i="3" s="1"/>
  <c r="S87" i="3" s="1"/>
  <c r="W61" i="3"/>
  <c r="W77" i="3" s="1"/>
  <c r="W87" i="3" s="1"/>
  <c r="Y63" i="3"/>
  <c r="AB66" i="3" s="1"/>
  <c r="AC66" i="3" s="1"/>
  <c r="R4" i="1"/>
  <c r="F5" i="1"/>
  <c r="G5" i="1" s="1"/>
  <c r="H5" i="1" s="1"/>
  <c r="I5" i="1" s="1"/>
  <c r="S56" i="3"/>
  <c r="S72" i="3" s="1"/>
  <c r="S82" i="3" s="1"/>
  <c r="W56" i="3"/>
  <c r="W72" i="3" s="1"/>
  <c r="W82" i="3" s="1"/>
  <c r="P57" i="3"/>
  <c r="P73" i="3" s="1"/>
  <c r="P83" i="3" s="1"/>
  <c r="T57" i="3"/>
  <c r="T73" i="3" s="1"/>
  <c r="T83" i="3" s="1"/>
  <c r="X57" i="3"/>
  <c r="X73" i="3" s="1"/>
  <c r="X83" i="3" s="1"/>
  <c r="Q58" i="3"/>
  <c r="Q74" i="3" s="1"/>
  <c r="Q84" i="3" s="1"/>
  <c r="U58" i="3"/>
  <c r="U74" i="3" s="1"/>
  <c r="U84" i="3" s="1"/>
  <c r="Y58" i="3"/>
  <c r="Y74" i="3" s="1"/>
  <c r="Y84" i="3" s="1"/>
  <c r="R59" i="3"/>
  <c r="R75" i="3" s="1"/>
  <c r="R85" i="3" s="1"/>
  <c r="V59" i="3"/>
  <c r="V75" i="3" s="1"/>
  <c r="V85" i="3" s="1"/>
  <c r="Z59" i="3"/>
  <c r="Z75" i="3" s="1"/>
  <c r="Z85" i="3" s="1"/>
  <c r="O60" i="3"/>
  <c r="O76" i="3" s="1"/>
  <c r="O86" i="3" s="1"/>
  <c r="S60" i="3"/>
  <c r="S76" i="3" s="1"/>
  <c r="S86" i="3" s="1"/>
  <c r="W60" i="3"/>
  <c r="W76" i="3" s="1"/>
  <c r="W86" i="3" s="1"/>
  <c r="P61" i="3"/>
  <c r="P77" i="3" s="1"/>
  <c r="P87" i="3" s="1"/>
  <c r="T61" i="3"/>
  <c r="T77" i="3" s="1"/>
  <c r="T87" i="3" s="1"/>
  <c r="X61" i="3"/>
  <c r="X77" i="3" s="1"/>
  <c r="X87" i="3" s="1"/>
  <c r="Q62" i="3"/>
  <c r="U62" i="3"/>
  <c r="R63" i="3"/>
  <c r="AB59" i="3" s="1"/>
  <c r="AC59" i="3" s="1"/>
  <c r="F15" i="1"/>
  <c r="G15" i="1" s="1"/>
  <c r="H15" i="1" s="1"/>
  <c r="I15" i="1" s="1"/>
  <c r="F9" i="1"/>
  <c r="G9" i="1" s="1"/>
  <c r="H9" i="1" s="1"/>
  <c r="I9" i="1" s="1"/>
  <c r="F13" i="1"/>
  <c r="G13" i="1" s="1"/>
  <c r="H13" i="1" s="1"/>
  <c r="I13" i="1" s="1"/>
  <c r="F8" i="1"/>
  <c r="G8" i="1" s="1"/>
  <c r="H8" i="1" s="1"/>
  <c r="I8" i="1" s="1"/>
  <c r="F12" i="1"/>
  <c r="G12" i="1" s="1"/>
  <c r="H12" i="1" s="1"/>
  <c r="I12" i="1" s="1"/>
  <c r="P56" i="3"/>
  <c r="P72" i="3" s="1"/>
  <c r="P82" i="3" s="1"/>
  <c r="T56" i="3"/>
  <c r="T72" i="3" s="1"/>
  <c r="T82" i="3" s="1"/>
  <c r="X56" i="3"/>
  <c r="X72" i="3" s="1"/>
  <c r="X82" i="3" s="1"/>
  <c r="Q57" i="3"/>
  <c r="Q73" i="3" s="1"/>
  <c r="Q83" i="3" s="1"/>
  <c r="U57" i="3"/>
  <c r="U73" i="3" s="1"/>
  <c r="U83" i="3" s="1"/>
  <c r="Y57" i="3"/>
  <c r="Y73" i="3" s="1"/>
  <c r="Y83" i="3" s="1"/>
  <c r="R58" i="3"/>
  <c r="R74" i="3" s="1"/>
  <c r="R84" i="3" s="1"/>
  <c r="V58" i="3"/>
  <c r="V74" i="3" s="1"/>
  <c r="V84" i="3" s="1"/>
  <c r="Z58" i="3"/>
  <c r="Z74" i="3" s="1"/>
  <c r="Z84" i="3" s="1"/>
  <c r="O59" i="3"/>
  <c r="O75" i="3" s="1"/>
  <c r="O85" i="3" s="1"/>
  <c r="S59" i="3"/>
  <c r="S75" i="3" s="1"/>
  <c r="S85" i="3" s="1"/>
  <c r="W59" i="3"/>
  <c r="W75" i="3" s="1"/>
  <c r="W85" i="3" s="1"/>
  <c r="Q61" i="3"/>
  <c r="Q77" i="3" s="1"/>
  <c r="Q87" i="3" s="1"/>
  <c r="U61" i="3"/>
  <c r="U77" i="3" s="1"/>
  <c r="U87" i="3" s="1"/>
  <c r="Y61" i="3"/>
  <c r="Y77" i="3" s="1"/>
  <c r="Y87" i="3" s="1"/>
  <c r="R62" i="3"/>
  <c r="V62" i="3"/>
  <c r="Z62" i="3"/>
  <c r="O63" i="3"/>
  <c r="AB56" i="3" s="1"/>
  <c r="AC56" i="3" s="1"/>
  <c r="S63" i="3"/>
  <c r="AB60" i="3" s="1"/>
  <c r="AC60" i="3" s="1"/>
  <c r="W63" i="3"/>
  <c r="AB64" i="3" s="1"/>
  <c r="AC64" i="3" s="1"/>
  <c r="AA100" i="3"/>
  <c r="U102" i="3" s="1"/>
  <c r="U112" i="3" s="1"/>
  <c r="Z102" i="3"/>
  <c r="Z112" i="3" s="1"/>
  <c r="Y103" i="3"/>
  <c r="Y113" i="3" s="1"/>
  <c r="I70" i="3"/>
  <c r="V102" i="3"/>
  <c r="V112" i="3" s="1"/>
  <c r="U107" i="3"/>
  <c r="U117" i="3" s="1"/>
  <c r="Y107" i="3"/>
  <c r="Y117" i="3" s="1"/>
  <c r="Y62" i="3"/>
  <c r="F70" i="3"/>
  <c r="Q102" i="3"/>
  <c r="Q112" i="3" s="1"/>
  <c r="Y102" i="3"/>
  <c r="Y112" i="3" s="1"/>
  <c r="V107" i="3"/>
  <c r="V117" i="3" s="1"/>
  <c r="Z107" i="3"/>
  <c r="Z117" i="3" s="1"/>
  <c r="Q103" i="3" l="1"/>
  <c r="Q113" i="3" s="1"/>
  <c r="R104" i="3"/>
  <c r="R114" i="3" s="1"/>
  <c r="S117" i="3"/>
  <c r="L28" i="1"/>
  <c r="R15" i="1"/>
  <c r="Q15" i="1" s="1"/>
  <c r="R13" i="1"/>
  <c r="P107" i="3"/>
  <c r="P117" i="3" s="1"/>
  <c r="X106" i="3"/>
  <c r="X116" i="3" s="1"/>
  <c r="T106" i="3"/>
  <c r="T116" i="3" s="1"/>
  <c r="P106" i="3"/>
  <c r="P116" i="3" s="1"/>
  <c r="X105" i="3"/>
  <c r="X115" i="3" s="1"/>
  <c r="T105" i="3"/>
  <c r="T115" i="3" s="1"/>
  <c r="P105" i="3"/>
  <c r="P115" i="3" s="1"/>
  <c r="X104" i="3"/>
  <c r="X114" i="3" s="1"/>
  <c r="T104" i="3"/>
  <c r="T114" i="3" s="1"/>
  <c r="P104" i="3"/>
  <c r="P114" i="3" s="1"/>
  <c r="X103" i="3"/>
  <c r="X113" i="3" s="1"/>
  <c r="T103" i="3"/>
  <c r="T113" i="3" s="1"/>
  <c r="P103" i="3"/>
  <c r="P113" i="3" s="1"/>
  <c r="X102" i="3"/>
  <c r="X112" i="3" s="1"/>
  <c r="T102" i="3"/>
  <c r="T112" i="3" s="1"/>
  <c r="P102" i="3"/>
  <c r="P112" i="3" s="1"/>
  <c r="R107" i="3"/>
  <c r="R117" i="3" s="1"/>
  <c r="Z106" i="3"/>
  <c r="Z116" i="3" s="1"/>
  <c r="V106" i="3"/>
  <c r="V116" i="3" s="1"/>
  <c r="R106" i="3"/>
  <c r="R116" i="3" s="1"/>
  <c r="Z105" i="3"/>
  <c r="Z115" i="3" s="1"/>
  <c r="V105" i="3"/>
  <c r="V115" i="3" s="1"/>
  <c r="R105" i="3"/>
  <c r="R115" i="3" s="1"/>
  <c r="Z104" i="3"/>
  <c r="Z114" i="3" s="1"/>
  <c r="V104" i="3"/>
  <c r="V114" i="3" s="1"/>
  <c r="Q107" i="3"/>
  <c r="Q117" i="3" s="1"/>
  <c r="Y106" i="3"/>
  <c r="Y116" i="3" s="1"/>
  <c r="U106" i="3"/>
  <c r="U116" i="3" s="1"/>
  <c r="Q106" i="3"/>
  <c r="Q116" i="3" s="1"/>
  <c r="Y105" i="3"/>
  <c r="Y115" i="3" s="1"/>
  <c r="U105" i="3"/>
  <c r="U115" i="3" s="1"/>
  <c r="Q105" i="3"/>
  <c r="Q115" i="3" s="1"/>
  <c r="Y104" i="3"/>
  <c r="Y114" i="3" s="1"/>
  <c r="U104" i="3"/>
  <c r="U114" i="3" s="1"/>
  <c r="Q104" i="3"/>
  <c r="Q114" i="3" s="1"/>
  <c r="O107" i="3"/>
  <c r="O117" i="3" s="1"/>
  <c r="W105" i="3"/>
  <c r="W115" i="3" s="1"/>
  <c r="S104" i="3"/>
  <c r="S114" i="3" s="1"/>
  <c r="O103" i="3"/>
  <c r="O113" i="3" s="1"/>
  <c r="W106" i="3"/>
  <c r="W116" i="3" s="1"/>
  <c r="S105" i="3"/>
  <c r="S115" i="3" s="1"/>
  <c r="O104" i="3"/>
  <c r="O114" i="3" s="1"/>
  <c r="W102" i="3"/>
  <c r="W112" i="3" s="1"/>
  <c r="S106" i="3"/>
  <c r="S116" i="3" s="1"/>
  <c r="O105" i="3"/>
  <c r="O115" i="3" s="1"/>
  <c r="W103" i="3"/>
  <c r="W113" i="3" s="1"/>
  <c r="S102" i="3"/>
  <c r="S112" i="3" s="1"/>
  <c r="O106" i="3"/>
  <c r="O116" i="3" s="1"/>
  <c r="W104" i="3"/>
  <c r="W114" i="3" s="1"/>
  <c r="S103" i="3"/>
  <c r="S113" i="3" s="1"/>
  <c r="O102" i="3"/>
  <c r="O112" i="3" s="1"/>
  <c r="Z103" i="3"/>
  <c r="Z113" i="3" s="1"/>
  <c r="X107" i="3"/>
  <c r="X117" i="3" s="1"/>
  <c r="R102" i="3"/>
  <c r="R112" i="3" s="1"/>
  <c r="U103" i="3"/>
  <c r="U113" i="3" s="1"/>
  <c r="R103" i="3"/>
  <c r="R113" i="3" s="1"/>
  <c r="T107" i="3"/>
  <c r="T117" i="3" s="1"/>
  <c r="V103" i="3"/>
  <c r="V113" i="3" s="1"/>
  <c r="W107" i="3"/>
  <c r="W117" i="3" s="1"/>
  <c r="AA120" i="3" l="1"/>
  <c r="AA121" i="3" s="1"/>
  <c r="R17" i="1"/>
  <c r="Q17" i="1" s="1"/>
  <c r="R16" i="1"/>
  <c r="Q13" i="1"/>
  <c r="Q16" i="1" l="1"/>
  <c r="M28" i="1"/>
  <c r="N28" i="1" l="1"/>
  <c r="M27" i="1" s="1"/>
  <c r="N27" i="1" l="1"/>
  <c r="M26" i="1" s="1"/>
  <c r="O28" i="1"/>
  <c r="N26" i="1" l="1"/>
  <c r="M25" i="1" s="1"/>
  <c r="O27" i="1"/>
  <c r="N25" i="1" l="1"/>
  <c r="M24" i="1" s="1"/>
  <c r="O26" i="1"/>
  <c r="O25" i="1" l="1"/>
</calcChain>
</file>

<file path=xl/sharedStrings.xml><?xml version="1.0" encoding="utf-8"?>
<sst xmlns="http://schemas.openxmlformats.org/spreadsheetml/2006/main" count="636" uniqueCount="440">
  <si>
    <t>yeast miniprep plate layout</t>
  </si>
  <si>
    <t>WT Kd</t>
  </si>
  <si>
    <t>plate #1</t>
  </si>
  <si>
    <t>Primary solutions</t>
  </si>
  <si>
    <t>A</t>
  </si>
  <si>
    <t>s16.b1
1.5mL</t>
  </si>
  <si>
    <t># cells</t>
  </si>
  <si>
    <t>s16.b2
1mL</t>
  </si>
  <si>
    <t>s16.b3
1mL</t>
  </si>
  <si>
    <t>s16.b4
1mL</t>
  </si>
  <si>
    <t>s15.b1
1.5mL</t>
  </si>
  <si>
    <t>s15.b2
1mL</t>
  </si>
  <si>
    <t>s15.b3
1mL</t>
  </si>
  <si>
    <t>s15.b4
1mL</t>
  </si>
  <si>
    <t>s14.b1
1.5mL</t>
  </si>
  <si>
    <t>s14.b2
1mL</t>
  </si>
  <si>
    <t>s14.b3
1mL</t>
  </si>
  <si>
    <t>s14.b4
1mL</t>
  </si>
  <si>
    <t>B</t>
  </si>
  <si>
    <t>s13.b1
1.5mL</t>
  </si>
  <si>
    <t>s13.b2
1mL</t>
  </si>
  <si>
    <t>s13.b3
1mL</t>
  </si>
  <si>
    <t>s13.b4
1mL</t>
  </si>
  <si>
    <t>s12.b1
1.5mL</t>
  </si>
  <si>
    <t>s12.b2
1mL</t>
  </si>
  <si>
    <t>s12.b3
1mL</t>
  </si>
  <si>
    <t>[gp120]</t>
  </si>
  <si>
    <t>ratio [scFv]/
[scFv*gp120]</t>
  </si>
  <si>
    <t>s12.b4
1mL</t>
  </si>
  <si>
    <t>fraction scFv
bound</t>
  </si>
  <si>
    <t>s11.b1
1.5mL</t>
  </si>
  <si>
    <t># molecules gp120
to avoid depletion</t>
  </si>
  <si>
    <t>s11.b2
1mL</t>
  </si>
  <si>
    <t>moles gp120
to avoid depletion</t>
  </si>
  <si>
    <t>s11.b3
1mL</t>
  </si>
  <si>
    <t>minimum volume
(mL)</t>
  </si>
  <si>
    <t>s11.b4
1mL</t>
  </si>
  <si>
    <t>sample #</t>
  </si>
  <si>
    <t>C</t>
  </si>
  <si>
    <t>order to run</t>
  </si>
  <si>
    <t>s10.b1
1.5mL</t>
  </si>
  <si>
    <t>[gp120] (M)</t>
  </si>
  <si>
    <t>s10.b2
1.5mL</t>
  </si>
  <si>
    <t>volume for library
(mL)</t>
  </si>
  <si>
    <t>s10.b3
1mL</t>
  </si>
  <si>
    <t>volume for 2440
(mL)</t>
  </si>
  <si>
    <t>s10.b4
1mL</t>
  </si>
  <si>
    <t>s9.b1
1.5mL</t>
  </si>
  <si>
    <t>volume solution</t>
  </si>
  <si>
    <t>s9.b2
1.5mL</t>
  </si>
  <si>
    <t>s9.b3
1.5mL</t>
  </si>
  <si>
    <t>volume buffer (mL)</t>
  </si>
  <si>
    <t>s9.b4
1mL</t>
  </si>
  <si>
    <t>volume gp120
stock (uL)</t>
  </si>
  <si>
    <t>which stock</t>
  </si>
  <si>
    <t>s8.b1
1.5mL</t>
  </si>
  <si>
    <t>s8.b2
1.5mL</t>
  </si>
  <si>
    <t>s8.b3
1.5mL</t>
  </si>
  <si>
    <t>s8.b4
1mL</t>
  </si>
  <si>
    <t>D</t>
  </si>
  <si>
    <t>s7.b1
1.5mL</t>
  </si>
  <si>
    <t>s7.b2
1mL</t>
  </si>
  <si>
    <t>s7.b3
1.5mL</t>
  </si>
  <si>
    <t>s7.b4
1.5mL</t>
  </si>
  <si>
    <t>s6.b1
1.5mL</t>
  </si>
  <si>
    <t>s6.b2
1mL</t>
  </si>
  <si>
    <t>s6.b3
1mL</t>
  </si>
  <si>
    <t>s6.b4
1.5mL</t>
  </si>
  <si>
    <t>s5.b1
1.5mL</t>
  </si>
  <si>
    <t>s5.b2
1mL</t>
  </si>
  <si>
    <t>s5.b3
1mL</t>
  </si>
  <si>
    <t>s5.b4
1.5mL</t>
  </si>
  <si>
    <t># scFv/cell</t>
  </si>
  <si>
    <t>E</t>
  </si>
  <si>
    <t>s4.b1
1.5mL</t>
  </si>
  <si>
    <t>s4.b2
1mL</t>
  </si>
  <si>
    <t>s4.b3
1mL</t>
  </si>
  <si>
    <t>s4.b4
1.5mL</t>
  </si>
  <si>
    <t>s3.b1
1.5mL</t>
  </si>
  <si>
    <t>s3.b2
1mL</t>
  </si>
  <si>
    <t>s3.b3
1mL</t>
  </si>
  <si>
    <t>s3.b4
1.5mL</t>
  </si>
  <si>
    <t>s2.b1
1mL</t>
  </si>
  <si>
    <t>s2.b2
1mL</t>
  </si>
  <si>
    <t>s2.b3
1mL</t>
  </si>
  <si>
    <t>s2.b4
1.5mL</t>
  </si>
  <si>
    <t>F</t>
  </si>
  <si>
    <t>s1.b1
1mL</t>
  </si>
  <si>
    <t>s1.b2
1mL</t>
  </si>
  <si>
    <t>s1.b3
1mL</t>
  </si>
  <si>
    <t>s1.b4
1.5mL</t>
  </si>
  <si>
    <t>G</t>
  </si>
  <si>
    <t>H</t>
  </si>
  <si>
    <t>sorting: cell counts</t>
  </si>
  <si>
    <t>time started</t>
  </si>
  <si>
    <t>time ended</t>
  </si>
  <si>
    <t>cells, bin 1</t>
  </si>
  <si>
    <t>cells, bin2</t>
  </si>
  <si>
    <t>cells, bin3</t>
  </si>
  <si>
    <t>cells, bin4</t>
  </si>
  <si>
    <t>total cells</t>
  </si>
  <si>
    <t>bin1 outgrowth vol</t>
  </si>
  <si>
    <t>bin2 outgrowth vol</t>
  </si>
  <si>
    <t>bin3 outgrowth vol</t>
  </si>
  <si>
    <t>bin4 outgrowth vol</t>
  </si>
  <si>
    <t>notes</t>
  </si>
  <si>
    <t>stock 1</t>
  </si>
  <si>
    <t>fraction lib expressing and with WT-like binding</t>
  </si>
  <si>
    <t>stock 2</t>
  </si>
  <si>
    <t>stock 3</t>
  </si>
  <si>
    <t xml:space="preserve"> </t>
  </si>
  <si>
    <t>stock 4</t>
  </si>
  <si>
    <t>stock 5</t>
  </si>
  <si>
    <t>none</t>
  </si>
  <si>
    <t>45_01dG5 stocks</t>
  </si>
  <si>
    <t>total volume
(uL)</t>
  </si>
  <si>
    <t>volume stock n-1
(uL)</t>
  </si>
  <si>
    <t>volume buffer
(uL)</t>
  </si>
  <si>
    <t>stock solution -- 2 tubes</t>
  </si>
  <si>
    <t>amt PBS-BSA</t>
  </si>
  <si>
    <t>Cell</t>
  </si>
  <si>
    <t>Sample</t>
  </si>
  <si>
    <t>NextFlex index</t>
  </si>
  <si>
    <t>cells sorted</t>
  </si>
  <si>
    <t>reads</t>
  </si>
  <si>
    <t>ratio reads/cells</t>
  </si>
  <si>
    <t>number reads needed</t>
  </si>
  <si>
    <t>processed reads</t>
  </si>
  <si>
    <t>ratio processed/reads</t>
  </si>
  <si>
    <t>ratio processed/cells</t>
  </si>
  <si>
    <t>needs more?</t>
  </si>
  <si>
    <t>number more needed</t>
  </si>
  <si>
    <t>PCR layout</t>
  </si>
  <si>
    <t>A1</t>
  </si>
  <si>
    <t>200102_s16-b1</t>
  </si>
  <si>
    <t>NF8bp_1_Rnd2Rev</t>
  </si>
  <si>
    <t>A2</t>
  </si>
  <si>
    <t>200102_s16-b2</t>
  </si>
  <si>
    <t>NF8bp_2_Rnd2Rev</t>
  </si>
  <si>
    <t>s16.b1</t>
  </si>
  <si>
    <t>s16.b2</t>
  </si>
  <si>
    <t>s16.b3</t>
  </si>
  <si>
    <t>s16.b4</t>
  </si>
  <si>
    <t>s15.b1</t>
  </si>
  <si>
    <t>s15.b2</t>
  </si>
  <si>
    <t>s15.b3</t>
  </si>
  <si>
    <t>s15.b4</t>
  </si>
  <si>
    <t>s14.b1</t>
  </si>
  <si>
    <t>s14.b2</t>
  </si>
  <si>
    <t>s14.b3</t>
  </si>
  <si>
    <t>s14.b4</t>
  </si>
  <si>
    <t>A3</t>
  </si>
  <si>
    <t>200102_s16-b3</t>
  </si>
  <si>
    <t>NF8bp_3_Rnd2Rev</t>
  </si>
  <si>
    <t>s13.b1</t>
  </si>
  <si>
    <t>s13.b2</t>
  </si>
  <si>
    <t>s13.b3</t>
  </si>
  <si>
    <t>s13.b4</t>
  </si>
  <si>
    <t>s12.b1</t>
  </si>
  <si>
    <t>s12.b2</t>
  </si>
  <si>
    <t>s12.b3</t>
  </si>
  <si>
    <t>s12.b4</t>
  </si>
  <si>
    <t>s11.b1</t>
  </si>
  <si>
    <t>s11.b2</t>
  </si>
  <si>
    <t>s11.b3</t>
  </si>
  <si>
    <t>s11.b4</t>
  </si>
  <si>
    <t>A4</t>
  </si>
  <si>
    <t>200102_s16-b4</t>
  </si>
  <si>
    <t>NF8bp_4_Rnd2Rev</t>
  </si>
  <si>
    <t>s10.b1</t>
  </si>
  <si>
    <t>s10.b2</t>
  </si>
  <si>
    <t>s10.b3</t>
  </si>
  <si>
    <t>s10.b4</t>
  </si>
  <si>
    <t>s9.b1</t>
  </si>
  <si>
    <t>s9.b2</t>
  </si>
  <si>
    <t>s9.b3</t>
  </si>
  <si>
    <t>s9.b4</t>
  </si>
  <si>
    <t>s8.b1</t>
  </si>
  <si>
    <t>s8.b2</t>
  </si>
  <si>
    <t>s8.b3</t>
  </si>
  <si>
    <t>s8.b4</t>
  </si>
  <si>
    <t>A5</t>
  </si>
  <si>
    <t>200102_s15-b1</t>
  </si>
  <si>
    <t>NF8bp_5_Rnd2Rev</t>
  </si>
  <si>
    <t>s7.b1</t>
  </si>
  <si>
    <t>s7.b2</t>
  </si>
  <si>
    <t>s7.b3</t>
  </si>
  <si>
    <t>s7.b4</t>
  </si>
  <si>
    <t>s6.b1</t>
  </si>
  <si>
    <t>s6.b2</t>
  </si>
  <si>
    <t>s6.b3</t>
  </si>
  <si>
    <t>s6.b4</t>
  </si>
  <si>
    <t>s5.b1</t>
  </si>
  <si>
    <t>s5.b2</t>
  </si>
  <si>
    <t>s5.b3</t>
  </si>
  <si>
    <t>s5.b4</t>
  </si>
  <si>
    <t>A6</t>
  </si>
  <si>
    <t>200102_s15-b2</t>
  </si>
  <si>
    <t>NF8bp_6_Rnd2Rev</t>
  </si>
  <si>
    <t>s4.b1</t>
  </si>
  <si>
    <t>s4.b2</t>
  </si>
  <si>
    <t>s4.b3</t>
  </si>
  <si>
    <t>s4.b4</t>
  </si>
  <si>
    <t>s3.b1</t>
  </si>
  <si>
    <t>s3.b2</t>
  </si>
  <si>
    <t>s3.b3</t>
  </si>
  <si>
    <t>s3.b4</t>
  </si>
  <si>
    <t>s2.b1</t>
  </si>
  <si>
    <t>s2.b2</t>
  </si>
  <si>
    <t>s2.b3</t>
  </si>
  <si>
    <t>s2.b4</t>
  </si>
  <si>
    <t>A7</t>
  </si>
  <si>
    <t>200102_s15-b3</t>
  </si>
  <si>
    <t>NF8bp_7_Rnd2Rev</t>
  </si>
  <si>
    <t>s1.b1</t>
  </si>
  <si>
    <t>s1.b2</t>
  </si>
  <si>
    <t>s1.b3</t>
  </si>
  <si>
    <t>s1.b4</t>
  </si>
  <si>
    <t>FITC.b1</t>
  </si>
  <si>
    <t>FITC.b2</t>
  </si>
  <si>
    <t>FITC.b3</t>
  </si>
  <si>
    <t>FITC.b4</t>
  </si>
  <si>
    <t>A8</t>
  </si>
  <si>
    <t>200102_s15-b4</t>
  </si>
  <si>
    <t>NF8bp_8_Rnd2Rev</t>
  </si>
  <si>
    <t>A9</t>
  </si>
  <si>
    <t>200102_s14-b1</t>
  </si>
  <si>
    <t>NF8bp_9_Rnd2Rev</t>
  </si>
  <si>
    <t>A10</t>
  </si>
  <si>
    <t>200102_s14-b2</t>
  </si>
  <si>
    <t>NF8bp_10_Rnd2Rev</t>
  </si>
  <si>
    <t>A11</t>
  </si>
  <si>
    <t>200102_s14-b3</t>
  </si>
  <si>
    <t>NF8bp_11_Rnd2Rev</t>
  </si>
  <si>
    <t>PicoGreen setup</t>
  </si>
  <si>
    <t>A12</t>
  </si>
  <si>
    <t>200102_s14-b4</t>
  </si>
  <si>
    <t>NF8bp_12_Rnd2Rev</t>
  </si>
  <si>
    <t>(duplicate)</t>
  </si>
  <si>
    <t>B1</t>
  </si>
  <si>
    <t>200102_s13-b1</t>
  </si>
  <si>
    <t>NF8bp_13_Rnd2Rev</t>
  </si>
  <si>
    <t>B2</t>
  </si>
  <si>
    <t>200102_s13-b2</t>
  </si>
  <si>
    <t>NF8bp_14_Rnd2Rev</t>
  </si>
  <si>
    <t>B3</t>
  </si>
  <si>
    <t>200102_s13-b3</t>
  </si>
  <si>
    <t>NF8bp_15_Rnd2Rev</t>
  </si>
  <si>
    <t>B4</t>
  </si>
  <si>
    <t>200102_s13-b4</t>
  </si>
  <si>
    <t>NF8bp_16_Rnd2Rev</t>
  </si>
  <si>
    <t>B5</t>
  </si>
  <si>
    <t>200102_s12-b1</t>
  </si>
  <si>
    <t>NF8bp_17_Rnd2Rev</t>
  </si>
  <si>
    <t>B6</t>
  </si>
  <si>
    <t>200102_s12-b2</t>
  </si>
  <si>
    <t>NF8bp_18_Rnd2Rev</t>
  </si>
  <si>
    <t>B7</t>
  </si>
  <si>
    <t>200102_s12-b3</t>
  </si>
  <si>
    <t>NF8bp_19_Rnd2Rev</t>
  </si>
  <si>
    <t>B8</t>
  </si>
  <si>
    <t>200102_s12-b4</t>
  </si>
  <si>
    <t>NF8bp_20_Rnd2Rev</t>
  </si>
  <si>
    <t>TE only</t>
  </si>
  <si>
    <t>B9</t>
  </si>
  <si>
    <t>200102_s11-b1</t>
  </si>
  <si>
    <t>NF8bp_21_Rnd2Rev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</si>
  <si>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</si>
  <si>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</si>
  <si>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</si>
  <si>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</si>
  <si>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</si>
  <si>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</si>
  <si>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</si>
  <si>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</si>
  <si>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</si>
  <si>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</si>
  <si>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std11</t>
  </si>
  <si>
    <t>std12</t>
  </si>
  <si>
    <t>B10</t>
  </si>
  <si>
    <t>200102_s11-b2</t>
  </si>
  <si>
    <t>NF8bp_22_Rnd2Rev</t>
  </si>
  <si>
    <t>B11</t>
  </si>
  <si>
    <t>200102_s11-b3</t>
  </si>
  <si>
    <t>NF8bp_23_Rnd2Rev</t>
  </si>
  <si>
    <t>values</t>
  </si>
  <si>
    <t>B12</t>
  </si>
  <si>
    <t>200102_s11-b4</t>
  </si>
  <si>
    <t>NF8bp_24_Rnd2Rev</t>
  </si>
  <si>
    <t>C1</t>
  </si>
  <si>
    <t>200102_s10-b1</t>
  </si>
  <si>
    <t>NF8bp_25_Rnd2Rev</t>
  </si>
  <si>
    <t>C2</t>
  </si>
  <si>
    <t>200102_s10-b2</t>
  </si>
  <si>
    <t>NF8bp_26_Rnd2Rev</t>
  </si>
  <si>
    <t>C3</t>
  </si>
  <si>
    <t>200102_s10-b3</t>
  </si>
  <si>
    <t>NF8bp_27_Rnd2Rev</t>
  </si>
  <si>
    <t>C4</t>
  </si>
  <si>
    <t>200102_s10-b4</t>
  </si>
  <si>
    <t>NF8bp_28_Rnd2Rev</t>
  </si>
  <si>
    <t>C5</t>
  </si>
  <si>
    <t>200102_s09-b1</t>
  </si>
  <si>
    <t>NF8bp_29_Rnd2Rev</t>
  </si>
  <si>
    <t>C6</t>
  </si>
  <si>
    <t>200102_s09-b2</t>
  </si>
  <si>
    <t>NF8bp_30_Rnd2Rev</t>
  </si>
  <si>
    <t>C7</t>
  </si>
  <si>
    <t>200102_s09-b3</t>
  </si>
  <si>
    <t>NF8bp_31_Rnd2Rev</t>
  </si>
  <si>
    <t>C8</t>
  </si>
  <si>
    <t>200102_s09-b4</t>
  </si>
  <si>
    <t>NF8bp_32_Rnd2Rev</t>
  </si>
  <si>
    <t>C9</t>
  </si>
  <si>
    <t>200102_s08-b1</t>
  </si>
  <si>
    <t>NF8bp_33_Rnd2Rev</t>
  </si>
  <si>
    <t>C10</t>
  </si>
  <si>
    <t>200102_s08-b2</t>
  </si>
  <si>
    <t>NF8bp_34_Rnd2Rev</t>
  </si>
  <si>
    <t>plate #2</t>
  </si>
  <si>
    <t>C11</t>
  </si>
  <si>
    <t>200102_s08-b3</t>
  </si>
  <si>
    <t>NF8bp_35_Rnd2Rev</t>
  </si>
  <si>
    <t>C12</t>
  </si>
  <si>
    <t>200102_s08-b4</t>
  </si>
  <si>
    <t>NF8bp_36_Rnd2Rev</t>
  </si>
  <si>
    <t>D1</t>
  </si>
  <si>
    <t>200102_s07-b1</t>
  </si>
  <si>
    <t>NF8bp_37_Rnd2Rev</t>
  </si>
  <si>
    <t>D2</t>
  </si>
  <si>
    <t>200102_s07-b2</t>
  </si>
  <si>
    <t>NF8bp_38_Rnd2Rev</t>
  </si>
  <si>
    <t>D3</t>
  </si>
  <si>
    <t>200102_s07-b3</t>
  </si>
  <si>
    <t>NF8bp_39_Rnd2Rev</t>
  </si>
  <si>
    <t>D4</t>
  </si>
  <si>
    <t>200102_s07-b4</t>
  </si>
  <si>
    <t>NF8bp_40_Rnd2Rev</t>
  </si>
  <si>
    <t>D5</t>
  </si>
  <si>
    <t>200102_s06-b1</t>
  </si>
  <si>
    <t>NF8bp_41_Rnd2Rev</t>
  </si>
  <si>
    <t>D6</t>
  </si>
  <si>
    <t>200102_s06-b2</t>
  </si>
  <si>
    <t>NF8bp_42_Rnd2Rev</t>
  </si>
  <si>
    <t>D7</t>
  </si>
  <si>
    <t>200102_s06-b3</t>
  </si>
  <si>
    <t>NF8bp_43_Rnd2Rev</t>
  </si>
  <si>
    <t>D8</t>
  </si>
  <si>
    <t>200102_s06-b4</t>
  </si>
  <si>
    <t>NF8bp_44_Rnd2Rev</t>
  </si>
  <si>
    <t>average</t>
  </si>
  <si>
    <t>D9</t>
  </si>
  <si>
    <t>200102_s05-b1</t>
  </si>
  <si>
    <t>NF8bp_45_Rnd2Rev</t>
  </si>
  <si>
    <t>D10</t>
  </si>
  <si>
    <t>200102_s05-b2</t>
  </si>
  <si>
    <t>NF8bp_46_Rnd2Rev</t>
  </si>
  <si>
    <t>D11</t>
  </si>
  <si>
    <t>200102_s05-b3</t>
  </si>
  <si>
    <t>NF8bp_47_Rnd2Rev</t>
  </si>
  <si>
    <t>D12</t>
  </si>
  <si>
    <t>200102_s05-b4</t>
  </si>
  <si>
    <t>NF8bp_48_Rnd2Rev</t>
  </si>
  <si>
    <t>E1</t>
  </si>
  <si>
    <t>200102_s04-b1</t>
  </si>
  <si>
    <t>NF8bp_49_Rnd2Rev</t>
  </si>
  <si>
    <t>E2</t>
  </si>
  <si>
    <t>200102_s04-b2</t>
  </si>
  <si>
    <t>NF8bp_50_Rnd2Rev</t>
  </si>
  <si>
    <t>E3</t>
  </si>
  <si>
    <t>200102_s04-b3</t>
  </si>
  <si>
    <t>NF8bp_51_Rnd2Rev</t>
  </si>
  <si>
    <t>E4</t>
  </si>
  <si>
    <t>200102_s04-b4</t>
  </si>
  <si>
    <t>NF8bp_52_Rnd2Rev</t>
  </si>
  <si>
    <t>E5</t>
  </si>
  <si>
    <t>200102_s03-b1</t>
  </si>
  <si>
    <t>NF8bp_53_Rnd2Rev</t>
  </si>
  <si>
    <t>E6</t>
  </si>
  <si>
    <t>200102_s03-b2</t>
  </si>
  <si>
    <t>NF8bp_54_Rnd2Rev</t>
  </si>
  <si>
    <t>-background</t>
  </si>
  <si>
    <t>std conc</t>
  </si>
  <si>
    <t>RFU</t>
  </si>
  <si>
    <t>predicted conc</t>
  </si>
  <si>
    <t>E7</t>
  </si>
  <si>
    <t>200102_s03-b3</t>
  </si>
  <si>
    <t>NF8bp_55_Rnd2Rev</t>
  </si>
  <si>
    <t>E8</t>
  </si>
  <si>
    <t>200102_s03-b4</t>
  </si>
  <si>
    <t>NF8bp_56_Rnd2Rev</t>
  </si>
  <si>
    <t>E9</t>
  </si>
  <si>
    <t>200102_s02-b1</t>
  </si>
  <si>
    <t>NF8bp_57_Rnd2Rev</t>
  </si>
  <si>
    <t>E10</t>
  </si>
  <si>
    <t>200102_s02-b2</t>
  </si>
  <si>
    <t>NF8bp_58_Rnd2Rev</t>
  </si>
  <si>
    <t>E11</t>
  </si>
  <si>
    <t>200102_s02-b3</t>
  </si>
  <si>
    <t>NF8bp_59_Rnd2Rev</t>
  </si>
  <si>
    <t>E12</t>
  </si>
  <si>
    <t>200102_s02-b4</t>
  </si>
  <si>
    <t>NF8bp_60_Rnd2Rev</t>
  </si>
  <si>
    <t>F1</t>
  </si>
  <si>
    <t>200102_s01-b1</t>
  </si>
  <si>
    <t>NF8bp_61_Rnd2Rev</t>
  </si>
  <si>
    <t>F2</t>
  </si>
  <si>
    <t>200102_s01-b2</t>
  </si>
  <si>
    <t>NF8bp_62_Rnd2Rev</t>
  </si>
  <si>
    <t>F3</t>
  </si>
  <si>
    <t>200102_s01-b3</t>
  </si>
  <si>
    <t>NF8bp_63_Rnd2Rev</t>
  </si>
  <si>
    <t>F4</t>
  </si>
  <si>
    <t>200102_s01-b4</t>
  </si>
  <si>
    <t>NF8bp_64_Rnd2Rev</t>
  </si>
  <si>
    <t>F5+F6</t>
  </si>
  <si>
    <t>191215_FITCbin1</t>
  </si>
  <si>
    <t>NF8bp_65_Rnd2Rev</t>
  </si>
  <si>
    <t>F7+F8</t>
  </si>
  <si>
    <t>191215_FITCbin2</t>
  </si>
  <si>
    <t>NF8bp_66_Rnd2Rev</t>
  </si>
  <si>
    <t>F9+F10</t>
  </si>
  <si>
    <t>191215_FITCbin3</t>
  </si>
  <si>
    <t>NF8bp_67_Rnd2Rev</t>
  </si>
  <si>
    <t>F11+F12</t>
  </si>
  <si>
    <t>191215_FITCbin4</t>
  </si>
  <si>
    <t>NF8bp_68_Rnd2Rev</t>
  </si>
  <si>
    <t>conc = RFU/44538</t>
  </si>
  <si>
    <t>(made chart to right in Excel to force through origin)</t>
  </si>
  <si>
    <t>ng/uL</t>
  </si>
  <si>
    <t>ng/uL (final)</t>
  </si>
  <si>
    <t>low numbers are inflated for pooling proportions</t>
  </si>
  <si>
    <t>yellow=10x</t>
  </si>
  <si>
    <t>pink=100x</t>
  </si>
  <si>
    <t>fraction</t>
  </si>
  <si>
    <t>uL for 0.5mL 
3.5ng/uL</t>
  </si>
  <si>
    <t>yellow (&lt;0.2uL)</t>
  </si>
  <si>
    <t>just pipetted 0.2uL</t>
  </si>
  <si>
    <t>vol H2O</t>
  </si>
  <si>
    <t>molecules gp120 bound by scFv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</si>
</sst>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0.0"/>
    <numFmt numFmtId="166" formatCode="m\-d"/>
    <numFmt numFmtId="167" formatCode="0.000000"/>
  </numFmts>
  <fonts count="8">
    <font>
      <sz val="10"/>
      <color rgb="FF000000"/>
      <name val="Arial"/>
    </font>
    <font>
      <sz val="10"/>
      <color theme="1"/>
      <name val="Arial"/>
    </font>
    <font>
      <sz val="12"/>
      <color rgb="FF000000"/>
      <name val="Calibri"/>
    </font>
    <font>
      <sz val="11"/>
      <color rgb="FF000000"/>
      <name val="Calibri"/>
    </font>
    <font>
      <sz val="10"/>
      <name val="Arial"/>
    </font>
    <font>
      <sz val="8"/>
      <color theme="1"/>
      <name val="Arial"/>
    </font>
    <font>
      <sz val="12"/>
      <color rgb="FF000000"/>
      <name val="-webkit-standard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/>
    <xf numFmtId="11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1" fontId="1" fillId="0" borderId="0" xfId="0" applyNumberFormat="1" applyFont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" fontId="1" fillId="0" borderId="0" xfId="0" applyNumberFormat="1" applyFont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0" borderId="0" xfId="0" applyNumberFormat="1" applyFont="1"/>
    <xf numFmtId="11" fontId="1" fillId="0" borderId="0" xfId="0" applyNumberFormat="1" applyFont="1"/>
    <xf numFmtId="20" fontId="1" fillId="0" borderId="0" xfId="0" applyNumberFormat="1" applyFont="1" applyAlignment="1"/>
    <xf numFmtId="3" fontId="1" fillId="0" borderId="0" xfId="0" applyNumberFormat="1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/>
    <xf numFmtId="4" fontId="1" fillId="0" borderId="0" xfId="0" applyNumberFormat="1" applyFont="1"/>
    <xf numFmtId="11" fontId="1" fillId="0" borderId="0" xfId="0" applyNumberFormat="1" applyFont="1" applyAlignment="1"/>
    <xf numFmtId="0" fontId="1" fillId="0" borderId="0" xfId="0" applyFont="1" applyAlignment="1">
      <alignment horizontal="right"/>
    </xf>
    <xf numFmtId="165" fontId="1" fillId="0" borderId="0" xfId="0" applyNumberFormat="1" applyFont="1"/>
    <xf numFmtId="1" fontId="1" fillId="0" borderId="0" xfId="0" applyNumberFormat="1" applyFont="1" applyAlignment="1"/>
    <xf numFmtId="1" fontId="1" fillId="0" borderId="0" xfId="0" applyNumberFormat="1" applyFont="1"/>
    <xf numFmtId="0" fontId="1" fillId="0" borderId="0" xfId="0" applyFont="1" applyAlignment="1"/>
    <xf numFmtId="166" fontId="4" fillId="0" borderId="0" xfId="0" applyNumberFormat="1" applyFont="1" applyAlignment="1"/>
    <xf numFmtId="0" fontId="1" fillId="0" borderId="0" xfId="0" applyFont="1" applyAlignment="1">
      <alignment horizontal="right"/>
    </xf>
    <xf numFmtId="4" fontId="1" fillId="0" borderId="0" xfId="0" applyNumberFormat="1" applyFont="1" applyAlignment="1"/>
    <xf numFmtId="2" fontId="1" fillId="0" borderId="0" xfId="0" applyNumberFormat="1" applyFont="1"/>
    <xf numFmtId="4" fontId="1" fillId="0" borderId="0" xfId="0" applyNumberFormat="1" applyFont="1" applyAlignment="1"/>
    <xf numFmtId="0" fontId="5" fillId="0" borderId="0" xfId="0" applyFont="1" applyAlignment="1"/>
    <xf numFmtId="3" fontId="5" fillId="0" borderId="0" xfId="0" applyNumberFormat="1" applyFont="1" applyAlignment="1"/>
    <xf numFmtId="0" fontId="2" fillId="0" borderId="0" xfId="0" applyFont="1" applyAlignment="1">
      <alignment horizontal="right"/>
    </xf>
    <xf numFmtId="0" fontId="5" fillId="0" borderId="0" xfId="0" applyFont="1" applyAlignment="1"/>
    <xf numFmtId="0" fontId="3" fillId="4" borderId="1" xfId="0" applyFont="1" applyFill="1" applyBorder="1" applyAlignment="1">
      <alignment horizontal="center"/>
    </xf>
    <xf numFmtId="3" fontId="6" fillId="0" borderId="0" xfId="0" applyNumberFormat="1" applyFont="1" applyAlignment="1">
      <alignment horizontal="right"/>
    </xf>
    <xf numFmtId="165" fontId="3" fillId="3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5" fontId="1" fillId="0" borderId="0" xfId="0" applyNumberFormat="1" applyFont="1" applyAlignment="1"/>
    <xf numFmtId="0" fontId="1" fillId="0" borderId="0" xfId="0" applyFont="1"/>
    <xf numFmtId="0" fontId="1" fillId="0" borderId="0" xfId="0" applyFont="1" applyAlignment="1"/>
    <xf numFmtId="2" fontId="3" fillId="3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1" fontId="1" fillId="0" borderId="0" xfId="0" applyNumberFormat="1" applyFont="1"/>
    <xf numFmtId="167" fontId="3" fillId="3" borderId="1" xfId="0" applyNumberFormat="1" applyFont="1" applyFill="1" applyBorder="1" applyAlignment="1">
      <alignment horizontal="center"/>
    </xf>
    <xf numFmtId="167" fontId="3" fillId="2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0" fontId="7" fillId="3" borderId="0" xfId="0" applyFont="1" applyFill="1" applyAlignment="1">
      <alignment horizontal="left"/>
    </xf>
    <xf numFmtId="0" fontId="1" fillId="0" borderId="0" xfId="0" applyFont="1" applyAlignment="1">
      <alignment wrapText="1"/>
    </xf>
  </cellXfs>
  <cellStyles count="1">
    <cellStyle name="Normal" xfId="0" builtinId="0"/>
  </cellStyles>
  <dxfs count="14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6">
    <tableStyle name="post-sort, outgrowth plate setu-style" pivot="0" count="2" xr9:uid="{00000000-0011-0000-FFFF-FFFF00000000}">
      <tableStyleElement type="firstRowStripe" dxfId="13"/>
      <tableStyleElement type="secondRowStripe" dxfId="12"/>
    </tableStyle>
    <tableStyle name="2020_01_02_Tite-seq-style" pivot="0" count="2" xr9:uid="{00000000-0011-0000-FFFF-FFFF01000000}">
      <tableStyleElement type="firstRowStripe" dxfId="11"/>
      <tableStyleElement type="secondRowStripe" dxfId="10"/>
    </tableStyle>
    <tableStyle name="2020_01_02_Tite-seq-style 2" pivot="0" count="3" xr9:uid="{00000000-0011-0000-FFFF-FFFF02000000}">
      <tableStyleElement type="headerRow" dxfId="9"/>
      <tableStyleElement type="firstRowStripe" dxfId="8"/>
      <tableStyleElement type="secondRowStripe" dxfId="7"/>
    </tableStyle>
    <tableStyle name="Illumina Prep-style" pivot="0" count="2" xr9:uid="{00000000-0011-0000-FFFF-FFFF03000000}">
      <tableStyleElement type="firstRowStripe" dxfId="6"/>
      <tableStyleElement type="secondRowStripe" dxfId="5"/>
    </tableStyle>
    <tableStyle name="Illumina Prep-style 2" pivot="0" count="2" xr9:uid="{00000000-0011-0000-FFFF-FFFF04000000}">
      <tableStyleElement type="firstRowStripe" dxfId="4"/>
      <tableStyleElement type="secondRowStripe" dxfId="3"/>
    </tableStyle>
    <tableStyle name="Illumina Prep-style 3" pivot="0" count="3" xr9:uid="{00000000-0011-0000-FFFF-FFFF05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strRef>
              <c:f>'Illumina Prep'!$AA$56:$AA$69</c:f>
              <c:strCache>
                <c:ptCount val="14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0.0625</c:v>
                </c:pt>
                <c:pt idx="5">
                  <c:v>0.03125</c:v>
                </c:pt>
                <c:pt idx="6">
                  <c:v>0.015625</c:v>
                </c:pt>
                <c:pt idx="7">
                  <c:v>0.0078125</c:v>
                </c:pt>
                <c:pt idx="8">
                  <c:v>0.00390625</c:v>
                </c:pt>
                <c:pt idx="9">
                  <c:v>0.001953125</c:v>
                </c:pt>
                <c:pt idx="10">
                  <c:v>0.000976563</c:v>
                </c:pt>
                <c:pt idx="11">
                  <c:v>0.000488281</c:v>
                </c:pt>
                <c:pt idx="12">
                  <c:v>0</c:v>
                </c:pt>
                <c:pt idx="13">
                  <c:v>conc = RFU/44538</c:v>
                </c:pt>
              </c:strCache>
            </c:strRef>
          </c:xVal>
          <c:yVal>
            <c:numRef>
              <c:f>'Illumina Prep'!$AB$56:$AB$69</c:f>
              <c:numCache>
                <c:formatCode>0.0</c:formatCode>
                <c:ptCount val="14"/>
                <c:pt idx="0">
                  <c:v>44270.708333333336</c:v>
                </c:pt>
                <c:pt idx="1">
                  <c:v>22587.208333333332</c:v>
                </c:pt>
                <c:pt idx="2">
                  <c:v>11505.708333333334</c:v>
                </c:pt>
                <c:pt idx="3">
                  <c:v>5604.708333333333</c:v>
                </c:pt>
                <c:pt idx="4">
                  <c:v>2886.2083333333335</c:v>
                </c:pt>
                <c:pt idx="5">
                  <c:v>1463.2083333333333</c:v>
                </c:pt>
                <c:pt idx="6">
                  <c:v>775.70833333333337</c:v>
                </c:pt>
                <c:pt idx="7">
                  <c:v>446.70833333333331</c:v>
                </c:pt>
                <c:pt idx="8">
                  <c:v>242.70833333333334</c:v>
                </c:pt>
                <c:pt idx="9">
                  <c:v>125.20833333333334</c:v>
                </c:pt>
                <c:pt idx="10">
                  <c:v>65.208333333333343</c:v>
                </c:pt>
                <c:pt idx="11">
                  <c:v>32.208333333333336</c:v>
                </c:pt>
                <c:pt idx="1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C0-7048-BA0B-293D2FB23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839800"/>
        <c:axId val="1190790297"/>
      </c:scatterChart>
      <c:valAx>
        <c:axId val="11288398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0790297"/>
        <c:crosses val="autoZero"/>
        <c:crossBetween val="midCat"/>
      </c:valAx>
      <c:valAx>
        <c:axId val="1190790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883980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523875</xdr:colOff>
      <xdr:row>52</xdr:row>
      <xdr:rowOff>76200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2" displayName="Table_2" ref="U2:AI19" headerRowCount="0">
  <tableColumns count="1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</tableColumns>
  <tableStyleInfo name="2020_01_02_Tite-seq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K1:T18" headerRowCount="0">
  <tableColumns count="10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</tableColumns>
  <tableStyleInfo name="2020_01_02_Tite-seq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_1" displayName="Table_1" ref="B13:O30" headerRowCount="0">
  <tableColumns count="14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</tableColumns>
  <tableStyleInfo name="post-sort, outgrowth plate setu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O92:Z99" headerRowCount="0">
  <tableColumns count="12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</tableColumns>
  <tableStyleInfo name="Illumina Prep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76:L79" headerRowCount="0">
  <tableColumns count="12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</tableColumns>
  <tableStyleInfo name="Illumina Prep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L71">
  <tableColumns count="12">
    <tableColumn id="1" xr3:uid="{00000000-0010-0000-0500-000001000000}" name="Cell"/>
    <tableColumn id="2" xr3:uid="{00000000-0010-0000-0500-000002000000}" name="Sample"/>
    <tableColumn id="3" xr3:uid="{00000000-0010-0000-0500-000003000000}" name="NextFlex index"/>
    <tableColumn id="4" xr3:uid="{00000000-0010-0000-0500-000004000000}" name="cells sorted"/>
    <tableColumn id="5" xr3:uid="{00000000-0010-0000-0500-000005000000}" name="reads"/>
    <tableColumn id="6" xr3:uid="{00000000-0010-0000-0500-000006000000}" name="ratio reads/cells"/>
    <tableColumn id="7" xr3:uid="{00000000-0010-0000-0500-000007000000}" name="number reads needed"/>
    <tableColumn id="8" xr3:uid="{00000000-0010-0000-0500-000008000000}" name="processed reads"/>
    <tableColumn id="9" xr3:uid="{00000000-0010-0000-0500-000009000000}" name="ratio processed/reads"/>
    <tableColumn id="10" xr3:uid="{00000000-0010-0000-0500-00000A000000}" name="ratio processed/cells"/>
    <tableColumn id="11" xr3:uid="{00000000-0010-0000-0500-00000B000000}" name="needs more?"/>
    <tableColumn id="12" xr3:uid="{00000000-0010-0000-0500-00000C000000}" name="number more needed"/>
  </tableColumns>
  <tableStyleInfo name="Illumina Prep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32"/>
  <sheetViews>
    <sheetView topLeftCell="I6" workbookViewId="0">
      <selection activeCell="P33" sqref="P33"/>
    </sheetView>
  </sheetViews>
  <sheetFormatPr baseColWidth="10" defaultColWidth="14.5" defaultRowHeight="15.75" customHeight="1"/>
  <cols>
    <col min="2" max="2" width="11.83203125" customWidth="1"/>
    <col min="3" max="3" width="9.6640625" customWidth="1"/>
    <col min="4" max="4" width="12.33203125" customWidth="1"/>
    <col min="5" max="5" width="17" customWidth="1"/>
    <col min="6" max="6" width="26.6640625" customWidth="1"/>
    <col min="7" max="7" width="30.5" customWidth="1"/>
    <col min="8" max="8" width="25.33203125" customWidth="1"/>
    <col min="9" max="9" width="17.1640625" customWidth="1"/>
    <col min="11" max="11" width="9.5" customWidth="1"/>
    <col min="12" max="12" width="11.33203125" customWidth="1"/>
    <col min="13" max="13" width="11.6640625" customWidth="1"/>
    <col min="14" max="14" width="19.33203125" customWidth="1"/>
    <col min="15" max="15" width="17.33203125" customWidth="1"/>
    <col min="31" max="31" width="16.1640625" customWidth="1"/>
    <col min="32" max="32" width="16.83203125" customWidth="1"/>
    <col min="33" max="33" width="17.1640625" customWidth="1"/>
    <col min="34" max="34" width="16.33203125" customWidth="1"/>
  </cols>
  <sheetData>
    <row r="1" spans="1:35" ht="15.75" customHeight="1">
      <c r="A1" s="1" t="s">
        <v>1</v>
      </c>
      <c r="B1" s="2">
        <v>1E-10</v>
      </c>
      <c r="K1" s="5" t="s">
        <v>3</v>
      </c>
      <c r="L1" s="6"/>
      <c r="M1" s="6"/>
      <c r="N1" s="6"/>
      <c r="O1" s="6"/>
      <c r="P1" s="6"/>
      <c r="Q1" s="6"/>
      <c r="R1" s="6"/>
      <c r="S1" s="6"/>
      <c r="T1" s="6"/>
    </row>
    <row r="2" spans="1:35" ht="15.75" customHeight="1">
      <c r="A2" s="1" t="s">
        <v>6</v>
      </c>
      <c r="B2" s="9">
        <f>30000000</f>
        <v>30000000</v>
      </c>
      <c r="C2" s="1" t="s">
        <v>26</v>
      </c>
      <c r="D2" s="1" t="s">
        <v>27</v>
      </c>
      <c r="E2" s="1" t="s">
        <v>29</v>
      </c>
      <c r="F2" s="56" t="s">
        <v>439</v>
      </c>
      <c r="G2" s="1" t="s">
        <v>31</v>
      </c>
      <c r="H2" s="1" t="s">
        <v>33</v>
      </c>
      <c r="I2" s="1" t="s">
        <v>35</v>
      </c>
      <c r="K2" s="5" t="s">
        <v>37</v>
      </c>
      <c r="L2" s="5" t="s">
        <v>39</v>
      </c>
      <c r="M2" s="5" t="s">
        <v>41</v>
      </c>
      <c r="N2" s="5" t="s">
        <v>43</v>
      </c>
      <c r="O2" s="5" t="s">
        <v>45</v>
      </c>
      <c r="P2" s="5" t="s">
        <v>48</v>
      </c>
      <c r="Q2" s="5" t="s">
        <v>51</v>
      </c>
      <c r="R2" s="5" t="s">
        <v>53</v>
      </c>
      <c r="S2" s="5" t="s">
        <v>54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5" ht="15.75" customHeight="1">
      <c r="A3" s="1" t="s">
        <v>72</v>
      </c>
      <c r="B3" s="9">
        <f>30000</f>
        <v>30000</v>
      </c>
      <c r="C3" s="9">
        <f>10^-6</f>
        <v>9.9999999999999995E-7</v>
      </c>
      <c r="D3" s="14">
        <f>C3/$B$1</f>
        <v>10000</v>
      </c>
      <c r="E3" s="17">
        <f t="shared" ref="E3:E17" si="0">D3/(1+D3)</f>
        <v>0.99990000999900008</v>
      </c>
      <c r="F3" s="9">
        <f t="shared" ref="F3:F17" si="1">$B$2*$B$3*E3*$B$4</f>
        <v>539946005399.46002</v>
      </c>
      <c r="G3" s="9">
        <f t="shared" ref="G3:G17" si="2">F3*10</f>
        <v>5399460053994.6006</v>
      </c>
      <c r="H3" s="9">
        <f t="shared" ref="H3:H17" si="3">G3/(6.022*10^23)</f>
        <v>8.9662239355606128E-12</v>
      </c>
      <c r="I3" s="14">
        <f t="shared" ref="I3:I17" si="4">H3/C3*1000</f>
        <v>8.9662239355606122E-3</v>
      </c>
      <c r="K3" s="5">
        <v>1</v>
      </c>
      <c r="L3" s="20">
        <v>16</v>
      </c>
      <c r="M3" s="18">
        <f>10^-6</f>
        <v>9.9999999999999995E-7</v>
      </c>
      <c r="N3" s="5">
        <v>0.4</v>
      </c>
      <c r="O3" s="6"/>
      <c r="P3" s="6">
        <f t="shared" ref="P3:P18" si="5">N3+O3</f>
        <v>0.4</v>
      </c>
      <c r="Q3" s="22">
        <f>P3-R3/1000</f>
        <v>0.38373983739837403</v>
      </c>
      <c r="R3" s="23">
        <f>P3*M3/$L$24*1000</f>
        <v>16.260162601626014</v>
      </c>
      <c r="S3" s="5" t="s">
        <v>106</v>
      </c>
      <c r="T3" s="5"/>
      <c r="U3" s="24"/>
      <c r="V3" s="20"/>
      <c r="W3" s="18"/>
      <c r="X3" s="6"/>
      <c r="Y3" s="6"/>
      <c r="Z3" s="5"/>
      <c r="AA3" s="5"/>
      <c r="AB3" s="5"/>
      <c r="AC3" s="5"/>
      <c r="AD3" s="6"/>
      <c r="AE3" s="25"/>
      <c r="AF3" s="25"/>
      <c r="AG3" s="25"/>
      <c r="AH3" s="25"/>
      <c r="AI3" s="6"/>
    </row>
    <row r="4" spans="1:35" ht="15.75" customHeight="1">
      <c r="A4" s="1" t="s">
        <v>107</v>
      </c>
      <c r="B4" s="1">
        <v>0.6</v>
      </c>
      <c r="C4" s="9">
        <f>10^-6.5</f>
        <v>3.1622776601683734E-7</v>
      </c>
      <c r="D4" s="14">
        <f t="shared" ref="D3:D17" si="6">C4/$B$1</f>
        <v>3162.2776601683731</v>
      </c>
      <c r="E4" s="17">
        <f t="shared" si="0"/>
        <v>0.99968387220237043</v>
      </c>
      <c r="F4" s="9">
        <f t="shared" si="1"/>
        <v>539829290989.28003</v>
      </c>
      <c r="G4" s="9">
        <f t="shared" si="2"/>
        <v>5398292909892.8008</v>
      </c>
      <c r="H4" s="9">
        <f t="shared" si="3"/>
        <v>8.9642858018811052E-12</v>
      </c>
      <c r="I4" s="14">
        <f t="shared" si="4"/>
        <v>2.8347560730653261E-2</v>
      </c>
      <c r="K4" s="5">
        <v>2</v>
      </c>
      <c r="L4" s="20">
        <v>15</v>
      </c>
      <c r="M4" s="18">
        <f>10^-6.5</f>
        <v>3.1622776601683734E-7</v>
      </c>
      <c r="N4" s="5">
        <v>0.4</v>
      </c>
      <c r="O4" s="6"/>
      <c r="P4" s="6">
        <f t="shared" si="5"/>
        <v>0.4</v>
      </c>
      <c r="Q4" s="22">
        <f t="shared" ref="Q3:Q18" si="7">P4-R4/1000</f>
        <v>0.3485808510541728</v>
      </c>
      <c r="R4" s="23">
        <f t="shared" ref="R4:R5" si="8">P4*M4/$L$25*1000</f>
        <v>51.419148945827203</v>
      </c>
      <c r="S4" s="5" t="s">
        <v>108</v>
      </c>
      <c r="T4" s="5"/>
      <c r="U4" s="24"/>
      <c r="V4" s="20"/>
      <c r="W4" s="18"/>
      <c r="X4" s="6"/>
      <c r="Y4" s="6"/>
      <c r="Z4" s="6"/>
      <c r="AA4" s="6"/>
      <c r="AB4" s="6"/>
      <c r="AC4" s="6"/>
      <c r="AD4" s="6"/>
      <c r="AE4" s="25"/>
      <c r="AF4" s="25"/>
      <c r="AG4" s="25"/>
      <c r="AH4" s="25"/>
      <c r="AI4" s="6"/>
    </row>
    <row r="5" spans="1:35" ht="15.75" customHeight="1">
      <c r="C5" s="9">
        <f>10^-7</f>
        <v>9.9999999999999995E-8</v>
      </c>
      <c r="D5" s="14">
        <f t="shared" si="6"/>
        <v>999.99999999999989</v>
      </c>
      <c r="E5" s="17">
        <f t="shared" si="0"/>
        <v>0.99900099900099903</v>
      </c>
      <c r="F5" s="9">
        <f t="shared" si="1"/>
        <v>539460539460.53949</v>
      </c>
      <c r="G5" s="9">
        <f t="shared" si="2"/>
        <v>5394605394605.3945</v>
      </c>
      <c r="H5" s="9">
        <f t="shared" si="3"/>
        <v>8.9581623955586101E-12</v>
      </c>
      <c r="I5" s="14">
        <f t="shared" si="4"/>
        <v>8.9581623955586095E-2</v>
      </c>
      <c r="K5" s="5">
        <v>3</v>
      </c>
      <c r="L5" s="20">
        <v>14</v>
      </c>
      <c r="M5" s="18">
        <f>10^-7</f>
        <v>9.9999999999999995E-8</v>
      </c>
      <c r="N5" s="5">
        <v>0.4</v>
      </c>
      <c r="O5" s="5">
        <f>2*0.4</f>
        <v>0.8</v>
      </c>
      <c r="P5" s="6">
        <f t="shared" si="5"/>
        <v>1.2000000000000002</v>
      </c>
      <c r="Q5" s="22">
        <f t="shared" si="7"/>
        <v>1.1512195121951221</v>
      </c>
      <c r="R5" s="23">
        <f t="shared" si="8"/>
        <v>48.780487804878049</v>
      </c>
      <c r="S5" s="5" t="s">
        <v>108</v>
      </c>
      <c r="T5" s="5"/>
      <c r="U5" s="24"/>
      <c r="V5" s="20"/>
      <c r="W5" s="18"/>
      <c r="X5" s="6"/>
      <c r="Y5" s="6"/>
      <c r="Z5" s="6"/>
      <c r="AA5" s="6"/>
      <c r="AB5" s="6"/>
      <c r="AC5" s="6"/>
      <c r="AD5" s="6"/>
      <c r="AE5" s="25"/>
      <c r="AF5" s="25"/>
      <c r="AG5" s="25"/>
      <c r="AH5" s="25"/>
      <c r="AI5" s="6"/>
    </row>
    <row r="6" spans="1:35" ht="15.75" customHeight="1">
      <c r="C6" s="9">
        <f>10^-7.5</f>
        <v>3.1622776601683699E-8</v>
      </c>
      <c r="D6" s="14">
        <f t="shared" si="6"/>
        <v>316.22776601683699</v>
      </c>
      <c r="E6" s="17">
        <f t="shared" si="0"/>
        <v>0.99684769081673974</v>
      </c>
      <c r="F6" s="9">
        <f t="shared" si="1"/>
        <v>538297753041.03943</v>
      </c>
      <c r="G6" s="9">
        <f t="shared" si="2"/>
        <v>5382977530410.3945</v>
      </c>
      <c r="H6" s="9">
        <f t="shared" si="3"/>
        <v>8.9388534214719277E-12</v>
      </c>
      <c r="I6" s="14">
        <f t="shared" si="4"/>
        <v>0.28267136482240446</v>
      </c>
      <c r="K6" s="5">
        <v>4</v>
      </c>
      <c r="L6" s="20">
        <v>13</v>
      </c>
      <c r="M6" s="18">
        <f>10^-7.5</f>
        <v>3.1622776601683699E-8</v>
      </c>
      <c r="N6" s="5">
        <v>0.4</v>
      </c>
      <c r="O6" s="6"/>
      <c r="P6" s="6">
        <f t="shared" si="5"/>
        <v>0.4</v>
      </c>
      <c r="Q6" s="22">
        <f t="shared" si="7"/>
        <v>0.34858085105417286</v>
      </c>
      <c r="R6" s="23">
        <f t="shared" ref="R6:R12" si="9">P6*M6/$L$26*1000</f>
        <v>51.419148945827153</v>
      </c>
      <c r="S6" s="5" t="s">
        <v>109</v>
      </c>
      <c r="T6" s="5"/>
      <c r="U6" s="24"/>
      <c r="V6" s="20"/>
      <c r="W6" s="18"/>
      <c r="X6" s="6"/>
      <c r="Y6" s="6"/>
      <c r="Z6" s="6"/>
      <c r="AA6" s="6"/>
      <c r="AB6" s="6"/>
      <c r="AC6" s="6"/>
      <c r="AD6" s="6"/>
      <c r="AE6" s="25"/>
      <c r="AF6" s="25"/>
      <c r="AG6" s="25"/>
      <c r="AH6" s="25"/>
      <c r="AI6" s="6"/>
    </row>
    <row r="7" spans="1:35" ht="15.75" customHeight="1">
      <c r="C7" s="9">
        <f>10^-8</f>
        <v>1E-8</v>
      </c>
      <c r="D7" s="14">
        <f t="shared" si="6"/>
        <v>100</v>
      </c>
      <c r="E7" s="17">
        <f t="shared" si="0"/>
        <v>0.99009900990099009</v>
      </c>
      <c r="F7" s="9">
        <f t="shared" si="1"/>
        <v>534653465346.53467</v>
      </c>
      <c r="G7" s="9">
        <f t="shared" si="2"/>
        <v>5346534653465.3467</v>
      </c>
      <c r="H7" s="9">
        <f t="shared" si="3"/>
        <v>8.8783371860932367E-12</v>
      </c>
      <c r="I7" s="14">
        <f t="shared" si="4"/>
        <v>0.88783371860932359</v>
      </c>
      <c r="K7" s="5">
        <v>5</v>
      </c>
      <c r="L7" s="20">
        <v>12</v>
      </c>
      <c r="M7" s="18">
        <f>10^-8</f>
        <v>1E-8</v>
      </c>
      <c r="N7" s="5">
        <v>1</v>
      </c>
      <c r="O7" s="6"/>
      <c r="P7" s="6">
        <f t="shared" si="5"/>
        <v>1</v>
      </c>
      <c r="Q7" s="22">
        <f t="shared" si="7"/>
        <v>0.95934959349593496</v>
      </c>
      <c r="R7" s="23">
        <f t="shared" si="9"/>
        <v>40.650406504065039</v>
      </c>
      <c r="S7" s="5" t="s">
        <v>109</v>
      </c>
      <c r="T7" s="5"/>
      <c r="U7" s="24"/>
      <c r="V7" s="20"/>
      <c r="W7" s="18"/>
      <c r="X7" s="6"/>
      <c r="Y7" s="6"/>
      <c r="Z7" s="6"/>
      <c r="AA7" s="6"/>
      <c r="AB7" s="6"/>
      <c r="AC7" s="6"/>
      <c r="AD7" s="6"/>
      <c r="AE7" s="25"/>
      <c r="AF7" s="25"/>
      <c r="AG7" s="25"/>
      <c r="AH7" s="25"/>
      <c r="AI7" s="6"/>
    </row>
    <row r="8" spans="1:35" ht="15.75" customHeight="1">
      <c r="C8" s="9">
        <f>10^-8.5</f>
        <v>3.1622776601683779E-9</v>
      </c>
      <c r="D8" s="14">
        <f t="shared" si="6"/>
        <v>31.622776601683778</v>
      </c>
      <c r="E8" s="17">
        <f t="shared" si="0"/>
        <v>0.96934656996828439</v>
      </c>
      <c r="F8" s="9">
        <f t="shared" si="1"/>
        <v>523447147782.87354</v>
      </c>
      <c r="G8" s="9">
        <f t="shared" si="2"/>
        <v>5234471477828.7354</v>
      </c>
      <c r="H8" s="9">
        <f t="shared" si="3"/>
        <v>8.6922475553449613E-12</v>
      </c>
      <c r="I8" s="14">
        <f t="shared" si="4"/>
        <v>2.7487300260920593</v>
      </c>
      <c r="K8" s="5">
        <v>6</v>
      </c>
      <c r="L8" s="20">
        <v>11</v>
      </c>
      <c r="M8" s="18">
        <f>10^-8.5</f>
        <v>3.1622776601683779E-9</v>
      </c>
      <c r="N8" s="5">
        <v>3</v>
      </c>
      <c r="O8" s="6"/>
      <c r="P8" s="6">
        <f t="shared" si="5"/>
        <v>3</v>
      </c>
      <c r="Q8" s="26">
        <f t="shared" si="7"/>
        <v>2.9614356382906295</v>
      </c>
      <c r="R8" s="23">
        <f t="shared" si="9"/>
        <v>38.564361709370466</v>
      </c>
      <c r="S8" s="5" t="s">
        <v>109</v>
      </c>
      <c r="T8" s="5"/>
      <c r="U8" s="24"/>
      <c r="V8" s="20"/>
      <c r="W8" s="18"/>
      <c r="X8" s="6"/>
      <c r="Y8" s="6"/>
      <c r="Z8" s="6"/>
      <c r="AA8" s="6"/>
      <c r="AB8" s="6"/>
      <c r="AC8" s="6"/>
      <c r="AD8" s="6"/>
      <c r="AE8" s="25"/>
      <c r="AF8" s="25"/>
      <c r="AG8" s="25"/>
      <c r="AH8" s="25"/>
      <c r="AI8" s="6"/>
    </row>
    <row r="9" spans="1:35" ht="15.75" customHeight="1">
      <c r="C9" s="9">
        <f>10^-9</f>
        <v>1.0000000000000001E-9</v>
      </c>
      <c r="D9" s="14">
        <f t="shared" si="6"/>
        <v>10</v>
      </c>
      <c r="E9" s="17">
        <f t="shared" si="0"/>
        <v>0.90909090909090906</v>
      </c>
      <c r="F9" s="9">
        <f t="shared" si="1"/>
        <v>490909090909.09088</v>
      </c>
      <c r="G9" s="9">
        <f t="shared" si="2"/>
        <v>4909090909090.9092</v>
      </c>
      <c r="H9" s="9">
        <f t="shared" si="3"/>
        <v>8.151927779958335E-12</v>
      </c>
      <c r="I9" s="14">
        <f t="shared" si="4"/>
        <v>8.1519277799583332</v>
      </c>
      <c r="K9" s="5">
        <v>7</v>
      </c>
      <c r="L9" s="20">
        <v>10</v>
      </c>
      <c r="M9" s="18">
        <f>10^-9</f>
        <v>1.0000000000000001E-9</v>
      </c>
      <c r="N9" s="5">
        <v>9</v>
      </c>
      <c r="O9" s="6"/>
      <c r="P9" s="6">
        <f t="shared" si="5"/>
        <v>9</v>
      </c>
      <c r="Q9" s="26">
        <f t="shared" si="7"/>
        <v>8.963414634146341</v>
      </c>
      <c r="R9" s="23">
        <f t="shared" si="9"/>
        <v>36.585365853658544</v>
      </c>
      <c r="S9" s="5" t="s">
        <v>109</v>
      </c>
      <c r="T9" s="5"/>
      <c r="U9" s="24"/>
      <c r="V9" s="20"/>
      <c r="W9" s="18"/>
      <c r="X9" s="19"/>
      <c r="Y9" s="19"/>
      <c r="Z9" s="6"/>
      <c r="AA9" s="6"/>
      <c r="AB9" s="6"/>
      <c r="AC9" s="6"/>
      <c r="AD9" s="6"/>
      <c r="AE9" s="25"/>
      <c r="AF9" s="25"/>
      <c r="AG9" s="25"/>
      <c r="AH9" s="25"/>
      <c r="AI9" s="6"/>
    </row>
    <row r="10" spans="1:35" ht="15.75" customHeight="1">
      <c r="C10" s="9">
        <f>10^-9.5</f>
        <v>3.1622776601683744E-10</v>
      </c>
      <c r="D10" s="14">
        <f t="shared" si="6"/>
        <v>3.1622776601683742</v>
      </c>
      <c r="E10" s="17">
        <f t="shared" si="0"/>
        <v>0.75974692664795751</v>
      </c>
      <c r="F10" s="9">
        <f t="shared" si="1"/>
        <v>410263340389.89703</v>
      </c>
      <c r="G10" s="9">
        <f t="shared" si="2"/>
        <v>4102633403898.9702</v>
      </c>
      <c r="H10" s="9">
        <f t="shared" si="3"/>
        <v>6.8127422847873973E-12</v>
      </c>
      <c r="I10" s="14">
        <f t="shared" si="4"/>
        <v>21.543782731667704</v>
      </c>
      <c r="K10" s="5">
        <v>8</v>
      </c>
      <c r="L10" s="20">
        <v>9</v>
      </c>
      <c r="M10" s="18">
        <f>10^-9.5</f>
        <v>3.1622776601683744E-10</v>
      </c>
      <c r="N10" s="5">
        <v>25</v>
      </c>
      <c r="O10" s="6"/>
      <c r="P10" s="6">
        <f t="shared" si="5"/>
        <v>25</v>
      </c>
      <c r="Q10" s="26">
        <f t="shared" si="7"/>
        <v>24.967863031908859</v>
      </c>
      <c r="R10" s="23">
        <f t="shared" si="9"/>
        <v>32.136968091142016</v>
      </c>
      <c r="S10" s="5" t="s">
        <v>109</v>
      </c>
      <c r="T10" s="5"/>
      <c r="U10" s="24"/>
      <c r="V10" s="20"/>
      <c r="W10" s="18"/>
      <c r="X10" s="19"/>
      <c r="Y10" s="19"/>
      <c r="Z10" s="6"/>
      <c r="AA10" s="6"/>
      <c r="AB10" s="6"/>
      <c r="AC10" s="6"/>
      <c r="AD10" s="6"/>
      <c r="AE10" s="25"/>
      <c r="AF10" s="25"/>
      <c r="AG10" s="25"/>
      <c r="AH10" s="25"/>
      <c r="AI10" s="6"/>
    </row>
    <row r="11" spans="1:35" ht="15.75" customHeight="1">
      <c r="C11" s="9">
        <f>10^-10</f>
        <v>1E-10</v>
      </c>
      <c r="D11" s="14">
        <f t="shared" si="6"/>
        <v>1</v>
      </c>
      <c r="E11" s="17">
        <f t="shared" si="0"/>
        <v>0.5</v>
      </c>
      <c r="F11" s="9">
        <f t="shared" si="1"/>
        <v>270000000000</v>
      </c>
      <c r="G11" s="9">
        <f t="shared" si="2"/>
        <v>2700000000000</v>
      </c>
      <c r="H11" s="9">
        <f t="shared" si="3"/>
        <v>4.4835602789770841E-12</v>
      </c>
      <c r="I11" s="14">
        <f t="shared" si="4"/>
        <v>44.835602789770839</v>
      </c>
      <c r="J11" s="1" t="s">
        <v>110</v>
      </c>
      <c r="K11" s="5">
        <v>9</v>
      </c>
      <c r="L11" s="20">
        <v>8</v>
      </c>
      <c r="M11" s="18">
        <f>10^-10</f>
        <v>1E-10</v>
      </c>
      <c r="N11" s="5">
        <v>50</v>
      </c>
      <c r="O11" s="6"/>
      <c r="P11" s="6">
        <f t="shared" si="5"/>
        <v>50</v>
      </c>
      <c r="Q11" s="26">
        <f t="shared" si="7"/>
        <v>49.979674796747965</v>
      </c>
      <c r="R11" s="23">
        <f t="shared" si="9"/>
        <v>20.325203252032519</v>
      </c>
      <c r="S11" s="5" t="s">
        <v>109</v>
      </c>
      <c r="T11" s="5"/>
      <c r="U11" s="24"/>
      <c r="V11" s="20"/>
      <c r="W11" s="18"/>
      <c r="X11" s="19"/>
      <c r="Y11" s="19"/>
      <c r="Z11" s="5"/>
      <c r="AA11" s="5"/>
      <c r="AB11" s="5"/>
      <c r="AC11" s="5"/>
      <c r="AD11" s="6"/>
      <c r="AE11" s="21"/>
      <c r="AF11" s="21"/>
      <c r="AG11" s="21"/>
      <c r="AH11" s="21"/>
      <c r="AI11" s="6"/>
    </row>
    <row r="12" spans="1:35" ht="15.75" customHeight="1">
      <c r="C12" s="9">
        <f>10^-10.5</f>
        <v>3.162277660168371E-11</v>
      </c>
      <c r="D12" s="14">
        <f t="shared" si="6"/>
        <v>0.31622776601683711</v>
      </c>
      <c r="E12" s="17">
        <f t="shared" si="0"/>
        <v>0.24025307335204169</v>
      </c>
      <c r="F12" s="9">
        <f t="shared" si="1"/>
        <v>129736659610.10251</v>
      </c>
      <c r="G12" s="9">
        <f t="shared" si="2"/>
        <v>1297366596101.0251</v>
      </c>
      <c r="H12" s="9">
        <f t="shared" si="3"/>
        <v>2.154378273166764E-12</v>
      </c>
      <c r="I12" s="14">
        <f t="shared" si="4"/>
        <v>68.127422847874058</v>
      </c>
      <c r="K12" s="5">
        <v>10</v>
      </c>
      <c r="L12" s="20">
        <v>7</v>
      </c>
      <c r="M12" s="18">
        <f>10^-10.5</f>
        <v>3.162277660168371E-11</v>
      </c>
      <c r="N12" s="5">
        <v>100</v>
      </c>
      <c r="O12" s="6"/>
      <c r="P12" s="6">
        <f t="shared" si="5"/>
        <v>100</v>
      </c>
      <c r="Q12" s="26">
        <f>P12-R12/1000</f>
        <v>99.987145212763537</v>
      </c>
      <c r="R12" s="23">
        <f t="shared" si="9"/>
        <v>12.854787236456792</v>
      </c>
      <c r="S12" s="5" t="s">
        <v>109</v>
      </c>
      <c r="T12" s="5"/>
      <c r="U12" s="24"/>
      <c r="V12" s="20"/>
      <c r="W12" s="18"/>
      <c r="X12" s="19"/>
      <c r="Y12" s="19"/>
      <c r="Z12" s="5"/>
      <c r="AA12" s="5"/>
      <c r="AB12" s="5"/>
      <c r="AC12" s="5"/>
      <c r="AD12" s="6"/>
      <c r="AE12" s="21"/>
      <c r="AF12" s="21"/>
      <c r="AG12" s="21"/>
      <c r="AH12" s="21"/>
      <c r="AI12" s="6"/>
    </row>
    <row r="13" spans="1:35" ht="15.75" customHeight="1">
      <c r="C13" s="9">
        <f>10^-11</f>
        <v>9.9999999999999994E-12</v>
      </c>
      <c r="D13" s="14">
        <f t="shared" si="6"/>
        <v>9.9999999999999992E-2</v>
      </c>
      <c r="E13" s="17">
        <f t="shared" si="0"/>
        <v>9.0909090909090898E-2</v>
      </c>
      <c r="F13" s="9">
        <f t="shared" si="1"/>
        <v>49090909090.909081</v>
      </c>
      <c r="G13" s="9">
        <f t="shared" si="2"/>
        <v>490909090909.09082</v>
      </c>
      <c r="H13" s="9">
        <f t="shared" si="3"/>
        <v>8.1519277799583338E-13</v>
      </c>
      <c r="I13" s="14">
        <f t="shared" si="4"/>
        <v>81.51927779958335</v>
      </c>
      <c r="K13" s="5">
        <v>11</v>
      </c>
      <c r="L13" s="20">
        <v>6</v>
      </c>
      <c r="M13" s="18">
        <f>10^-11</f>
        <v>9.9999999999999994E-12</v>
      </c>
      <c r="N13" s="5">
        <v>100</v>
      </c>
      <c r="O13" s="6"/>
      <c r="P13" s="6">
        <f t="shared" si="5"/>
        <v>100</v>
      </c>
      <c r="Q13" s="26">
        <f t="shared" si="7"/>
        <v>99.959349593495929</v>
      </c>
      <c r="R13" s="23">
        <f t="shared" ref="R13:R15" si="10">P13*M13/$L$27*1000</f>
        <v>40.650406504065032</v>
      </c>
      <c r="S13" s="5" t="s">
        <v>111</v>
      </c>
      <c r="T13" s="5"/>
      <c r="U13" s="24"/>
      <c r="V13" s="20"/>
      <c r="W13" s="18"/>
      <c r="X13" s="19"/>
      <c r="Y13" s="19"/>
      <c r="Z13" s="5"/>
      <c r="AA13" s="5"/>
      <c r="AB13" s="5"/>
      <c r="AC13" s="5"/>
      <c r="AD13" s="6"/>
      <c r="AE13" s="21"/>
      <c r="AF13" s="21"/>
      <c r="AG13" s="21"/>
      <c r="AH13" s="21"/>
      <c r="AI13" s="6"/>
    </row>
    <row r="14" spans="1:35" ht="15.75" customHeight="1">
      <c r="C14" s="9">
        <f>10^-11.5</f>
        <v>3.1622776601683669E-12</v>
      </c>
      <c r="D14" s="14">
        <f t="shared" si="6"/>
        <v>3.1622776601683666E-2</v>
      </c>
      <c r="E14" s="17">
        <f t="shared" si="0"/>
        <v>3.065343003171539E-2</v>
      </c>
      <c r="F14" s="9">
        <f t="shared" si="1"/>
        <v>16552852217.126308</v>
      </c>
      <c r="G14" s="9">
        <f t="shared" si="2"/>
        <v>165528522171.26309</v>
      </c>
      <c r="H14" s="9">
        <f t="shared" si="3"/>
        <v>2.7487300260920476E-13</v>
      </c>
      <c r="I14" s="14">
        <f t="shared" si="4"/>
        <v>86.92247555344963</v>
      </c>
      <c r="K14" s="5">
        <v>12</v>
      </c>
      <c r="L14" s="20">
        <v>5</v>
      </c>
      <c r="M14" s="18">
        <f>10^-11.5</f>
        <v>3.1622776601683669E-12</v>
      </c>
      <c r="N14" s="5">
        <v>100</v>
      </c>
      <c r="O14" s="6"/>
      <c r="P14" s="6">
        <f t="shared" si="5"/>
        <v>100</v>
      </c>
      <c r="Q14" s="26">
        <f t="shared" si="7"/>
        <v>99.987145212763537</v>
      </c>
      <c r="R14" s="23">
        <f t="shared" si="10"/>
        <v>12.854787236456776</v>
      </c>
      <c r="S14" s="5" t="s">
        <v>111</v>
      </c>
      <c r="T14" s="5"/>
      <c r="U14" s="24"/>
      <c r="V14" s="20"/>
      <c r="W14" s="18"/>
      <c r="X14" s="19"/>
      <c r="Y14" s="19"/>
      <c r="Z14" s="5"/>
      <c r="AA14" s="5"/>
      <c r="AB14" s="5"/>
      <c r="AC14" s="5"/>
      <c r="AD14" s="6"/>
      <c r="AE14" s="21"/>
      <c r="AF14" s="21"/>
      <c r="AG14" s="21"/>
      <c r="AH14" s="21"/>
      <c r="AI14" s="6"/>
    </row>
    <row r="15" spans="1:35" ht="15.75" customHeight="1">
      <c r="C15" s="9">
        <f>10^-12</f>
        <v>9.9999999999999998E-13</v>
      </c>
      <c r="D15" s="14">
        <f t="shared" si="6"/>
        <v>0.01</v>
      </c>
      <c r="E15" s="17">
        <f t="shared" si="0"/>
        <v>9.9009900990099011E-3</v>
      </c>
      <c r="F15" s="9">
        <f t="shared" si="1"/>
        <v>5346534653.4653463</v>
      </c>
      <c r="G15" s="9">
        <f t="shared" si="2"/>
        <v>53465346534.653465</v>
      </c>
      <c r="H15" s="9">
        <f t="shared" si="3"/>
        <v>8.8783371860932367E-14</v>
      </c>
      <c r="I15" s="14">
        <f t="shared" si="4"/>
        <v>88.783371860932363</v>
      </c>
      <c r="K15" s="5">
        <v>13</v>
      </c>
      <c r="L15" s="20">
        <v>4</v>
      </c>
      <c r="M15" s="18">
        <f>10^-12</f>
        <v>9.9999999999999998E-13</v>
      </c>
      <c r="N15" s="5">
        <v>100</v>
      </c>
      <c r="O15" s="6"/>
      <c r="P15" s="6">
        <f t="shared" si="5"/>
        <v>100</v>
      </c>
      <c r="Q15" s="26">
        <f t="shared" si="7"/>
        <v>99.995934959349597</v>
      </c>
      <c r="R15" s="23">
        <f t="shared" si="10"/>
        <v>4.0650406504065035</v>
      </c>
      <c r="S15" s="5" t="s">
        <v>111</v>
      </c>
      <c r="T15" s="5"/>
      <c r="U15" s="24"/>
      <c r="V15" s="20"/>
      <c r="W15" s="18"/>
      <c r="X15" s="19"/>
      <c r="Y15" s="19"/>
      <c r="Z15" s="5"/>
      <c r="AA15" s="5"/>
      <c r="AB15" s="5"/>
      <c r="AC15" s="5"/>
      <c r="AD15" s="6"/>
      <c r="AE15" s="21"/>
      <c r="AF15" s="21"/>
      <c r="AG15" s="21"/>
      <c r="AH15" s="21"/>
      <c r="AI15" s="6"/>
    </row>
    <row r="16" spans="1:35" ht="15.75" customHeight="1">
      <c r="C16" s="9">
        <f>10^-12.5</f>
        <v>3.1622776601683746E-13</v>
      </c>
      <c r="D16" s="14">
        <f t="shared" si="6"/>
        <v>3.1622776601683746E-3</v>
      </c>
      <c r="E16" s="17">
        <f t="shared" si="0"/>
        <v>3.1523091832602076E-3</v>
      </c>
      <c r="F16" s="9">
        <f t="shared" si="1"/>
        <v>1702246958.9605122</v>
      </c>
      <c r="G16" s="9">
        <f t="shared" si="2"/>
        <v>17022469589.605122</v>
      </c>
      <c r="H16" s="9">
        <f t="shared" si="3"/>
        <v>2.8267136482240324E-14</v>
      </c>
      <c r="I16" s="14">
        <f t="shared" si="4"/>
        <v>89.3885342147193</v>
      </c>
      <c r="K16" s="5">
        <v>14</v>
      </c>
      <c r="L16" s="20">
        <v>3</v>
      </c>
      <c r="M16" s="18">
        <f>10^-12.5</f>
        <v>3.1622776601683746E-13</v>
      </c>
      <c r="N16" s="5">
        <v>100</v>
      </c>
      <c r="O16" s="6"/>
      <c r="P16" s="6">
        <f t="shared" si="5"/>
        <v>100</v>
      </c>
      <c r="Q16" s="26">
        <f t="shared" si="7"/>
        <v>99.987145212763537</v>
      </c>
      <c r="R16" s="23">
        <f t="shared" ref="R16:R17" si="11">P16*M16/$L$28*1000</f>
        <v>12.854787236456806</v>
      </c>
      <c r="S16" s="5" t="s">
        <v>112</v>
      </c>
      <c r="T16" s="5"/>
      <c r="U16" s="24"/>
      <c r="V16" s="20"/>
      <c r="W16" s="18"/>
      <c r="X16" s="19"/>
      <c r="Y16" s="19"/>
      <c r="Z16" s="5"/>
      <c r="AA16" s="28"/>
      <c r="AB16" s="28"/>
      <c r="AC16" s="28"/>
      <c r="AD16" s="28"/>
      <c r="AE16" s="21"/>
      <c r="AF16" s="21"/>
      <c r="AG16" s="21"/>
      <c r="AH16" s="21"/>
      <c r="AI16" s="5"/>
    </row>
    <row r="17" spans="3:35" ht="15.75" customHeight="1">
      <c r="C17" s="9">
        <f>10^-13</f>
        <v>1E-13</v>
      </c>
      <c r="D17" s="14">
        <f t="shared" si="6"/>
        <v>1E-3</v>
      </c>
      <c r="E17" s="17">
        <f t="shared" si="0"/>
        <v>9.9900099900099922E-4</v>
      </c>
      <c r="F17" s="9">
        <f t="shared" si="1"/>
        <v>539460539.46053958</v>
      </c>
      <c r="G17" s="9">
        <f t="shared" si="2"/>
        <v>5394605394.6053963</v>
      </c>
      <c r="H17" s="9">
        <f t="shared" si="3"/>
        <v>8.9581623955586121E-15</v>
      </c>
      <c r="I17" s="14">
        <f t="shared" si="4"/>
        <v>89.581623955586124</v>
      </c>
      <c r="K17" s="5">
        <v>15</v>
      </c>
      <c r="L17" s="20">
        <v>2</v>
      </c>
      <c r="M17" s="18">
        <f>10^-13</f>
        <v>1E-13</v>
      </c>
      <c r="N17" s="5">
        <v>100</v>
      </c>
      <c r="O17" s="6"/>
      <c r="P17" s="6">
        <f t="shared" si="5"/>
        <v>100</v>
      </c>
      <c r="Q17" s="26">
        <f t="shared" si="7"/>
        <v>99.995934959349597</v>
      </c>
      <c r="R17" s="23">
        <f t="shared" si="11"/>
        <v>4.0650406504065044</v>
      </c>
      <c r="S17" s="5" t="s">
        <v>112</v>
      </c>
      <c r="T17" s="5"/>
      <c r="U17" s="24"/>
      <c r="V17" s="20"/>
      <c r="W17" s="18"/>
      <c r="X17" s="6"/>
      <c r="Y17" s="6"/>
      <c r="Z17" s="6"/>
      <c r="AA17" s="6"/>
      <c r="AB17" s="6"/>
      <c r="AC17" s="6"/>
      <c r="AD17" s="6"/>
      <c r="AE17" s="21"/>
      <c r="AF17" s="21"/>
      <c r="AG17" s="21"/>
      <c r="AH17" s="21"/>
      <c r="AI17" s="6"/>
    </row>
    <row r="18" spans="3:35" ht="15.75" customHeight="1">
      <c r="C18" s="1">
        <v>0</v>
      </c>
      <c r="K18" s="5">
        <v>16</v>
      </c>
      <c r="L18" s="5">
        <v>1</v>
      </c>
      <c r="M18" s="5">
        <v>0</v>
      </c>
      <c r="N18" s="5">
        <v>0.4</v>
      </c>
      <c r="O18" s="5">
        <f>0.4*3</f>
        <v>1.2000000000000002</v>
      </c>
      <c r="P18" s="6">
        <f t="shared" si="5"/>
        <v>1.6</v>
      </c>
      <c r="Q18" s="22">
        <f t="shared" si="7"/>
        <v>1.6</v>
      </c>
      <c r="R18" s="32">
        <v>0</v>
      </c>
      <c r="S18" s="5" t="s">
        <v>113</v>
      </c>
      <c r="T18" s="5"/>
      <c r="U18" s="5"/>
      <c r="V18" s="5"/>
      <c r="W18" s="5"/>
      <c r="X18" s="19"/>
      <c r="Y18" s="19"/>
      <c r="Z18" s="5"/>
      <c r="AA18" s="5"/>
      <c r="AB18" s="5"/>
      <c r="AC18" s="5"/>
      <c r="AD18" s="6"/>
      <c r="AE18" s="21"/>
      <c r="AF18" s="21"/>
      <c r="AG18" s="21"/>
      <c r="AH18" s="21"/>
      <c r="AI18" s="29"/>
    </row>
    <row r="19" spans="3:35" ht="15.75" customHeight="1">
      <c r="U19" s="29"/>
      <c r="V19" s="29"/>
      <c r="W19" s="29"/>
      <c r="Y19" s="29"/>
      <c r="Z19" s="29"/>
      <c r="AA19" s="29"/>
      <c r="AB19" s="29"/>
      <c r="AC19" s="29"/>
      <c r="AD19" s="29"/>
      <c r="AE19" s="31"/>
      <c r="AF19" s="31"/>
      <c r="AG19" s="31"/>
      <c r="AH19" s="31"/>
      <c r="AI19" s="29"/>
    </row>
    <row r="23" spans="3:35" ht="15.75" customHeight="1">
      <c r="K23" s="1" t="s">
        <v>114</v>
      </c>
      <c r="M23" s="1" t="s">
        <v>115</v>
      </c>
      <c r="N23" s="1" t="s">
        <v>116</v>
      </c>
      <c r="O23" s="1" t="s">
        <v>117</v>
      </c>
    </row>
    <row r="24" spans="3:35" ht="15.75" customHeight="1">
      <c r="K24" s="1" t="s">
        <v>106</v>
      </c>
      <c r="L24" s="2">
        <v>2.4600000000000002E-5</v>
      </c>
      <c r="M24" s="33">
        <f>SUM(N25,R3)*1.1</f>
        <v>33.192405819593596</v>
      </c>
      <c r="N24" s="34" t="s">
        <v>118</v>
      </c>
    </row>
    <row r="25" spans="3:35" ht="15.75" customHeight="1">
      <c r="K25" s="1" t="s">
        <v>108</v>
      </c>
      <c r="L25" s="9">
        <f t="shared" ref="L25:L28" si="12">L24/10</f>
        <v>2.4600000000000002E-6</v>
      </c>
      <c r="M25" s="33">
        <f>SUM(N26,R4:R5)*1.1</f>
        <v>139.14751779822706</v>
      </c>
      <c r="N25" s="14">
        <f t="shared" ref="N25:N28" si="13">M25*L25/L24</f>
        <v>13.914751779822705</v>
      </c>
      <c r="O25" s="33">
        <f t="shared" ref="O25:O28" si="14">M25-N25</f>
        <v>125.23276601840435</v>
      </c>
    </row>
    <row r="26" spans="3:35" ht="15.75" customHeight="1">
      <c r="K26" s="1" t="s">
        <v>109</v>
      </c>
      <c r="L26" s="9">
        <f t="shared" si="12"/>
        <v>2.4600000000000001E-7</v>
      </c>
      <c r="M26" s="33">
        <f>SUM(N27,R6:R12)*1.1</f>
        <v>262.98106702228426</v>
      </c>
      <c r="N26" s="14">
        <f t="shared" si="13"/>
        <v>26.298106702228427</v>
      </c>
      <c r="O26" s="33">
        <f t="shared" si="14"/>
        <v>236.68296032005583</v>
      </c>
    </row>
    <row r="27" spans="3:35" ht="15.75" customHeight="1">
      <c r="K27" s="1" t="s">
        <v>111</v>
      </c>
      <c r="L27" s="9">
        <f t="shared" si="12"/>
        <v>2.4600000000000002E-8</v>
      </c>
      <c r="M27" s="33">
        <f>SUM(R13:R15,N28)*1.1</f>
        <v>65.374557004331606</v>
      </c>
      <c r="N27" s="14">
        <f t="shared" si="13"/>
        <v>6.5374557004331608</v>
      </c>
      <c r="O27" s="33">
        <f t="shared" si="14"/>
        <v>58.837101303898443</v>
      </c>
    </row>
    <row r="28" spans="3:35" ht="15.75" customHeight="1">
      <c r="K28" s="1" t="s">
        <v>112</v>
      </c>
      <c r="L28" s="9">
        <f t="shared" si="12"/>
        <v>2.4600000000000002E-9</v>
      </c>
      <c r="M28" s="33">
        <f>SUM(R16:R17)*1.1</f>
        <v>18.611810675549641</v>
      </c>
      <c r="N28" s="14">
        <f t="shared" si="13"/>
        <v>1.8611810675549643</v>
      </c>
      <c r="O28" s="33">
        <f t="shared" si="14"/>
        <v>16.750629607994679</v>
      </c>
    </row>
    <row r="32" spans="3:35" ht="15.75" customHeight="1">
      <c r="O32" s="1" t="s">
        <v>119</v>
      </c>
      <c r="P32" s="17">
        <f>SUM(Q3:Q18)+SUM(O25:O28)/1000</f>
        <v>692.01401735402771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2:P30"/>
  <sheetViews>
    <sheetView topLeftCell="A10" workbookViewId="0"/>
  </sheetViews>
  <sheetFormatPr baseColWidth="10" defaultColWidth="14.5" defaultRowHeight="15.75" customHeight="1"/>
  <sheetData>
    <row r="2" spans="2:16" ht="15.75" customHeight="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6">
      <c r="B3" s="3" t="s">
        <v>2</v>
      </c>
      <c r="C3" s="4">
        <v>1</v>
      </c>
      <c r="D3" s="3">
        <v>2</v>
      </c>
      <c r="E3" s="4">
        <v>3</v>
      </c>
      <c r="F3" s="3">
        <v>4</v>
      </c>
      <c r="G3" s="4">
        <v>5</v>
      </c>
      <c r="H3" s="3">
        <v>6</v>
      </c>
      <c r="I3" s="4">
        <v>7</v>
      </c>
      <c r="J3" s="3">
        <v>8</v>
      </c>
      <c r="K3" s="4">
        <v>9</v>
      </c>
      <c r="L3" s="3">
        <v>10</v>
      </c>
      <c r="M3" s="4">
        <v>11</v>
      </c>
      <c r="N3" s="3">
        <v>12</v>
      </c>
    </row>
    <row r="4" spans="2:16">
      <c r="B4" s="4" t="s">
        <v>4</v>
      </c>
      <c r="C4" s="7" t="s">
        <v>5</v>
      </c>
      <c r="D4" s="8" t="s">
        <v>7</v>
      </c>
      <c r="E4" s="7" t="s">
        <v>8</v>
      </c>
      <c r="F4" s="8" t="s">
        <v>9</v>
      </c>
      <c r="G4" s="7" t="s">
        <v>10</v>
      </c>
      <c r="H4" s="8" t="s">
        <v>11</v>
      </c>
      <c r="I4" s="7" t="s">
        <v>12</v>
      </c>
      <c r="J4" s="8" t="s">
        <v>13</v>
      </c>
      <c r="K4" s="7" t="s">
        <v>14</v>
      </c>
      <c r="L4" s="8" t="s">
        <v>15</v>
      </c>
      <c r="M4" s="7" t="s">
        <v>16</v>
      </c>
      <c r="N4" s="8" t="s">
        <v>17</v>
      </c>
    </row>
    <row r="5" spans="2:16">
      <c r="B5" s="3" t="s">
        <v>18</v>
      </c>
      <c r="C5" s="8" t="s">
        <v>19</v>
      </c>
      <c r="D5" s="7" t="s">
        <v>20</v>
      </c>
      <c r="E5" s="8" t="s">
        <v>21</v>
      </c>
      <c r="F5" s="7" t="s">
        <v>22</v>
      </c>
      <c r="G5" s="8" t="s">
        <v>23</v>
      </c>
      <c r="H5" s="7" t="s">
        <v>24</v>
      </c>
      <c r="I5" s="8" t="s">
        <v>25</v>
      </c>
      <c r="J5" s="7" t="s">
        <v>28</v>
      </c>
      <c r="K5" s="8" t="s">
        <v>30</v>
      </c>
      <c r="L5" s="7" t="s">
        <v>32</v>
      </c>
      <c r="M5" s="8" t="s">
        <v>34</v>
      </c>
      <c r="N5" s="7" t="s">
        <v>36</v>
      </c>
    </row>
    <row r="6" spans="2:16">
      <c r="B6" s="4" t="s">
        <v>38</v>
      </c>
      <c r="C6" s="7" t="s">
        <v>40</v>
      </c>
      <c r="D6" s="8" t="s">
        <v>42</v>
      </c>
      <c r="E6" s="7" t="s">
        <v>44</v>
      </c>
      <c r="F6" s="8" t="s">
        <v>46</v>
      </c>
      <c r="G6" s="7" t="s">
        <v>47</v>
      </c>
      <c r="H6" s="8" t="s">
        <v>49</v>
      </c>
      <c r="I6" s="7" t="s">
        <v>50</v>
      </c>
      <c r="J6" s="8" t="s">
        <v>52</v>
      </c>
      <c r="K6" s="7" t="s">
        <v>55</v>
      </c>
      <c r="L6" s="8" t="s">
        <v>56</v>
      </c>
      <c r="M6" s="7" t="s">
        <v>57</v>
      </c>
      <c r="N6" s="8" t="s">
        <v>58</v>
      </c>
    </row>
    <row r="7" spans="2:16">
      <c r="B7" s="3" t="s">
        <v>59</v>
      </c>
      <c r="C7" s="8" t="s">
        <v>60</v>
      </c>
      <c r="D7" s="7" t="s">
        <v>61</v>
      </c>
      <c r="E7" s="8" t="s">
        <v>62</v>
      </c>
      <c r="F7" s="7" t="s">
        <v>63</v>
      </c>
      <c r="G7" s="8" t="s">
        <v>64</v>
      </c>
      <c r="H7" s="7" t="s">
        <v>65</v>
      </c>
      <c r="I7" s="8" t="s">
        <v>66</v>
      </c>
      <c r="J7" s="7" t="s">
        <v>67</v>
      </c>
      <c r="K7" s="8" t="s">
        <v>68</v>
      </c>
      <c r="L7" s="7" t="s">
        <v>69</v>
      </c>
      <c r="M7" s="8" t="s">
        <v>70</v>
      </c>
      <c r="N7" s="7" t="s">
        <v>71</v>
      </c>
    </row>
    <row r="8" spans="2:16">
      <c r="B8" s="4" t="s">
        <v>73</v>
      </c>
      <c r="C8" s="7" t="s">
        <v>74</v>
      </c>
      <c r="D8" s="8" t="s">
        <v>75</v>
      </c>
      <c r="E8" s="10" t="s">
        <v>76</v>
      </c>
      <c r="F8" s="11" t="s">
        <v>77</v>
      </c>
      <c r="G8" s="7" t="s">
        <v>78</v>
      </c>
      <c r="H8" s="8" t="s">
        <v>79</v>
      </c>
      <c r="I8" s="10" t="s">
        <v>80</v>
      </c>
      <c r="J8" s="11" t="s">
        <v>81</v>
      </c>
      <c r="K8" s="7" t="s">
        <v>82</v>
      </c>
      <c r="L8" s="8" t="s">
        <v>83</v>
      </c>
      <c r="M8" s="10" t="s">
        <v>84</v>
      </c>
      <c r="N8" s="11" t="s">
        <v>85</v>
      </c>
    </row>
    <row r="9" spans="2:16">
      <c r="B9" s="3" t="s">
        <v>86</v>
      </c>
      <c r="C9" s="8" t="s">
        <v>87</v>
      </c>
      <c r="D9" s="10" t="s">
        <v>88</v>
      </c>
      <c r="E9" s="11" t="s">
        <v>89</v>
      </c>
      <c r="F9" s="10" t="s">
        <v>90</v>
      </c>
      <c r="G9" s="12"/>
      <c r="H9" s="13"/>
      <c r="I9" s="12"/>
      <c r="J9" s="13"/>
      <c r="K9" s="12"/>
      <c r="L9" s="13"/>
      <c r="M9" s="12"/>
      <c r="N9" s="15"/>
    </row>
    <row r="10" spans="2:16">
      <c r="B10" s="4" t="s">
        <v>91</v>
      </c>
      <c r="C10" s="15"/>
      <c r="D10" s="16"/>
      <c r="E10" s="13"/>
      <c r="F10" s="12"/>
      <c r="G10" s="13"/>
      <c r="H10" s="12"/>
      <c r="I10" s="13"/>
      <c r="J10" s="12"/>
      <c r="K10" s="13"/>
      <c r="L10" s="12"/>
      <c r="M10" s="13"/>
      <c r="N10" s="16"/>
    </row>
    <row r="11" spans="2:16">
      <c r="B11" s="3" t="s">
        <v>92</v>
      </c>
      <c r="C11" s="8"/>
      <c r="D11" s="7"/>
      <c r="E11" s="8"/>
      <c r="F11" s="7"/>
      <c r="G11" s="8"/>
      <c r="H11" s="7"/>
      <c r="I11" s="8"/>
      <c r="J11" s="7"/>
      <c r="K11" s="8"/>
      <c r="L11" s="7"/>
      <c r="M11" s="8"/>
      <c r="N11" s="7"/>
    </row>
    <row r="12" spans="2:16" ht="15.75" customHeight="1">
      <c r="B12" s="1" t="s">
        <v>93</v>
      </c>
      <c r="J12" s="1"/>
      <c r="K12" s="1"/>
      <c r="L12" s="1"/>
      <c r="M12" s="1"/>
      <c r="N12" s="1"/>
      <c r="O12" s="1"/>
      <c r="P12" s="1"/>
    </row>
    <row r="13" spans="2:16" ht="15.75" customHeight="1">
      <c r="B13" s="5" t="s">
        <v>37</v>
      </c>
      <c r="C13" s="5" t="s">
        <v>41</v>
      </c>
      <c r="D13" s="5" t="s">
        <v>94</v>
      </c>
      <c r="E13" s="5" t="s">
        <v>95</v>
      </c>
      <c r="F13" s="5" t="s">
        <v>96</v>
      </c>
      <c r="G13" s="5" t="s">
        <v>97</v>
      </c>
      <c r="H13" s="5" t="s">
        <v>98</v>
      </c>
      <c r="I13" s="5" t="s">
        <v>99</v>
      </c>
      <c r="J13" s="5" t="s">
        <v>100</v>
      </c>
      <c r="K13" s="5" t="s">
        <v>101</v>
      </c>
      <c r="L13" s="5" t="s">
        <v>102</v>
      </c>
      <c r="M13" s="5" t="s">
        <v>103</v>
      </c>
      <c r="N13" s="5" t="s">
        <v>104</v>
      </c>
      <c r="O13" s="5" t="s">
        <v>105</v>
      </c>
    </row>
    <row r="14" spans="2:16" ht="15.75" customHeight="1">
      <c r="B14" s="5">
        <v>1</v>
      </c>
      <c r="C14" s="18">
        <f>10^-6</f>
        <v>9.9999999999999995E-7</v>
      </c>
      <c r="D14" s="19">
        <v>0.16111111111111112</v>
      </c>
      <c r="E14" s="19">
        <v>0.1701388888888889</v>
      </c>
      <c r="F14" s="5">
        <v>801736</v>
      </c>
      <c r="G14" s="5">
        <v>529238</v>
      </c>
      <c r="H14" s="5">
        <v>519153</v>
      </c>
      <c r="I14" s="5">
        <v>3658122</v>
      </c>
      <c r="J14" s="6">
        <f t="shared" ref="J14:J29" si="0">SUM(F14:I14)</f>
        <v>5508249</v>
      </c>
      <c r="K14" s="21">
        <v>1</v>
      </c>
      <c r="L14" s="21">
        <v>1</v>
      </c>
      <c r="M14" s="21">
        <v>1</v>
      </c>
      <c r="N14" s="21">
        <v>1.5</v>
      </c>
      <c r="O14" s="6"/>
    </row>
    <row r="15" spans="2:16" ht="15.75" customHeight="1">
      <c r="B15" s="5">
        <v>2</v>
      </c>
      <c r="C15" s="18">
        <f>10^-6.5</f>
        <v>3.1622776601683734E-7</v>
      </c>
      <c r="D15" s="19">
        <v>0.15208333333333332</v>
      </c>
      <c r="E15" s="19">
        <v>0.16111111111111112</v>
      </c>
      <c r="F15" s="5">
        <v>905211</v>
      </c>
      <c r="G15" s="5">
        <v>442286</v>
      </c>
      <c r="H15" s="5">
        <v>484886</v>
      </c>
      <c r="I15" s="5">
        <v>3570204</v>
      </c>
      <c r="J15" s="6">
        <f t="shared" si="0"/>
        <v>5402587</v>
      </c>
      <c r="K15" s="21">
        <v>1</v>
      </c>
      <c r="L15" s="21">
        <v>1</v>
      </c>
      <c r="M15" s="21">
        <v>1</v>
      </c>
      <c r="N15" s="21">
        <v>1.5</v>
      </c>
      <c r="O15" s="6"/>
    </row>
    <row r="16" spans="2:16" ht="15.75" customHeight="1">
      <c r="B16" s="5">
        <v>3</v>
      </c>
      <c r="C16" s="18">
        <f>10^-7</f>
        <v>9.9999999999999995E-8</v>
      </c>
      <c r="D16" s="19">
        <v>0.14305555555555555</v>
      </c>
      <c r="E16" s="19">
        <v>0.15208333333333332</v>
      </c>
      <c r="F16" s="5">
        <v>1076415</v>
      </c>
      <c r="G16" s="5">
        <v>449027</v>
      </c>
      <c r="H16" s="5">
        <v>541256</v>
      </c>
      <c r="I16" s="5">
        <v>3885361</v>
      </c>
      <c r="J16" s="6">
        <f t="shared" si="0"/>
        <v>5952059</v>
      </c>
      <c r="K16" s="21">
        <v>1.5</v>
      </c>
      <c r="L16" s="21">
        <v>1</v>
      </c>
      <c r="M16" s="21">
        <v>1</v>
      </c>
      <c r="N16" s="21">
        <v>1.5</v>
      </c>
      <c r="O16" s="6"/>
    </row>
    <row r="17" spans="2:15" ht="15.75" customHeight="1">
      <c r="B17" s="5">
        <v>4</v>
      </c>
      <c r="C17" s="18">
        <f>10^-7.5</f>
        <v>3.1622776601683699E-8</v>
      </c>
      <c r="D17" s="19">
        <v>0.13402777777777777</v>
      </c>
      <c r="E17" s="19">
        <v>0.14305555555555555</v>
      </c>
      <c r="F17" s="5">
        <v>1250339</v>
      </c>
      <c r="G17" s="5">
        <v>465998</v>
      </c>
      <c r="H17" s="5">
        <v>660526</v>
      </c>
      <c r="I17" s="5">
        <v>3416297</v>
      </c>
      <c r="J17" s="6">
        <f t="shared" si="0"/>
        <v>5793160</v>
      </c>
      <c r="K17" s="21">
        <v>1.5</v>
      </c>
      <c r="L17" s="21">
        <v>1</v>
      </c>
      <c r="M17" s="21">
        <v>1</v>
      </c>
      <c r="N17" s="21">
        <v>1.5</v>
      </c>
      <c r="O17" s="6"/>
    </row>
    <row r="18" spans="2:15" ht="15.75" customHeight="1">
      <c r="B18" s="5">
        <v>5</v>
      </c>
      <c r="C18" s="18">
        <f>10^-8</f>
        <v>1E-8</v>
      </c>
      <c r="D18" s="19">
        <v>0.125</v>
      </c>
      <c r="E18" s="19">
        <v>0.13402777777777777</v>
      </c>
      <c r="F18" s="5">
        <v>1235627</v>
      </c>
      <c r="G18" s="5">
        <v>438575</v>
      </c>
      <c r="H18" s="5">
        <v>644837</v>
      </c>
      <c r="I18" s="5">
        <v>3228483</v>
      </c>
      <c r="J18" s="6">
        <f t="shared" si="0"/>
        <v>5547522</v>
      </c>
      <c r="K18" s="21">
        <v>1.5</v>
      </c>
      <c r="L18" s="21">
        <v>1</v>
      </c>
      <c r="M18" s="21">
        <v>1</v>
      </c>
      <c r="N18" s="21">
        <v>1.5</v>
      </c>
      <c r="O18" s="6"/>
    </row>
    <row r="19" spans="2:15" ht="15.75" customHeight="1">
      <c r="B19" s="5">
        <v>6</v>
      </c>
      <c r="C19" s="18">
        <f>10^-8.5</f>
        <v>3.1622776601683779E-9</v>
      </c>
      <c r="D19" s="19">
        <v>0.11597222222222223</v>
      </c>
      <c r="E19" s="19">
        <v>0.125</v>
      </c>
      <c r="F19" s="5">
        <v>1314937</v>
      </c>
      <c r="G19" s="5">
        <v>448006</v>
      </c>
      <c r="H19" s="5">
        <v>821588</v>
      </c>
      <c r="I19" s="5">
        <v>2871130</v>
      </c>
      <c r="J19" s="6">
        <f t="shared" si="0"/>
        <v>5455661</v>
      </c>
      <c r="K19" s="21">
        <v>1.5</v>
      </c>
      <c r="L19" s="21">
        <v>1</v>
      </c>
      <c r="M19" s="21">
        <v>1</v>
      </c>
      <c r="N19" s="21">
        <v>1.5</v>
      </c>
      <c r="O19" s="6"/>
    </row>
    <row r="20" spans="2:15" ht="15.75" customHeight="1">
      <c r="B20" s="5">
        <v>7</v>
      </c>
      <c r="C20" s="18">
        <f>10^-9</f>
        <v>1.0000000000000001E-9</v>
      </c>
      <c r="D20" s="19">
        <v>0.10625</v>
      </c>
      <c r="E20" s="19">
        <v>0.11597222222222223</v>
      </c>
      <c r="F20" s="5">
        <v>1585732</v>
      </c>
      <c r="G20" s="5">
        <v>585044</v>
      </c>
      <c r="H20" s="5">
        <v>1217893</v>
      </c>
      <c r="I20" s="5">
        <v>2306673</v>
      </c>
      <c r="J20" s="6">
        <f t="shared" si="0"/>
        <v>5695342</v>
      </c>
      <c r="K20" s="21">
        <v>1.5</v>
      </c>
      <c r="L20" s="21">
        <v>1</v>
      </c>
      <c r="M20" s="21">
        <v>1.5</v>
      </c>
      <c r="N20" s="21">
        <v>1.5</v>
      </c>
      <c r="O20" s="6"/>
    </row>
    <row r="21" spans="2:15" ht="15.75" customHeight="1">
      <c r="B21" s="5">
        <v>8</v>
      </c>
      <c r="C21" s="18">
        <f>10^-9.5</f>
        <v>3.1622776601683744E-10</v>
      </c>
      <c r="D21" s="19">
        <v>9.7222222222222224E-2</v>
      </c>
      <c r="E21" s="19">
        <v>0.10625</v>
      </c>
      <c r="F21" s="5">
        <v>1861564</v>
      </c>
      <c r="G21" s="5">
        <v>1063313</v>
      </c>
      <c r="H21" s="5">
        <v>1696410</v>
      </c>
      <c r="I21" s="5">
        <v>750451</v>
      </c>
      <c r="J21" s="6">
        <f t="shared" si="0"/>
        <v>5371738</v>
      </c>
      <c r="K21" s="21">
        <v>1.5</v>
      </c>
      <c r="L21" s="21">
        <v>1.5</v>
      </c>
      <c r="M21" s="21">
        <v>1.5</v>
      </c>
      <c r="N21" s="21">
        <v>1</v>
      </c>
      <c r="O21" s="6"/>
    </row>
    <row r="22" spans="2:15" ht="15.75" customHeight="1">
      <c r="B22" s="5">
        <v>9</v>
      </c>
      <c r="C22" s="18">
        <f>10^-10</f>
        <v>1E-10</v>
      </c>
      <c r="D22" s="19">
        <v>8.819444444444445E-2</v>
      </c>
      <c r="E22" s="19">
        <v>9.7222222222222224E-2</v>
      </c>
      <c r="F22" s="5">
        <v>2622000</v>
      </c>
      <c r="G22" s="5">
        <v>1638972</v>
      </c>
      <c r="H22" s="5">
        <v>1297115</v>
      </c>
      <c r="I22" s="5">
        <v>50055</v>
      </c>
      <c r="J22" s="6">
        <f t="shared" si="0"/>
        <v>5608142</v>
      </c>
      <c r="K22" s="21">
        <v>1.5</v>
      </c>
      <c r="L22" s="21">
        <v>1.5</v>
      </c>
      <c r="M22" s="21">
        <v>1.5</v>
      </c>
      <c r="N22" s="21">
        <v>1</v>
      </c>
      <c r="O22" s="6"/>
    </row>
    <row r="23" spans="2:15" ht="15.75" customHeight="1">
      <c r="B23" s="5">
        <v>10</v>
      </c>
      <c r="C23" s="18">
        <f>10^-10.5</f>
        <v>3.162277660168371E-11</v>
      </c>
      <c r="D23" s="19">
        <v>7.9166666666666663E-2</v>
      </c>
      <c r="E23" s="19">
        <v>8.819444444444445E-2</v>
      </c>
      <c r="F23" s="5">
        <v>3682830</v>
      </c>
      <c r="G23" s="5">
        <v>1714537</v>
      </c>
      <c r="H23" s="5">
        <v>170442</v>
      </c>
      <c r="I23" s="5">
        <v>424</v>
      </c>
      <c r="J23" s="6">
        <f t="shared" si="0"/>
        <v>5568233</v>
      </c>
      <c r="K23" s="21">
        <v>1.5</v>
      </c>
      <c r="L23" s="21">
        <v>1.5</v>
      </c>
      <c r="M23" s="21">
        <v>1</v>
      </c>
      <c r="N23" s="21">
        <v>1</v>
      </c>
      <c r="O23" s="6"/>
    </row>
    <row r="24" spans="2:15" ht="15.75" customHeight="1">
      <c r="B24" s="5">
        <v>11</v>
      </c>
      <c r="C24" s="18">
        <f>10^-11</f>
        <v>9.9999999999999994E-12</v>
      </c>
      <c r="D24" s="19">
        <v>7.013888888888889E-2</v>
      </c>
      <c r="E24" s="19">
        <v>7.9166666666666663E-2</v>
      </c>
      <c r="F24" s="5">
        <v>4552944</v>
      </c>
      <c r="G24" s="5">
        <v>714226</v>
      </c>
      <c r="H24" s="5">
        <v>8123</v>
      </c>
      <c r="I24" s="5">
        <v>374</v>
      </c>
      <c r="J24" s="6">
        <f t="shared" si="0"/>
        <v>5275667</v>
      </c>
      <c r="K24" s="21">
        <v>1.5</v>
      </c>
      <c r="L24" s="21">
        <v>1</v>
      </c>
      <c r="M24" s="21">
        <v>1</v>
      </c>
      <c r="N24" s="21">
        <v>1</v>
      </c>
      <c r="O24" s="6"/>
    </row>
    <row r="25" spans="2:15" ht="15.75" customHeight="1">
      <c r="B25" s="5">
        <v>12</v>
      </c>
      <c r="C25" s="18">
        <f>10^-11.5</f>
        <v>3.1622776601683669E-12</v>
      </c>
      <c r="D25" s="19">
        <v>6.1111111111111109E-2</v>
      </c>
      <c r="E25" s="19">
        <v>7.013888888888889E-2</v>
      </c>
      <c r="F25" s="5">
        <v>5026606</v>
      </c>
      <c r="G25" s="5">
        <v>417541</v>
      </c>
      <c r="H25" s="5">
        <v>3249</v>
      </c>
      <c r="I25" s="5">
        <v>433</v>
      </c>
      <c r="J25" s="6">
        <f t="shared" si="0"/>
        <v>5447829</v>
      </c>
      <c r="K25" s="21">
        <v>1.5</v>
      </c>
      <c r="L25" s="21">
        <v>1</v>
      </c>
      <c r="M25" s="21">
        <v>1</v>
      </c>
      <c r="N25" s="21">
        <v>1</v>
      </c>
      <c r="O25" s="6"/>
    </row>
    <row r="26" spans="2:15" ht="15.75" customHeight="1">
      <c r="B26" s="5">
        <v>13</v>
      </c>
      <c r="C26" s="18">
        <f>10^-12</f>
        <v>9.9999999999999998E-13</v>
      </c>
      <c r="D26" s="19">
        <v>5.2083333333333336E-2</v>
      </c>
      <c r="E26" s="19">
        <v>6.1111111111111109E-2</v>
      </c>
      <c r="F26" s="5">
        <v>5066047</v>
      </c>
      <c r="G26" s="5">
        <v>353209</v>
      </c>
      <c r="H26" s="5">
        <v>1647</v>
      </c>
      <c r="I26" s="5">
        <v>421</v>
      </c>
      <c r="J26" s="6">
        <f t="shared" si="0"/>
        <v>5421324</v>
      </c>
      <c r="K26" s="21">
        <v>1.5</v>
      </c>
      <c r="L26" s="21">
        <v>1</v>
      </c>
      <c r="M26" s="21">
        <v>1</v>
      </c>
      <c r="N26" s="21">
        <v>1</v>
      </c>
      <c r="O26" s="6"/>
    </row>
    <row r="27" spans="2:15" ht="15.75" customHeight="1">
      <c r="B27" s="5">
        <v>14</v>
      </c>
      <c r="C27" s="18">
        <f>10^-12.5</f>
        <v>3.1622776601683746E-13</v>
      </c>
      <c r="D27" s="19">
        <v>4.3055555555555555E-2</v>
      </c>
      <c r="E27" s="19">
        <v>5.2083333333333336E-2</v>
      </c>
      <c r="F27" s="5">
        <v>5034091</v>
      </c>
      <c r="G27" s="27">
        <v>337556</v>
      </c>
      <c r="H27" s="27">
        <v>1605</v>
      </c>
      <c r="I27" s="27">
        <v>371</v>
      </c>
      <c r="J27" s="28">
        <f t="shared" si="0"/>
        <v>5373623</v>
      </c>
      <c r="K27" s="21">
        <v>1.5</v>
      </c>
      <c r="L27" s="21">
        <v>1</v>
      </c>
      <c r="M27" s="21">
        <v>1</v>
      </c>
      <c r="N27" s="21">
        <v>1</v>
      </c>
      <c r="O27" s="5"/>
    </row>
    <row r="28" spans="2:15" ht="15.75" customHeight="1">
      <c r="B28" s="5">
        <v>15</v>
      </c>
      <c r="C28" s="18">
        <f>10^-13</f>
        <v>1E-13</v>
      </c>
      <c r="D28" s="19">
        <v>0.53333333333333333</v>
      </c>
      <c r="E28" s="19">
        <v>4.3055555555555555E-2</v>
      </c>
      <c r="F28" s="5">
        <v>5016068</v>
      </c>
      <c r="G28" s="5">
        <v>322401</v>
      </c>
      <c r="H28" s="5">
        <v>1447</v>
      </c>
      <c r="I28" s="5">
        <v>376</v>
      </c>
      <c r="J28" s="6">
        <f t="shared" si="0"/>
        <v>5340292</v>
      </c>
      <c r="K28" s="21">
        <v>1.5</v>
      </c>
      <c r="L28" s="21">
        <v>1</v>
      </c>
      <c r="M28" s="21">
        <v>1</v>
      </c>
      <c r="N28" s="21">
        <v>1</v>
      </c>
      <c r="O28" s="6"/>
    </row>
    <row r="29" spans="2:15" ht="15.75" customHeight="1">
      <c r="B29" s="5">
        <v>16</v>
      </c>
      <c r="C29" s="5">
        <v>0</v>
      </c>
      <c r="D29" s="19">
        <v>0.52500000000000002</v>
      </c>
      <c r="E29" s="19">
        <v>0.53333333333333333</v>
      </c>
      <c r="F29" s="5">
        <v>5085477</v>
      </c>
      <c r="G29" s="5">
        <v>265802</v>
      </c>
      <c r="H29" s="5">
        <v>1856</v>
      </c>
      <c r="I29" s="5">
        <v>427</v>
      </c>
      <c r="J29" s="6">
        <f t="shared" si="0"/>
        <v>5353562</v>
      </c>
      <c r="K29" s="21">
        <v>1.5</v>
      </c>
      <c r="L29" s="21">
        <v>1</v>
      </c>
      <c r="M29" s="21">
        <v>1</v>
      </c>
      <c r="N29" s="21">
        <v>1</v>
      </c>
      <c r="O29" s="29"/>
    </row>
    <row r="30" spans="2:15" ht="15.75" customHeight="1">
      <c r="B30" s="29"/>
      <c r="C30" s="29"/>
      <c r="D30" s="30"/>
      <c r="E30" s="29"/>
      <c r="F30" s="29"/>
      <c r="G30" s="29"/>
      <c r="H30" s="29"/>
      <c r="I30" s="29"/>
      <c r="J30" s="29">
        <f>SUM(J14:J29)</f>
        <v>88114990</v>
      </c>
      <c r="K30" s="31"/>
      <c r="L30" s="31"/>
      <c r="M30" s="31"/>
      <c r="N30" s="31"/>
      <c r="O30" s="29"/>
    </row>
  </sheetData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21"/>
  <sheetViews>
    <sheetView tabSelected="1" workbookViewId="0"/>
  </sheetViews>
  <sheetFormatPr baseColWidth="10" defaultColWidth="14.5" defaultRowHeight="15.75" customHeight="1"/>
  <sheetData>
    <row r="1" spans="1:26" ht="15.75" customHeight="1">
      <c r="A1" s="35" t="s">
        <v>120</v>
      </c>
      <c r="B1" s="35" t="s">
        <v>121</v>
      </c>
      <c r="C1" s="35" t="s">
        <v>122</v>
      </c>
      <c r="D1" s="35" t="s">
        <v>123</v>
      </c>
      <c r="E1" s="35" t="s">
        <v>124</v>
      </c>
      <c r="F1" s="35" t="s">
        <v>125</v>
      </c>
      <c r="G1" s="35" t="s">
        <v>126</v>
      </c>
      <c r="H1" s="35" t="s">
        <v>127</v>
      </c>
      <c r="I1" s="35" t="s">
        <v>128</v>
      </c>
      <c r="J1" s="35" t="s">
        <v>129</v>
      </c>
      <c r="K1" s="35" t="s">
        <v>130</v>
      </c>
      <c r="L1" s="35" t="s">
        <v>131</v>
      </c>
      <c r="N1" s="1" t="s">
        <v>132</v>
      </c>
    </row>
    <row r="2" spans="1:26">
      <c r="A2" s="35" t="s">
        <v>133</v>
      </c>
      <c r="B2" s="35" t="s">
        <v>134</v>
      </c>
      <c r="C2" s="35" t="s">
        <v>135</v>
      </c>
      <c r="D2" s="35">
        <v>5085477</v>
      </c>
      <c r="E2" s="36">
        <v>10975729</v>
      </c>
      <c r="F2" s="37">
        <f t="shared" ref="F2:F70" si="0">E2/D2</f>
        <v>2.1582496587832369</v>
      </c>
      <c r="G2" s="37"/>
      <c r="H2" s="37"/>
      <c r="I2" s="38">
        <f t="shared" ref="I2:I70" si="1">H2/E2</f>
        <v>0</v>
      </c>
      <c r="J2" s="38">
        <f t="shared" ref="J2:J70" si="2">H2/D2</f>
        <v>0</v>
      </c>
      <c r="K2" s="35"/>
      <c r="L2" s="38"/>
      <c r="N2" s="3" t="s">
        <v>2</v>
      </c>
      <c r="O2" s="4">
        <v>1</v>
      </c>
      <c r="P2" s="3">
        <v>2</v>
      </c>
      <c r="Q2" s="4">
        <v>3</v>
      </c>
      <c r="R2" s="3">
        <v>4</v>
      </c>
      <c r="S2" s="4">
        <v>5</v>
      </c>
      <c r="T2" s="3">
        <v>6</v>
      </c>
      <c r="U2" s="4">
        <v>7</v>
      </c>
      <c r="V2" s="3">
        <v>8</v>
      </c>
      <c r="W2" s="4">
        <v>9</v>
      </c>
      <c r="X2" s="3">
        <v>10</v>
      </c>
      <c r="Y2" s="4">
        <v>11</v>
      </c>
      <c r="Z2" s="3">
        <v>12</v>
      </c>
    </row>
    <row r="3" spans="1:26">
      <c r="A3" s="35" t="s">
        <v>136</v>
      </c>
      <c r="B3" s="35" t="s">
        <v>137</v>
      </c>
      <c r="C3" s="35" t="s">
        <v>138</v>
      </c>
      <c r="D3" s="35">
        <v>265802</v>
      </c>
      <c r="E3" s="36">
        <v>830433</v>
      </c>
      <c r="F3" s="37">
        <f t="shared" si="0"/>
        <v>3.1242541440621214</v>
      </c>
      <c r="G3" s="37"/>
      <c r="H3" s="37"/>
      <c r="I3" s="38">
        <f t="shared" si="1"/>
        <v>0</v>
      </c>
      <c r="J3" s="38">
        <f t="shared" si="2"/>
        <v>0</v>
      </c>
      <c r="K3" s="38"/>
      <c r="L3" s="38"/>
      <c r="N3" s="4" t="s">
        <v>4</v>
      </c>
      <c r="O3" s="7" t="s">
        <v>139</v>
      </c>
      <c r="P3" s="8" t="s">
        <v>140</v>
      </c>
      <c r="Q3" s="39" t="s">
        <v>141</v>
      </c>
      <c r="R3" s="39" t="s">
        <v>142</v>
      </c>
      <c r="S3" s="7" t="s">
        <v>143</v>
      </c>
      <c r="T3" s="8" t="s">
        <v>144</v>
      </c>
      <c r="U3" s="39" t="s">
        <v>145</v>
      </c>
      <c r="V3" s="39" t="s">
        <v>146</v>
      </c>
      <c r="W3" s="7" t="s">
        <v>147</v>
      </c>
      <c r="X3" s="8" t="s">
        <v>148</v>
      </c>
      <c r="Y3" s="39" t="s">
        <v>149</v>
      </c>
      <c r="Z3" s="39" t="s">
        <v>150</v>
      </c>
    </row>
    <row r="4" spans="1:26">
      <c r="A4" s="35" t="s">
        <v>151</v>
      </c>
      <c r="B4" s="35" t="s">
        <v>152</v>
      </c>
      <c r="C4" s="35" t="s">
        <v>153</v>
      </c>
      <c r="D4" s="35">
        <v>1856</v>
      </c>
      <c r="E4" s="36">
        <v>1077473</v>
      </c>
      <c r="F4" s="37">
        <f t="shared" si="0"/>
        <v>580.53502155172418</v>
      </c>
      <c r="G4" s="37"/>
      <c r="H4" s="37"/>
      <c r="I4" s="38">
        <f t="shared" si="1"/>
        <v>0</v>
      </c>
      <c r="J4" s="38">
        <f t="shared" si="2"/>
        <v>0</v>
      </c>
      <c r="K4" s="35"/>
      <c r="L4" s="38"/>
      <c r="N4" s="3" t="s">
        <v>18</v>
      </c>
      <c r="O4" s="8" t="s">
        <v>154</v>
      </c>
      <c r="P4" s="7" t="s">
        <v>155</v>
      </c>
      <c r="Q4" s="39" t="s">
        <v>156</v>
      </c>
      <c r="R4" s="39" t="s">
        <v>157</v>
      </c>
      <c r="S4" s="8" t="s">
        <v>158</v>
      </c>
      <c r="T4" s="7" t="s">
        <v>159</v>
      </c>
      <c r="U4" s="39" t="s">
        <v>160</v>
      </c>
      <c r="V4" s="39" t="s">
        <v>161</v>
      </c>
      <c r="W4" s="8" t="s">
        <v>162</v>
      </c>
      <c r="X4" s="7" t="s">
        <v>163</v>
      </c>
      <c r="Y4" s="39" t="s">
        <v>164</v>
      </c>
      <c r="Z4" s="39" t="s">
        <v>165</v>
      </c>
    </row>
    <row r="5" spans="1:26">
      <c r="A5" s="35" t="s">
        <v>166</v>
      </c>
      <c r="B5" s="35" t="s">
        <v>167</v>
      </c>
      <c r="C5" s="35" t="s">
        <v>168</v>
      </c>
      <c r="D5" s="35">
        <v>427</v>
      </c>
      <c r="E5" s="36">
        <v>1163270</v>
      </c>
      <c r="F5" s="37">
        <f t="shared" si="0"/>
        <v>2724.2857142857142</v>
      </c>
      <c r="G5" s="37"/>
      <c r="H5" s="37"/>
      <c r="I5" s="38">
        <f t="shared" si="1"/>
        <v>0</v>
      </c>
      <c r="J5" s="38">
        <f t="shared" si="2"/>
        <v>0</v>
      </c>
      <c r="K5" s="35"/>
      <c r="L5" s="38"/>
      <c r="N5" s="4" t="s">
        <v>38</v>
      </c>
      <c r="O5" s="7" t="s">
        <v>169</v>
      </c>
      <c r="P5" s="8" t="s">
        <v>170</v>
      </c>
      <c r="Q5" s="7" t="s">
        <v>171</v>
      </c>
      <c r="R5" s="39" t="s">
        <v>172</v>
      </c>
      <c r="S5" s="7" t="s">
        <v>173</v>
      </c>
      <c r="T5" s="8" t="s">
        <v>174</v>
      </c>
      <c r="U5" s="7" t="s">
        <v>175</v>
      </c>
      <c r="V5" s="8" t="s">
        <v>176</v>
      </c>
      <c r="W5" s="7" t="s">
        <v>177</v>
      </c>
      <c r="X5" s="8" t="s">
        <v>178</v>
      </c>
      <c r="Y5" s="7" t="s">
        <v>179</v>
      </c>
      <c r="Z5" s="8" t="s">
        <v>180</v>
      </c>
    </row>
    <row r="6" spans="1:26">
      <c r="A6" s="35" t="s">
        <v>181</v>
      </c>
      <c r="B6" s="35" t="s">
        <v>182</v>
      </c>
      <c r="C6" s="35" t="s">
        <v>183</v>
      </c>
      <c r="D6" s="35">
        <v>5016068</v>
      </c>
      <c r="E6" s="36">
        <v>11052503</v>
      </c>
      <c r="F6" s="37">
        <f t="shared" si="0"/>
        <v>2.2034196904826651</v>
      </c>
      <c r="G6" s="37"/>
      <c r="H6" s="37"/>
      <c r="I6" s="38">
        <f t="shared" si="1"/>
        <v>0</v>
      </c>
      <c r="J6" s="38">
        <f t="shared" si="2"/>
        <v>0</v>
      </c>
      <c r="K6" s="38"/>
      <c r="L6" s="38"/>
      <c r="N6" s="3" t="s">
        <v>59</v>
      </c>
      <c r="O6" s="8" t="s">
        <v>184</v>
      </c>
      <c r="P6" s="7" t="s">
        <v>185</v>
      </c>
      <c r="Q6" s="8" t="s">
        <v>186</v>
      </c>
      <c r="R6" s="7" t="s">
        <v>187</v>
      </c>
      <c r="S6" s="8" t="s">
        <v>188</v>
      </c>
      <c r="T6" s="7" t="s">
        <v>189</v>
      </c>
      <c r="U6" s="8" t="s">
        <v>190</v>
      </c>
      <c r="V6" s="7" t="s">
        <v>191</v>
      </c>
      <c r="W6" s="8" t="s">
        <v>192</v>
      </c>
      <c r="X6" s="7" t="s">
        <v>193</v>
      </c>
      <c r="Y6" s="8" t="s">
        <v>194</v>
      </c>
      <c r="Z6" s="7" t="s">
        <v>195</v>
      </c>
    </row>
    <row r="7" spans="1:26">
      <c r="A7" s="35" t="s">
        <v>196</v>
      </c>
      <c r="B7" s="35" t="s">
        <v>197</v>
      </c>
      <c r="C7" s="35" t="s">
        <v>198</v>
      </c>
      <c r="D7" s="35">
        <v>322401</v>
      </c>
      <c r="E7" s="36">
        <v>862463</v>
      </c>
      <c r="F7" s="37">
        <f t="shared" si="0"/>
        <v>2.6751250771554678</v>
      </c>
      <c r="G7" s="37"/>
      <c r="H7" s="37"/>
      <c r="I7" s="38">
        <f t="shared" si="1"/>
        <v>0</v>
      </c>
      <c r="J7" s="38">
        <f t="shared" si="2"/>
        <v>0</v>
      </c>
      <c r="K7" s="38"/>
      <c r="L7" s="38"/>
      <c r="N7" s="4" t="s">
        <v>73</v>
      </c>
      <c r="O7" s="7" t="s">
        <v>199</v>
      </c>
      <c r="P7" s="8" t="s">
        <v>200</v>
      </c>
      <c r="Q7" s="10" t="s">
        <v>201</v>
      </c>
      <c r="R7" s="11" t="s">
        <v>202</v>
      </c>
      <c r="S7" s="7" t="s">
        <v>203</v>
      </c>
      <c r="T7" s="8" t="s">
        <v>204</v>
      </c>
      <c r="U7" s="10" t="s">
        <v>205</v>
      </c>
      <c r="V7" s="11" t="s">
        <v>206</v>
      </c>
      <c r="W7" s="7" t="s">
        <v>207</v>
      </c>
      <c r="X7" s="8" t="s">
        <v>208</v>
      </c>
      <c r="Y7" s="10" t="s">
        <v>209</v>
      </c>
      <c r="Z7" s="11" t="s">
        <v>210</v>
      </c>
    </row>
    <row r="8" spans="1:26">
      <c r="A8" s="35" t="s">
        <v>211</v>
      </c>
      <c r="B8" s="35" t="s">
        <v>212</v>
      </c>
      <c r="C8" s="35" t="s">
        <v>213</v>
      </c>
      <c r="D8" s="35">
        <v>1447</v>
      </c>
      <c r="E8" s="36">
        <v>1436111</v>
      </c>
      <c r="F8" s="37">
        <f t="shared" si="0"/>
        <v>992.47477539737383</v>
      </c>
      <c r="G8" s="37"/>
      <c r="H8" s="37"/>
      <c r="I8" s="38">
        <f t="shared" si="1"/>
        <v>0</v>
      </c>
      <c r="J8" s="38">
        <f t="shared" si="2"/>
        <v>0</v>
      </c>
      <c r="K8" s="35"/>
      <c r="L8" s="38"/>
      <c r="N8" s="3" t="s">
        <v>86</v>
      </c>
      <c r="O8" s="8" t="s">
        <v>214</v>
      </c>
      <c r="P8" s="10" t="s">
        <v>215</v>
      </c>
      <c r="Q8" s="11" t="s">
        <v>216</v>
      </c>
      <c r="R8" s="10" t="s">
        <v>217</v>
      </c>
      <c r="S8" s="11" t="s">
        <v>218</v>
      </c>
      <c r="T8" s="10" t="s">
        <v>218</v>
      </c>
      <c r="U8" s="11" t="s">
        <v>219</v>
      </c>
      <c r="V8" s="10" t="s">
        <v>219</v>
      </c>
      <c r="W8" s="11" t="s">
        <v>220</v>
      </c>
      <c r="X8" s="10" t="s">
        <v>220</v>
      </c>
      <c r="Y8" s="11" t="s">
        <v>221</v>
      </c>
      <c r="Z8" s="7" t="s">
        <v>221</v>
      </c>
    </row>
    <row r="9" spans="1:26">
      <c r="A9" s="35" t="s">
        <v>222</v>
      </c>
      <c r="B9" s="35" t="s">
        <v>223</v>
      </c>
      <c r="C9" s="35" t="s">
        <v>224</v>
      </c>
      <c r="D9" s="35">
        <v>376</v>
      </c>
      <c r="E9" s="36">
        <v>1021984</v>
      </c>
      <c r="F9" s="37">
        <f t="shared" si="0"/>
        <v>2718.0425531914893</v>
      </c>
      <c r="G9" s="37"/>
      <c r="H9" s="37"/>
      <c r="I9" s="38">
        <f t="shared" si="1"/>
        <v>0</v>
      </c>
      <c r="J9" s="38">
        <f t="shared" si="2"/>
        <v>0</v>
      </c>
      <c r="K9" s="35"/>
      <c r="L9" s="38"/>
      <c r="N9" s="4" t="s">
        <v>91</v>
      </c>
      <c r="O9" s="7"/>
      <c r="P9" s="8"/>
      <c r="Q9" s="7"/>
      <c r="R9" s="8"/>
      <c r="S9" s="7"/>
      <c r="T9" s="8"/>
      <c r="U9" s="7"/>
      <c r="V9" s="8"/>
      <c r="W9" s="7"/>
      <c r="X9" s="8"/>
      <c r="Y9" s="7"/>
      <c r="Z9" s="8"/>
    </row>
    <row r="10" spans="1:26">
      <c r="A10" s="35" t="s">
        <v>225</v>
      </c>
      <c r="B10" s="35" t="s">
        <v>226</v>
      </c>
      <c r="C10" s="35" t="s">
        <v>227</v>
      </c>
      <c r="D10" s="35">
        <v>5034091</v>
      </c>
      <c r="E10" s="36">
        <v>9926639</v>
      </c>
      <c r="F10" s="37">
        <f t="shared" si="0"/>
        <v>1.9718831066025624</v>
      </c>
      <c r="G10" s="37"/>
      <c r="H10" s="37"/>
      <c r="I10" s="38">
        <f t="shared" si="1"/>
        <v>0</v>
      </c>
      <c r="J10" s="38">
        <f t="shared" si="2"/>
        <v>0</v>
      </c>
      <c r="K10" s="35"/>
      <c r="L10" s="38"/>
      <c r="N10" s="3" t="s">
        <v>92</v>
      </c>
      <c r="O10" s="8"/>
      <c r="P10" s="7"/>
      <c r="Q10" s="8"/>
      <c r="R10" s="7"/>
      <c r="S10" s="8"/>
      <c r="T10" s="7"/>
      <c r="U10" s="8"/>
      <c r="V10" s="7"/>
      <c r="W10" s="8"/>
      <c r="X10" s="7"/>
      <c r="Y10" s="8"/>
      <c r="Z10" s="7"/>
    </row>
    <row r="11" spans="1:26">
      <c r="A11" s="35" t="s">
        <v>228</v>
      </c>
      <c r="B11" s="35" t="s">
        <v>229</v>
      </c>
      <c r="C11" s="35" t="s">
        <v>230</v>
      </c>
      <c r="D11" s="35">
        <v>337556</v>
      </c>
      <c r="E11" s="36">
        <v>937626</v>
      </c>
      <c r="F11" s="37">
        <f t="shared" si="0"/>
        <v>2.7776902202893741</v>
      </c>
      <c r="G11" s="37"/>
      <c r="H11" s="37"/>
      <c r="I11" s="38">
        <f t="shared" si="1"/>
        <v>0</v>
      </c>
      <c r="J11" s="38">
        <f t="shared" si="2"/>
        <v>0</v>
      </c>
      <c r="K11" s="38"/>
      <c r="L11" s="38"/>
    </row>
    <row r="12" spans="1:26">
      <c r="A12" s="35" t="s">
        <v>231</v>
      </c>
      <c r="B12" s="35" t="s">
        <v>232</v>
      </c>
      <c r="C12" s="35" t="s">
        <v>233</v>
      </c>
      <c r="D12" s="35">
        <v>1605</v>
      </c>
      <c r="E12" s="36">
        <v>1328392</v>
      </c>
      <c r="F12" s="37">
        <f t="shared" si="0"/>
        <v>827.65856697819311</v>
      </c>
      <c r="G12" s="37"/>
      <c r="H12" s="37"/>
      <c r="I12" s="38">
        <f t="shared" si="1"/>
        <v>0</v>
      </c>
      <c r="J12" s="38">
        <f t="shared" si="2"/>
        <v>0</v>
      </c>
      <c r="K12" s="35"/>
      <c r="L12" s="38"/>
      <c r="N12" s="1" t="s">
        <v>234</v>
      </c>
    </row>
    <row r="13" spans="1:26">
      <c r="A13" s="35" t="s">
        <v>235</v>
      </c>
      <c r="B13" s="35" t="s">
        <v>236</v>
      </c>
      <c r="C13" s="35" t="s">
        <v>237</v>
      </c>
      <c r="D13" s="35">
        <v>371</v>
      </c>
      <c r="E13" s="36">
        <v>1367184</v>
      </c>
      <c r="F13" s="37">
        <f t="shared" si="0"/>
        <v>3685.132075471698</v>
      </c>
      <c r="G13" s="37"/>
      <c r="H13" s="37"/>
      <c r="I13" s="38">
        <f t="shared" si="1"/>
        <v>0</v>
      </c>
      <c r="J13" s="38">
        <f t="shared" si="2"/>
        <v>0</v>
      </c>
      <c r="K13" s="38"/>
      <c r="L13" s="38"/>
      <c r="N13" s="1" t="s">
        <v>238</v>
      </c>
    </row>
    <row r="14" spans="1:26">
      <c r="A14" s="35" t="s">
        <v>239</v>
      </c>
      <c r="B14" s="35" t="s">
        <v>240</v>
      </c>
      <c r="C14" s="35" t="s">
        <v>241</v>
      </c>
      <c r="D14" s="35">
        <v>5066047</v>
      </c>
      <c r="E14" s="36">
        <v>11295980</v>
      </c>
      <c r="F14" s="37">
        <f t="shared" si="0"/>
        <v>2.2297424402102863</v>
      </c>
      <c r="G14" s="37"/>
      <c r="H14" s="37"/>
      <c r="I14" s="38">
        <f t="shared" si="1"/>
        <v>0</v>
      </c>
      <c r="J14" s="38">
        <f t="shared" si="2"/>
        <v>0</v>
      </c>
      <c r="K14" s="35"/>
      <c r="L14" s="38"/>
      <c r="N14" s="3" t="s">
        <v>2</v>
      </c>
      <c r="O14" s="4">
        <v>1</v>
      </c>
      <c r="P14" s="3">
        <v>2</v>
      </c>
      <c r="Q14" s="4">
        <v>3</v>
      </c>
      <c r="R14" s="3">
        <v>4</v>
      </c>
      <c r="S14" s="4">
        <v>5</v>
      </c>
      <c r="T14" s="3">
        <v>6</v>
      </c>
      <c r="U14" s="4">
        <v>7</v>
      </c>
      <c r="V14" s="3">
        <v>8</v>
      </c>
      <c r="W14" s="4">
        <v>9</v>
      </c>
      <c r="X14" s="3">
        <v>10</v>
      </c>
      <c r="Y14" s="4">
        <v>11</v>
      </c>
      <c r="Z14" s="3">
        <v>12</v>
      </c>
    </row>
    <row r="15" spans="1:26">
      <c r="A15" s="35" t="s">
        <v>242</v>
      </c>
      <c r="B15" s="35" t="s">
        <v>243</v>
      </c>
      <c r="C15" s="35" t="s">
        <v>244</v>
      </c>
      <c r="D15" s="35">
        <v>353209</v>
      </c>
      <c r="E15" s="36">
        <v>957258</v>
      </c>
      <c r="F15" s="37">
        <f t="shared" si="0"/>
        <v>2.7101744293038967</v>
      </c>
      <c r="G15" s="37"/>
      <c r="H15" s="37"/>
      <c r="I15" s="38">
        <f t="shared" si="1"/>
        <v>0</v>
      </c>
      <c r="J15" s="38">
        <f t="shared" si="2"/>
        <v>0</v>
      </c>
      <c r="K15" s="38"/>
      <c r="L15" s="38"/>
      <c r="N15" s="4" t="s">
        <v>4</v>
      </c>
      <c r="O15" s="7" t="s">
        <v>139</v>
      </c>
      <c r="P15" s="8" t="s">
        <v>140</v>
      </c>
      <c r="Q15" s="7" t="s">
        <v>141</v>
      </c>
      <c r="R15" s="8" t="s">
        <v>142</v>
      </c>
      <c r="S15" s="7" t="s">
        <v>143</v>
      </c>
      <c r="T15" s="8" t="s">
        <v>144</v>
      </c>
      <c r="U15" s="7" t="s">
        <v>145</v>
      </c>
      <c r="V15" s="8" t="s">
        <v>146</v>
      </c>
      <c r="W15" s="7" t="s">
        <v>147</v>
      </c>
      <c r="X15" s="8" t="s">
        <v>148</v>
      </c>
      <c r="Y15" s="7" t="s">
        <v>149</v>
      </c>
      <c r="Z15" s="8" t="s">
        <v>150</v>
      </c>
    </row>
    <row r="16" spans="1:26">
      <c r="A16" s="35" t="s">
        <v>245</v>
      </c>
      <c r="B16" s="35" t="s">
        <v>246</v>
      </c>
      <c r="C16" s="35" t="s">
        <v>247</v>
      </c>
      <c r="D16" s="35">
        <v>1647</v>
      </c>
      <c r="E16" s="36">
        <v>1015898</v>
      </c>
      <c r="F16" s="37">
        <f t="shared" si="0"/>
        <v>616.8172434729812</v>
      </c>
      <c r="G16" s="37"/>
      <c r="H16" s="37"/>
      <c r="I16" s="38">
        <f t="shared" si="1"/>
        <v>0</v>
      </c>
      <c r="J16" s="38">
        <f t="shared" si="2"/>
        <v>0</v>
      </c>
      <c r="K16" s="35"/>
      <c r="L16" s="38"/>
      <c r="N16" s="3" t="s">
        <v>18</v>
      </c>
      <c r="O16" s="8" t="s">
        <v>154</v>
      </c>
      <c r="P16" s="7" t="s">
        <v>155</v>
      </c>
      <c r="Q16" s="8" t="s">
        <v>156</v>
      </c>
      <c r="R16" s="7" t="s">
        <v>157</v>
      </c>
      <c r="S16" s="8" t="s">
        <v>158</v>
      </c>
      <c r="T16" s="7" t="s">
        <v>159</v>
      </c>
      <c r="U16" s="8" t="s">
        <v>160</v>
      </c>
      <c r="V16" s="7" t="s">
        <v>161</v>
      </c>
      <c r="W16" s="8" t="s">
        <v>162</v>
      </c>
      <c r="X16" s="7" t="s">
        <v>163</v>
      </c>
      <c r="Y16" s="8" t="s">
        <v>164</v>
      </c>
      <c r="Z16" s="7" t="s">
        <v>165</v>
      </c>
    </row>
    <row r="17" spans="1:26">
      <c r="A17" s="35" t="s">
        <v>248</v>
      </c>
      <c r="B17" s="35" t="s">
        <v>249</v>
      </c>
      <c r="C17" s="35" t="s">
        <v>250</v>
      </c>
      <c r="D17" s="35">
        <v>421</v>
      </c>
      <c r="E17" s="36">
        <v>899269</v>
      </c>
      <c r="F17" s="37">
        <f t="shared" si="0"/>
        <v>2136.0308788598577</v>
      </c>
      <c r="G17" s="37"/>
      <c r="H17" s="37"/>
      <c r="I17" s="38">
        <f t="shared" si="1"/>
        <v>0</v>
      </c>
      <c r="J17" s="38">
        <f t="shared" si="2"/>
        <v>0</v>
      </c>
      <c r="K17" s="35"/>
      <c r="L17" s="38"/>
      <c r="N17" s="4" t="s">
        <v>38</v>
      </c>
      <c r="O17" s="7" t="s">
        <v>169</v>
      </c>
      <c r="P17" s="8" t="s">
        <v>170</v>
      </c>
      <c r="Q17" s="7" t="s">
        <v>171</v>
      </c>
      <c r="R17" s="8" t="s">
        <v>172</v>
      </c>
      <c r="S17" s="7" t="s">
        <v>173</v>
      </c>
      <c r="T17" s="8" t="s">
        <v>174</v>
      </c>
      <c r="U17" s="7" t="s">
        <v>175</v>
      </c>
      <c r="V17" s="8" t="s">
        <v>176</v>
      </c>
      <c r="W17" s="7" t="s">
        <v>177</v>
      </c>
      <c r="X17" s="8" t="s">
        <v>178</v>
      </c>
      <c r="Y17" s="7" t="s">
        <v>179</v>
      </c>
      <c r="Z17" s="8" t="s">
        <v>180</v>
      </c>
    </row>
    <row r="18" spans="1:26">
      <c r="A18" s="35" t="s">
        <v>251</v>
      </c>
      <c r="B18" s="35" t="s">
        <v>252</v>
      </c>
      <c r="C18" s="35" t="s">
        <v>253</v>
      </c>
      <c r="D18" s="35">
        <v>5026606</v>
      </c>
      <c r="E18" s="36">
        <v>10754052</v>
      </c>
      <c r="F18" s="37">
        <f t="shared" si="0"/>
        <v>2.139426085911647</v>
      </c>
      <c r="G18" s="37"/>
      <c r="H18" s="37"/>
      <c r="I18" s="38">
        <f t="shared" si="1"/>
        <v>0</v>
      </c>
      <c r="J18" s="38">
        <f t="shared" si="2"/>
        <v>0</v>
      </c>
      <c r="K18" s="35"/>
      <c r="L18" s="38"/>
      <c r="N18" s="3" t="s">
        <v>59</v>
      </c>
      <c r="O18" s="8" t="s">
        <v>184</v>
      </c>
      <c r="P18" s="7" t="s">
        <v>185</v>
      </c>
      <c r="Q18" s="8" t="s">
        <v>186</v>
      </c>
      <c r="R18" s="7" t="s">
        <v>187</v>
      </c>
      <c r="S18" s="8" t="s">
        <v>188</v>
      </c>
      <c r="T18" s="7" t="s">
        <v>189</v>
      </c>
      <c r="U18" s="8" t="s">
        <v>190</v>
      </c>
      <c r="V18" s="7" t="s">
        <v>191</v>
      </c>
      <c r="W18" s="8" t="s">
        <v>192</v>
      </c>
      <c r="X18" s="7" t="s">
        <v>193</v>
      </c>
      <c r="Y18" s="8" t="s">
        <v>194</v>
      </c>
      <c r="Z18" s="7" t="s">
        <v>195</v>
      </c>
    </row>
    <row r="19" spans="1:26">
      <c r="A19" s="35" t="s">
        <v>254</v>
      </c>
      <c r="B19" s="35" t="s">
        <v>255</v>
      </c>
      <c r="C19" s="35" t="s">
        <v>256</v>
      </c>
      <c r="D19" s="35">
        <v>417541</v>
      </c>
      <c r="E19" s="36">
        <v>1014435</v>
      </c>
      <c r="F19" s="37">
        <f t="shared" si="0"/>
        <v>2.4295458410072306</v>
      </c>
      <c r="G19" s="37"/>
      <c r="H19" s="37"/>
      <c r="I19" s="38">
        <f t="shared" si="1"/>
        <v>0</v>
      </c>
      <c r="J19" s="38">
        <f t="shared" si="2"/>
        <v>0</v>
      </c>
      <c r="K19" s="35"/>
      <c r="L19" s="38"/>
      <c r="N19" s="4" t="s">
        <v>73</v>
      </c>
      <c r="O19" s="7" t="s">
        <v>199</v>
      </c>
      <c r="P19" s="8" t="s">
        <v>200</v>
      </c>
      <c r="Q19" s="10" t="s">
        <v>201</v>
      </c>
      <c r="R19" s="11" t="s">
        <v>202</v>
      </c>
      <c r="S19" s="7" t="s">
        <v>203</v>
      </c>
      <c r="T19" s="8" t="s">
        <v>204</v>
      </c>
      <c r="U19" s="10" t="s">
        <v>205</v>
      </c>
      <c r="V19" s="11" t="s">
        <v>206</v>
      </c>
      <c r="W19" s="7" t="s">
        <v>207</v>
      </c>
      <c r="X19" s="8" t="s">
        <v>208</v>
      </c>
      <c r="Y19" s="10" t="s">
        <v>209</v>
      </c>
      <c r="Z19" s="11" t="s">
        <v>210</v>
      </c>
    </row>
    <row r="20" spans="1:26">
      <c r="A20" s="35" t="s">
        <v>257</v>
      </c>
      <c r="B20" s="35" t="s">
        <v>258</v>
      </c>
      <c r="C20" s="35" t="s">
        <v>259</v>
      </c>
      <c r="D20" s="35">
        <v>3249</v>
      </c>
      <c r="E20" s="36">
        <v>1108166</v>
      </c>
      <c r="F20" s="37">
        <f t="shared" si="0"/>
        <v>341.07910126192672</v>
      </c>
      <c r="G20" s="37"/>
      <c r="H20" s="37"/>
      <c r="I20" s="38">
        <f t="shared" si="1"/>
        <v>0</v>
      </c>
      <c r="J20" s="38">
        <f t="shared" si="2"/>
        <v>0</v>
      </c>
      <c r="K20" s="35"/>
      <c r="L20" s="38"/>
      <c r="N20" s="3" t="s">
        <v>86</v>
      </c>
      <c r="O20" s="8" t="s">
        <v>214</v>
      </c>
      <c r="P20" s="10" t="s">
        <v>215</v>
      </c>
      <c r="Q20" s="11" t="s">
        <v>216</v>
      </c>
      <c r="R20" s="10" t="s">
        <v>217</v>
      </c>
      <c r="S20" s="11" t="s">
        <v>218</v>
      </c>
      <c r="T20" s="10" t="s">
        <v>218</v>
      </c>
      <c r="U20" s="11" t="s">
        <v>219</v>
      </c>
      <c r="V20" s="10" t="s">
        <v>219</v>
      </c>
      <c r="W20" s="11" t="s">
        <v>220</v>
      </c>
      <c r="X20" s="10" t="s">
        <v>220</v>
      </c>
      <c r="Y20" s="11" t="s">
        <v>221</v>
      </c>
      <c r="Z20" s="7" t="s">
        <v>221</v>
      </c>
    </row>
    <row r="21" spans="1:26">
      <c r="A21" s="35" t="s">
        <v>260</v>
      </c>
      <c r="B21" s="35" t="s">
        <v>261</v>
      </c>
      <c r="C21" s="35" t="s">
        <v>262</v>
      </c>
      <c r="D21" s="35">
        <v>433</v>
      </c>
      <c r="E21" s="36">
        <v>1171563</v>
      </c>
      <c r="F21" s="37">
        <f t="shared" si="0"/>
        <v>2705.6882217090069</v>
      </c>
      <c r="G21" s="37"/>
      <c r="H21" s="37"/>
      <c r="I21" s="38">
        <f t="shared" si="1"/>
        <v>0</v>
      </c>
      <c r="J21" s="38">
        <f t="shared" si="2"/>
        <v>0</v>
      </c>
      <c r="K21" s="38"/>
      <c r="L21" s="38"/>
      <c r="N21" s="4" t="s">
        <v>91</v>
      </c>
      <c r="O21" s="7" t="s">
        <v>263</v>
      </c>
      <c r="P21" s="8" t="s">
        <v>263</v>
      </c>
      <c r="Q21" s="7" t="s">
        <v>263</v>
      </c>
      <c r="R21" s="8" t="s">
        <v>263</v>
      </c>
      <c r="S21" s="7" t="s">
        <v>263</v>
      </c>
      <c r="T21" s="8" t="s">
        <v>263</v>
      </c>
      <c r="U21" s="7" t="s">
        <v>263</v>
      </c>
      <c r="V21" s="8" t="s">
        <v>263</v>
      </c>
      <c r="W21" s="7" t="s">
        <v>263</v>
      </c>
      <c r="X21" s="8" t="s">
        <v>263</v>
      </c>
      <c r="Y21" s="7" t="s">
        <v>263</v>
      </c>
      <c r="Z21" s="8" t="s">
        <v>263</v>
      </c>
    </row>
    <row r="22" spans="1:26">
      <c r="A22" s="35" t="s">
        <v>264</v>
      </c>
      <c r="B22" s="35" t="s">
        <v>265</v>
      </c>
      <c r="C22" s="35" t="s">
        <v>266</v>
      </c>
      <c r="D22" s="35">
        <v>4552944</v>
      </c>
      <c r="E22" s="36">
        <v>9140835</v>
      </c>
      <c r="F22" s="37">
        <f t="shared" si="0"/>
        <v>2.0076756929142991</v>
      </c>
      <c r="G22" s="37"/>
      <c r="H22" s="37"/>
      <c r="I22" s="38">
        <f t="shared" si="1"/>
        <v>0</v>
      </c>
      <c r="J22" s="38">
        <f t="shared" si="2"/>
        <v>0</v>
      </c>
      <c r="K22" s="35"/>
      <c r="L22" s="38"/>
      <c r="N22" s="3" t="s">
        <v>92</v>
      </c>
      <c r="O22" s="8" t="s">
        <v>267</v>
      </c>
      <c r="P22" s="7" t="s">
        <v>268</v>
      </c>
      <c r="Q22" s="8" t="s">
        <v>269</v>
      </c>
      <c r="R22" s="7" t="s">
        <v>270</v>
      </c>
      <c r="S22" s="8" t="s">
        <v>271</v>
      </c>
      <c r="T22" s="7" t="s">
        <v>272</v>
      </c>
      <c r="U22" s="8" t="s">
        <v>273</v>
      </c>
      <c r="V22" s="7" t="s">
        <v>274</v>
      </c>
      <c r="W22" s="8" t="s">
        <v>275</v>
      </c>
      <c r="X22" s="7" t="s">
        <v>276</v>
      </c>
      <c r="Y22" s="8" t="s">
        <v>277</v>
      </c>
      <c r="Z22" s="7" t="s">
        <v>278</v>
      </c>
    </row>
    <row r="23" spans="1:26">
      <c r="A23" s="35" t="s">
        <v>279</v>
      </c>
      <c r="B23" s="35" t="s">
        <v>280</v>
      </c>
      <c r="C23" s="35" t="s">
        <v>281</v>
      </c>
      <c r="D23" s="35">
        <v>714226</v>
      </c>
      <c r="E23" s="36">
        <v>1582919</v>
      </c>
      <c r="F23" s="37">
        <f t="shared" si="0"/>
        <v>2.2162718803291956</v>
      </c>
      <c r="G23" s="37"/>
      <c r="H23" s="37"/>
      <c r="I23" s="38">
        <f t="shared" si="1"/>
        <v>0</v>
      </c>
      <c r="J23" s="38">
        <f t="shared" si="2"/>
        <v>0</v>
      </c>
      <c r="K23" s="38"/>
      <c r="L23" s="38"/>
    </row>
    <row r="24" spans="1:26">
      <c r="A24" s="35" t="s">
        <v>282</v>
      </c>
      <c r="B24" s="35" t="s">
        <v>283</v>
      </c>
      <c r="C24" s="35" t="s">
        <v>284</v>
      </c>
      <c r="D24" s="35">
        <v>8123</v>
      </c>
      <c r="E24" s="36">
        <v>2105975</v>
      </c>
      <c r="F24" s="37">
        <f t="shared" si="0"/>
        <v>259.26074110550292</v>
      </c>
      <c r="G24" s="37"/>
      <c r="H24" s="37"/>
      <c r="I24" s="38">
        <f t="shared" si="1"/>
        <v>0</v>
      </c>
      <c r="J24" s="38">
        <f t="shared" si="2"/>
        <v>0</v>
      </c>
      <c r="K24" s="38"/>
      <c r="L24" s="38"/>
      <c r="N24" s="1" t="s">
        <v>285</v>
      </c>
    </row>
    <row r="25" spans="1:26">
      <c r="A25" s="35" t="s">
        <v>286</v>
      </c>
      <c r="B25" s="35" t="s">
        <v>287</v>
      </c>
      <c r="C25" s="35" t="s">
        <v>288</v>
      </c>
      <c r="D25" s="35">
        <v>374</v>
      </c>
      <c r="E25" s="36">
        <v>1402086</v>
      </c>
      <c r="F25" s="37">
        <f t="shared" si="0"/>
        <v>3748.8930481283423</v>
      </c>
      <c r="G25" s="37"/>
      <c r="H25" s="37"/>
      <c r="I25" s="38">
        <f t="shared" si="1"/>
        <v>0</v>
      </c>
      <c r="J25" s="38">
        <f t="shared" si="2"/>
        <v>0</v>
      </c>
      <c r="K25" s="35"/>
      <c r="L25" s="38"/>
      <c r="N25" s="3" t="s">
        <v>2</v>
      </c>
      <c r="O25" s="4">
        <v>1</v>
      </c>
      <c r="P25" s="3">
        <v>2</v>
      </c>
      <c r="Q25" s="4">
        <v>3</v>
      </c>
      <c r="R25" s="3">
        <v>4</v>
      </c>
      <c r="S25" s="4">
        <v>5</v>
      </c>
      <c r="T25" s="3">
        <v>6</v>
      </c>
      <c r="U25" s="4">
        <v>7</v>
      </c>
      <c r="V25" s="3">
        <v>8</v>
      </c>
      <c r="W25" s="4">
        <v>9</v>
      </c>
      <c r="X25" s="3">
        <v>10</v>
      </c>
      <c r="Y25" s="4">
        <v>11</v>
      </c>
      <c r="Z25" s="3">
        <v>12</v>
      </c>
    </row>
    <row r="26" spans="1:26">
      <c r="A26" s="35" t="s">
        <v>289</v>
      </c>
      <c r="B26" s="35" t="s">
        <v>290</v>
      </c>
      <c r="C26" s="35" t="s">
        <v>291</v>
      </c>
      <c r="D26" s="35">
        <v>3682830</v>
      </c>
      <c r="E26" s="36">
        <v>8108541</v>
      </c>
      <c r="F26" s="37">
        <f t="shared" si="0"/>
        <v>2.2017147139563868</v>
      </c>
      <c r="G26" s="37"/>
      <c r="H26" s="37"/>
      <c r="I26" s="38">
        <f t="shared" si="1"/>
        <v>0</v>
      </c>
      <c r="J26" s="38">
        <f t="shared" si="2"/>
        <v>0</v>
      </c>
      <c r="K26" s="35"/>
      <c r="L26" s="38"/>
      <c r="N26" s="4" t="s">
        <v>4</v>
      </c>
      <c r="O26" s="7">
        <v>6371</v>
      </c>
      <c r="P26" s="8">
        <v>6877</v>
      </c>
      <c r="Q26" s="7">
        <v>11603</v>
      </c>
      <c r="R26" s="8">
        <v>10697</v>
      </c>
      <c r="S26" s="7">
        <v>4820</v>
      </c>
      <c r="T26" s="8">
        <v>4101</v>
      </c>
      <c r="U26" s="7">
        <v>11007</v>
      </c>
      <c r="V26" s="8">
        <v>9397</v>
      </c>
      <c r="W26" s="7">
        <v>3798</v>
      </c>
      <c r="X26" s="8">
        <v>5080</v>
      </c>
      <c r="Y26" s="7">
        <v>11731</v>
      </c>
      <c r="Z26" s="8">
        <v>10607</v>
      </c>
    </row>
    <row r="27" spans="1:26">
      <c r="A27" s="35" t="s">
        <v>292</v>
      </c>
      <c r="B27" s="35" t="s">
        <v>293</v>
      </c>
      <c r="C27" s="35" t="s">
        <v>294</v>
      </c>
      <c r="D27" s="35">
        <v>1714537</v>
      </c>
      <c r="E27" s="36">
        <v>18137574</v>
      </c>
      <c r="F27" s="37">
        <f t="shared" si="0"/>
        <v>10.578700838768718</v>
      </c>
      <c r="G27" s="37"/>
      <c r="H27" s="37"/>
      <c r="I27" s="38">
        <f t="shared" si="1"/>
        <v>0</v>
      </c>
      <c r="J27" s="38">
        <f t="shared" si="2"/>
        <v>0</v>
      </c>
      <c r="K27" s="35"/>
      <c r="L27" s="38"/>
      <c r="N27" s="3" t="s">
        <v>18</v>
      </c>
      <c r="O27" s="8">
        <v>7169</v>
      </c>
      <c r="P27" s="7">
        <v>4062</v>
      </c>
      <c r="Q27" s="8">
        <v>12198</v>
      </c>
      <c r="R27" s="7">
        <v>11283</v>
      </c>
      <c r="S27" s="8">
        <v>4476</v>
      </c>
      <c r="T27" s="7">
        <v>4536</v>
      </c>
      <c r="U27" s="8">
        <v>12132</v>
      </c>
      <c r="V27" s="7">
        <v>11994</v>
      </c>
      <c r="W27" s="8">
        <v>3123</v>
      </c>
      <c r="X27" s="7">
        <v>4371</v>
      </c>
      <c r="Y27" s="8">
        <v>11838</v>
      </c>
      <c r="Z27" s="7">
        <v>11801</v>
      </c>
    </row>
    <row r="28" spans="1:26">
      <c r="A28" s="35" t="s">
        <v>295</v>
      </c>
      <c r="B28" s="35" t="s">
        <v>296</v>
      </c>
      <c r="C28" s="35" t="s">
        <v>297</v>
      </c>
      <c r="D28" s="35">
        <v>170442</v>
      </c>
      <c r="E28" s="36">
        <v>463764</v>
      </c>
      <c r="F28" s="37">
        <f t="shared" si="0"/>
        <v>2.7209490618509524</v>
      </c>
      <c r="G28" s="37"/>
      <c r="H28" s="37"/>
      <c r="I28" s="38">
        <f t="shared" si="1"/>
        <v>0</v>
      </c>
      <c r="J28" s="38">
        <f t="shared" si="2"/>
        <v>0</v>
      </c>
      <c r="K28" s="38"/>
      <c r="L28" s="38"/>
      <c r="N28" s="4" t="s">
        <v>38</v>
      </c>
      <c r="O28" s="7">
        <v>3996</v>
      </c>
      <c r="P28" s="8">
        <v>1796</v>
      </c>
      <c r="Q28" s="7">
        <v>2214</v>
      </c>
      <c r="R28" s="8">
        <v>12943</v>
      </c>
      <c r="S28" s="7">
        <v>4193</v>
      </c>
      <c r="T28" s="8">
        <v>3725</v>
      </c>
      <c r="U28" s="7">
        <v>471</v>
      </c>
      <c r="V28" s="8">
        <v>2020</v>
      </c>
      <c r="W28" s="7">
        <v>3630</v>
      </c>
      <c r="X28" s="8">
        <v>292</v>
      </c>
      <c r="Y28" s="7">
        <v>3055</v>
      </c>
      <c r="Z28" s="8">
        <v>4439</v>
      </c>
    </row>
    <row r="29" spans="1:26">
      <c r="A29" s="35" t="s">
        <v>298</v>
      </c>
      <c r="B29" s="35" t="s">
        <v>299</v>
      </c>
      <c r="C29" s="35" t="s">
        <v>300</v>
      </c>
      <c r="D29" s="35">
        <v>424</v>
      </c>
      <c r="E29" s="36">
        <v>1249276</v>
      </c>
      <c r="F29" s="37">
        <f t="shared" si="0"/>
        <v>2946.4056603773583</v>
      </c>
      <c r="G29" s="37"/>
      <c r="H29" s="37"/>
      <c r="I29" s="38">
        <f t="shared" si="1"/>
        <v>0</v>
      </c>
      <c r="J29" s="38">
        <f t="shared" si="2"/>
        <v>0</v>
      </c>
      <c r="K29" s="38"/>
      <c r="L29" s="38"/>
      <c r="N29" s="3" t="s">
        <v>59</v>
      </c>
      <c r="O29" s="8">
        <v>5815</v>
      </c>
      <c r="P29" s="7">
        <v>3953</v>
      </c>
      <c r="Q29" s="8">
        <v>4004</v>
      </c>
      <c r="R29" s="7">
        <v>3584</v>
      </c>
      <c r="S29" s="8">
        <v>4097</v>
      </c>
      <c r="T29" s="7">
        <v>4435</v>
      </c>
      <c r="U29" s="8">
        <v>3568</v>
      </c>
      <c r="V29" s="7">
        <v>4700</v>
      </c>
      <c r="W29" s="8">
        <v>3748</v>
      </c>
      <c r="X29" s="7">
        <v>5151</v>
      </c>
      <c r="Y29" s="8">
        <v>3777</v>
      </c>
      <c r="Z29" s="7">
        <v>5222</v>
      </c>
    </row>
    <row r="30" spans="1:26">
      <c r="A30" s="35" t="s">
        <v>301</v>
      </c>
      <c r="B30" s="35" t="s">
        <v>302</v>
      </c>
      <c r="C30" s="35" t="s">
        <v>303</v>
      </c>
      <c r="D30" s="35">
        <v>2622000</v>
      </c>
      <c r="E30" s="36">
        <v>5888959</v>
      </c>
      <c r="F30" s="37">
        <f t="shared" si="0"/>
        <v>2.2459797864225783</v>
      </c>
      <c r="G30" s="37"/>
      <c r="H30" s="37"/>
      <c r="I30" s="38">
        <f t="shared" si="1"/>
        <v>0</v>
      </c>
      <c r="J30" s="38">
        <f t="shared" si="2"/>
        <v>0</v>
      </c>
      <c r="K30" s="38"/>
      <c r="L30" s="38"/>
      <c r="N30" s="4" t="s">
        <v>73</v>
      </c>
      <c r="O30" s="7">
        <v>3561</v>
      </c>
      <c r="P30" s="8">
        <v>4515</v>
      </c>
      <c r="Q30" s="10">
        <v>3776</v>
      </c>
      <c r="R30" s="11">
        <v>5519</v>
      </c>
      <c r="S30" s="7">
        <v>3715</v>
      </c>
      <c r="T30" s="8">
        <v>3745</v>
      </c>
      <c r="U30" s="10">
        <v>3029</v>
      </c>
      <c r="V30" s="11">
        <v>4657</v>
      </c>
      <c r="W30" s="7">
        <v>2791</v>
      </c>
      <c r="X30" s="8">
        <v>5559</v>
      </c>
      <c r="Y30" s="10">
        <v>2050</v>
      </c>
      <c r="Z30" s="11">
        <v>2753</v>
      </c>
    </row>
    <row r="31" spans="1:26">
      <c r="A31" s="35" t="s">
        <v>304</v>
      </c>
      <c r="B31" s="35" t="s">
        <v>305</v>
      </c>
      <c r="C31" s="35" t="s">
        <v>306</v>
      </c>
      <c r="D31" s="35">
        <v>1638972</v>
      </c>
      <c r="E31" s="36">
        <v>3509848</v>
      </c>
      <c r="F31" s="37">
        <f t="shared" si="0"/>
        <v>2.1414935703599571</v>
      </c>
      <c r="G31" s="37"/>
      <c r="H31" s="37"/>
      <c r="I31" s="38">
        <f t="shared" si="1"/>
        <v>0</v>
      </c>
      <c r="J31" s="38">
        <f t="shared" si="2"/>
        <v>0</v>
      </c>
      <c r="K31" s="35"/>
      <c r="L31" s="38"/>
      <c r="N31" s="3" t="s">
        <v>86</v>
      </c>
      <c r="O31" s="8">
        <v>6045</v>
      </c>
      <c r="P31" s="10">
        <v>4137</v>
      </c>
      <c r="Q31" s="11">
        <v>3483</v>
      </c>
      <c r="R31" s="10">
        <v>4241</v>
      </c>
      <c r="S31" s="11">
        <v>4776</v>
      </c>
      <c r="T31" s="10">
        <v>4326</v>
      </c>
      <c r="U31" s="11">
        <v>4948</v>
      </c>
      <c r="V31" s="10">
        <v>4969</v>
      </c>
      <c r="W31" s="11">
        <v>5958</v>
      </c>
      <c r="X31" s="10">
        <v>5595</v>
      </c>
      <c r="Y31" s="11">
        <v>7354</v>
      </c>
      <c r="Z31" s="7">
        <v>6506</v>
      </c>
    </row>
    <row r="32" spans="1:26">
      <c r="A32" s="35" t="s">
        <v>307</v>
      </c>
      <c r="B32" s="35" t="s">
        <v>308</v>
      </c>
      <c r="C32" s="35" t="s">
        <v>309</v>
      </c>
      <c r="D32" s="35">
        <v>1297115</v>
      </c>
      <c r="E32" s="36">
        <v>27665734</v>
      </c>
      <c r="F32" s="37">
        <f t="shared" si="0"/>
        <v>21.32866708040536</v>
      </c>
      <c r="G32" s="37"/>
      <c r="H32" s="37"/>
      <c r="I32" s="38">
        <f t="shared" si="1"/>
        <v>0</v>
      </c>
      <c r="J32" s="38">
        <f t="shared" si="2"/>
        <v>0</v>
      </c>
      <c r="K32" s="35"/>
      <c r="L32" s="38"/>
      <c r="N32" s="4" t="s">
        <v>91</v>
      </c>
      <c r="O32" s="7">
        <v>38</v>
      </c>
      <c r="P32" s="8">
        <v>38</v>
      </c>
      <c r="Q32" s="7">
        <v>38</v>
      </c>
      <c r="R32" s="8">
        <v>37</v>
      </c>
      <c r="S32" s="7">
        <v>38</v>
      </c>
      <c r="T32" s="8">
        <v>37</v>
      </c>
      <c r="U32" s="7">
        <v>38</v>
      </c>
      <c r="V32" s="8">
        <v>38</v>
      </c>
      <c r="W32" s="7">
        <v>39</v>
      </c>
      <c r="X32" s="8">
        <v>37</v>
      </c>
      <c r="Y32" s="7">
        <v>38</v>
      </c>
      <c r="Z32" s="8">
        <v>37</v>
      </c>
    </row>
    <row r="33" spans="1:26">
      <c r="A33" s="35" t="s">
        <v>310</v>
      </c>
      <c r="B33" s="35" t="s">
        <v>311</v>
      </c>
      <c r="C33" s="35" t="s">
        <v>312</v>
      </c>
      <c r="D33" s="35">
        <v>50055</v>
      </c>
      <c r="E33" s="36">
        <v>188090</v>
      </c>
      <c r="F33" s="37">
        <f t="shared" si="0"/>
        <v>3.7576665667765456</v>
      </c>
      <c r="G33" s="37"/>
      <c r="H33" s="37"/>
      <c r="I33" s="38">
        <f t="shared" si="1"/>
        <v>0</v>
      </c>
      <c r="J33" s="38">
        <f t="shared" si="2"/>
        <v>0</v>
      </c>
      <c r="K33" s="38"/>
      <c r="L33" s="38"/>
      <c r="N33" s="3" t="s">
        <v>92</v>
      </c>
      <c r="O33" s="8">
        <v>44218</v>
      </c>
      <c r="P33" s="7">
        <v>22125</v>
      </c>
      <c r="Q33" s="8">
        <v>10800</v>
      </c>
      <c r="R33" s="7">
        <v>5104</v>
      </c>
      <c r="S33" s="8">
        <v>2783</v>
      </c>
      <c r="T33" s="7">
        <v>1413</v>
      </c>
      <c r="U33" s="8">
        <v>766</v>
      </c>
      <c r="V33" s="7">
        <v>467</v>
      </c>
      <c r="W33" s="8">
        <v>273</v>
      </c>
      <c r="X33" s="7">
        <v>157</v>
      </c>
      <c r="Y33" s="8">
        <v>98</v>
      </c>
      <c r="Z33" s="7">
        <v>69</v>
      </c>
    </row>
    <row r="34" spans="1:26">
      <c r="A34" s="35" t="s">
        <v>313</v>
      </c>
      <c r="B34" s="35" t="s">
        <v>314</v>
      </c>
      <c r="C34" s="35" t="s">
        <v>315</v>
      </c>
      <c r="D34" s="35">
        <v>1861564</v>
      </c>
      <c r="E34" s="36">
        <v>4039280</v>
      </c>
      <c r="F34" s="37">
        <f t="shared" si="0"/>
        <v>2.1698313890900338</v>
      </c>
      <c r="G34" s="37"/>
      <c r="H34" s="37"/>
      <c r="I34" s="38">
        <f t="shared" si="1"/>
        <v>0</v>
      </c>
      <c r="J34" s="38">
        <f t="shared" si="2"/>
        <v>0</v>
      </c>
      <c r="K34" s="35"/>
      <c r="L34" s="38"/>
    </row>
    <row r="35" spans="1:26">
      <c r="A35" s="35" t="s">
        <v>316</v>
      </c>
      <c r="B35" s="35" t="s">
        <v>317</v>
      </c>
      <c r="C35" s="35" t="s">
        <v>318</v>
      </c>
      <c r="D35" s="35">
        <v>1063313</v>
      </c>
      <c r="E35" s="36">
        <v>18854676</v>
      </c>
      <c r="F35" s="37">
        <f t="shared" si="0"/>
        <v>17.732009295475557</v>
      </c>
      <c r="G35" s="37"/>
      <c r="H35" s="37"/>
      <c r="I35" s="38">
        <f t="shared" si="1"/>
        <v>0</v>
      </c>
      <c r="J35" s="38">
        <f t="shared" si="2"/>
        <v>0</v>
      </c>
      <c r="K35" s="35"/>
      <c r="L35" s="38"/>
      <c r="N35" s="3" t="s">
        <v>319</v>
      </c>
      <c r="O35" s="4">
        <v>1</v>
      </c>
      <c r="P35" s="3">
        <v>2</v>
      </c>
      <c r="Q35" s="4">
        <v>3</v>
      </c>
      <c r="R35" s="3">
        <v>4</v>
      </c>
      <c r="S35" s="4">
        <v>5</v>
      </c>
      <c r="T35" s="3">
        <v>6</v>
      </c>
      <c r="U35" s="4">
        <v>7</v>
      </c>
      <c r="V35" s="3">
        <v>8</v>
      </c>
      <c r="W35" s="4">
        <v>9</v>
      </c>
      <c r="X35" s="3">
        <v>10</v>
      </c>
      <c r="Y35" s="4">
        <v>11</v>
      </c>
      <c r="Z35" s="3">
        <v>12</v>
      </c>
    </row>
    <row r="36" spans="1:26">
      <c r="A36" s="35" t="s">
        <v>320</v>
      </c>
      <c r="B36" s="35" t="s">
        <v>321</v>
      </c>
      <c r="C36" s="35" t="s">
        <v>322</v>
      </c>
      <c r="D36" s="35">
        <v>1696410</v>
      </c>
      <c r="E36" s="36">
        <v>3807895</v>
      </c>
      <c r="F36" s="37">
        <f t="shared" si="0"/>
        <v>2.2446784680590186</v>
      </c>
      <c r="G36" s="37"/>
      <c r="H36" s="37"/>
      <c r="I36" s="38">
        <f t="shared" si="1"/>
        <v>0</v>
      </c>
      <c r="J36" s="38">
        <f t="shared" si="2"/>
        <v>0</v>
      </c>
      <c r="K36" s="35"/>
      <c r="L36" s="38"/>
      <c r="N36" s="4" t="s">
        <v>4</v>
      </c>
      <c r="O36" s="7">
        <v>6213</v>
      </c>
      <c r="P36" s="8">
        <v>6800</v>
      </c>
      <c r="Q36" s="7">
        <v>11514</v>
      </c>
      <c r="R36" s="8">
        <v>10371</v>
      </c>
      <c r="S36" s="7">
        <v>4941</v>
      </c>
      <c r="T36" s="8">
        <v>4079</v>
      </c>
      <c r="U36" s="7">
        <v>11512</v>
      </c>
      <c r="V36" s="8">
        <v>9659</v>
      </c>
      <c r="W36" s="7">
        <v>3951</v>
      </c>
      <c r="X36" s="8">
        <v>5328</v>
      </c>
      <c r="Y36" s="7">
        <v>11968</v>
      </c>
      <c r="Z36" s="8">
        <v>11606</v>
      </c>
    </row>
    <row r="37" spans="1:26">
      <c r="A37" s="35" t="s">
        <v>323</v>
      </c>
      <c r="B37" s="35" t="s">
        <v>324</v>
      </c>
      <c r="C37" s="35" t="s">
        <v>325</v>
      </c>
      <c r="D37" s="35">
        <v>750451</v>
      </c>
      <c r="E37" s="36">
        <v>1645506</v>
      </c>
      <c r="F37" s="37">
        <f t="shared" si="0"/>
        <v>2.192689462736408</v>
      </c>
      <c r="G37" s="37"/>
      <c r="H37" s="37"/>
      <c r="I37" s="38">
        <f t="shared" si="1"/>
        <v>0</v>
      </c>
      <c r="J37" s="38">
        <f t="shared" si="2"/>
        <v>0</v>
      </c>
      <c r="K37" s="35"/>
      <c r="L37" s="38"/>
      <c r="N37" s="3" t="s">
        <v>18</v>
      </c>
      <c r="O37" s="8">
        <v>7079</v>
      </c>
      <c r="P37" s="7">
        <v>4074</v>
      </c>
      <c r="Q37" s="8">
        <v>12216</v>
      </c>
      <c r="R37" s="7">
        <v>11445</v>
      </c>
      <c r="S37" s="8">
        <v>4523</v>
      </c>
      <c r="T37" s="7">
        <v>4550</v>
      </c>
      <c r="U37" s="8">
        <v>12075</v>
      </c>
      <c r="V37" s="7">
        <v>11977</v>
      </c>
      <c r="W37" s="8">
        <v>3172</v>
      </c>
      <c r="X37" s="7">
        <v>4407</v>
      </c>
      <c r="Y37" s="8">
        <v>12314</v>
      </c>
      <c r="Z37" s="7">
        <v>12417</v>
      </c>
    </row>
    <row r="38" spans="1:26">
      <c r="A38" s="35" t="s">
        <v>326</v>
      </c>
      <c r="B38" s="35" t="s">
        <v>327</v>
      </c>
      <c r="C38" s="35" t="s">
        <v>328</v>
      </c>
      <c r="D38" s="35">
        <v>1585732</v>
      </c>
      <c r="E38" s="40">
        <v>3077936</v>
      </c>
      <c r="F38" s="37">
        <f t="shared" si="0"/>
        <v>1.9410190372648088</v>
      </c>
      <c r="G38" s="37"/>
      <c r="H38" s="37"/>
      <c r="I38" s="38">
        <f t="shared" si="1"/>
        <v>0</v>
      </c>
      <c r="J38" s="38">
        <f t="shared" si="2"/>
        <v>0</v>
      </c>
      <c r="K38" s="38"/>
      <c r="L38" s="38"/>
      <c r="N38" s="4" t="s">
        <v>38</v>
      </c>
      <c r="O38" s="7">
        <v>3647</v>
      </c>
      <c r="P38" s="8">
        <v>495</v>
      </c>
      <c r="Q38" s="7">
        <v>2050</v>
      </c>
      <c r="R38" s="8">
        <v>11794</v>
      </c>
      <c r="S38" s="7">
        <v>3934</v>
      </c>
      <c r="T38" s="8">
        <v>3563</v>
      </c>
      <c r="U38" s="7">
        <v>358</v>
      </c>
      <c r="V38" s="8">
        <v>1940</v>
      </c>
      <c r="W38" s="7">
        <v>3456</v>
      </c>
      <c r="X38" s="8">
        <v>203</v>
      </c>
      <c r="Y38" s="7">
        <v>2913</v>
      </c>
      <c r="Z38" s="8">
        <v>4406</v>
      </c>
    </row>
    <row r="39" spans="1:26">
      <c r="A39" s="35" t="s">
        <v>329</v>
      </c>
      <c r="B39" s="35" t="s">
        <v>330</v>
      </c>
      <c r="C39" s="35" t="s">
        <v>331</v>
      </c>
      <c r="D39" s="35">
        <v>585044</v>
      </c>
      <c r="E39" s="40">
        <v>1402547</v>
      </c>
      <c r="F39" s="37">
        <f t="shared" si="0"/>
        <v>2.3973359268704577</v>
      </c>
      <c r="G39" s="37"/>
      <c r="H39" s="37"/>
      <c r="I39" s="38">
        <f t="shared" si="1"/>
        <v>0</v>
      </c>
      <c r="J39" s="38">
        <f t="shared" si="2"/>
        <v>0</v>
      </c>
      <c r="K39" s="38"/>
      <c r="L39" s="38"/>
      <c r="N39" s="3" t="s">
        <v>59</v>
      </c>
      <c r="O39" s="8">
        <v>6461</v>
      </c>
      <c r="P39" s="7">
        <v>4295</v>
      </c>
      <c r="Q39" s="8">
        <v>4029</v>
      </c>
      <c r="R39" s="7">
        <v>3723</v>
      </c>
      <c r="S39" s="8">
        <v>4147</v>
      </c>
      <c r="T39" s="7">
        <v>4725</v>
      </c>
      <c r="U39" s="8">
        <v>3690</v>
      </c>
      <c r="V39" s="7">
        <v>5054</v>
      </c>
      <c r="W39" s="8">
        <v>3800</v>
      </c>
      <c r="X39" s="7">
        <v>5037</v>
      </c>
      <c r="Y39" s="8">
        <v>3738</v>
      </c>
      <c r="Z39" s="7">
        <v>5163</v>
      </c>
    </row>
    <row r="40" spans="1:26">
      <c r="A40" s="35" t="s">
        <v>332</v>
      </c>
      <c r="B40" s="35" t="s">
        <v>333</v>
      </c>
      <c r="C40" s="35" t="s">
        <v>334</v>
      </c>
      <c r="D40" s="35">
        <v>1217893</v>
      </c>
      <c r="E40" s="40">
        <v>2778942</v>
      </c>
      <c r="F40" s="37">
        <f t="shared" si="0"/>
        <v>2.2817620267133485</v>
      </c>
      <c r="G40" s="37"/>
      <c r="H40" s="37"/>
      <c r="I40" s="38">
        <f t="shared" si="1"/>
        <v>0</v>
      </c>
      <c r="J40" s="38">
        <f t="shared" si="2"/>
        <v>0</v>
      </c>
      <c r="K40" s="38"/>
      <c r="L40" s="38"/>
      <c r="N40" s="4" t="s">
        <v>73</v>
      </c>
      <c r="O40" s="7">
        <v>3403</v>
      </c>
      <c r="P40" s="8">
        <v>4192</v>
      </c>
      <c r="Q40" s="10">
        <v>3477</v>
      </c>
      <c r="R40" s="11">
        <v>5053</v>
      </c>
      <c r="S40" s="7">
        <v>3421</v>
      </c>
      <c r="T40" s="8">
        <v>3508</v>
      </c>
      <c r="U40" s="10">
        <v>2791</v>
      </c>
      <c r="V40" s="11">
        <v>4196</v>
      </c>
      <c r="W40" s="7">
        <v>2516</v>
      </c>
      <c r="X40" s="8">
        <v>5087</v>
      </c>
      <c r="Y40" s="10">
        <v>1851</v>
      </c>
      <c r="Z40" s="11">
        <v>4196</v>
      </c>
    </row>
    <row r="41" spans="1:26">
      <c r="A41" s="35" t="s">
        <v>335</v>
      </c>
      <c r="B41" s="35" t="s">
        <v>336</v>
      </c>
      <c r="C41" s="35" t="s">
        <v>337</v>
      </c>
      <c r="D41" s="35">
        <v>2306673</v>
      </c>
      <c r="E41" s="40">
        <v>4554740</v>
      </c>
      <c r="F41" s="37">
        <f t="shared" si="0"/>
        <v>1.9745928443260055</v>
      </c>
      <c r="G41" s="37"/>
      <c r="H41" s="37"/>
      <c r="I41" s="38">
        <f t="shared" si="1"/>
        <v>0</v>
      </c>
      <c r="J41" s="38">
        <f t="shared" si="2"/>
        <v>0</v>
      </c>
      <c r="K41" s="38"/>
      <c r="L41" s="38"/>
      <c r="N41" s="3" t="s">
        <v>86</v>
      </c>
      <c r="O41" s="8">
        <v>4412</v>
      </c>
      <c r="P41" s="10">
        <v>4474</v>
      </c>
      <c r="Q41" s="11">
        <v>3504</v>
      </c>
      <c r="R41" s="10">
        <v>4502</v>
      </c>
      <c r="S41" s="11">
        <v>4771</v>
      </c>
      <c r="T41" s="10">
        <v>4292</v>
      </c>
      <c r="U41" s="11">
        <v>4753</v>
      </c>
      <c r="V41" s="10">
        <v>4669</v>
      </c>
      <c r="W41" s="11">
        <v>6011</v>
      </c>
      <c r="X41" s="10">
        <v>5551</v>
      </c>
      <c r="Y41" s="11">
        <v>7403</v>
      </c>
      <c r="Z41" s="7">
        <v>6770</v>
      </c>
    </row>
    <row r="42" spans="1:26">
      <c r="A42" s="35" t="s">
        <v>338</v>
      </c>
      <c r="B42" s="35" t="s">
        <v>339</v>
      </c>
      <c r="C42" s="35" t="s">
        <v>340</v>
      </c>
      <c r="D42" s="35">
        <v>1314937</v>
      </c>
      <c r="E42" s="36">
        <v>2979677</v>
      </c>
      <c r="F42" s="37">
        <f t="shared" si="0"/>
        <v>2.2660226307420053</v>
      </c>
      <c r="G42" s="37"/>
      <c r="H42" s="37"/>
      <c r="I42" s="38">
        <f t="shared" si="1"/>
        <v>0</v>
      </c>
      <c r="J42" s="38">
        <f t="shared" si="2"/>
        <v>0</v>
      </c>
      <c r="K42" s="38"/>
      <c r="L42" s="38"/>
      <c r="N42" s="4" t="s">
        <v>91</v>
      </c>
      <c r="O42" s="7">
        <v>32</v>
      </c>
      <c r="P42" s="8">
        <v>33</v>
      </c>
      <c r="Q42" s="7">
        <v>31</v>
      </c>
      <c r="R42" s="8">
        <v>32</v>
      </c>
      <c r="S42" s="7">
        <v>33</v>
      </c>
      <c r="T42" s="8">
        <v>32</v>
      </c>
      <c r="U42" s="7">
        <v>34</v>
      </c>
      <c r="V42" s="8">
        <v>35</v>
      </c>
      <c r="W42" s="7">
        <v>35</v>
      </c>
      <c r="X42" s="8">
        <v>34</v>
      </c>
      <c r="Y42" s="7">
        <v>34</v>
      </c>
      <c r="Z42" s="8">
        <v>29</v>
      </c>
    </row>
    <row r="43" spans="1:26">
      <c r="A43" s="35" t="s">
        <v>341</v>
      </c>
      <c r="B43" s="35" t="s">
        <v>342</v>
      </c>
      <c r="C43" s="35" t="s">
        <v>343</v>
      </c>
      <c r="D43" s="35">
        <v>448006</v>
      </c>
      <c r="E43" s="36">
        <v>1088334</v>
      </c>
      <c r="F43" s="37">
        <f t="shared" si="0"/>
        <v>2.4292844292263944</v>
      </c>
      <c r="G43" s="37"/>
      <c r="H43" s="37"/>
      <c r="I43" s="38">
        <f t="shared" si="1"/>
        <v>0</v>
      </c>
      <c r="J43" s="38">
        <f t="shared" si="2"/>
        <v>0</v>
      </c>
      <c r="K43" s="38"/>
      <c r="L43" s="38"/>
      <c r="N43" s="3" t="s">
        <v>92</v>
      </c>
      <c r="O43" s="8">
        <v>44394</v>
      </c>
      <c r="P43" s="7">
        <v>23120</v>
      </c>
      <c r="Q43" s="8">
        <v>12282</v>
      </c>
      <c r="R43" s="7">
        <v>6176</v>
      </c>
      <c r="S43" s="8">
        <v>3060</v>
      </c>
      <c r="T43" s="7">
        <v>1584</v>
      </c>
      <c r="U43" s="8">
        <v>856</v>
      </c>
      <c r="V43" s="7">
        <v>497</v>
      </c>
      <c r="W43" s="8">
        <v>283</v>
      </c>
      <c r="X43" s="7">
        <v>164</v>
      </c>
      <c r="Y43" s="8">
        <v>103</v>
      </c>
      <c r="Z43" s="7">
        <v>66</v>
      </c>
    </row>
    <row r="44" spans="1:26">
      <c r="A44" s="35" t="s">
        <v>344</v>
      </c>
      <c r="B44" s="35" t="s">
        <v>345</v>
      </c>
      <c r="C44" s="35" t="s">
        <v>346</v>
      </c>
      <c r="D44" s="35">
        <v>821588</v>
      </c>
      <c r="E44" s="36">
        <v>1876538</v>
      </c>
      <c r="F44" s="37">
        <f t="shared" si="0"/>
        <v>2.2840377415444237</v>
      </c>
      <c r="G44" s="37"/>
      <c r="H44" s="37"/>
      <c r="I44" s="38">
        <f t="shared" si="1"/>
        <v>0</v>
      </c>
      <c r="J44" s="38">
        <f t="shared" si="2"/>
        <v>0</v>
      </c>
      <c r="K44" s="38"/>
      <c r="L44" s="38"/>
    </row>
    <row r="45" spans="1:26">
      <c r="A45" s="35" t="s">
        <v>347</v>
      </c>
      <c r="B45" s="35" t="s">
        <v>348</v>
      </c>
      <c r="C45" s="35" t="s">
        <v>349</v>
      </c>
      <c r="D45" s="35">
        <v>2871130</v>
      </c>
      <c r="E45" s="36">
        <v>5967322</v>
      </c>
      <c r="F45" s="37">
        <f t="shared" si="0"/>
        <v>2.0783879517820512</v>
      </c>
      <c r="G45" s="37"/>
      <c r="H45" s="37"/>
      <c r="I45" s="38">
        <f t="shared" si="1"/>
        <v>0</v>
      </c>
      <c r="J45" s="38">
        <f t="shared" si="2"/>
        <v>0</v>
      </c>
      <c r="K45" s="38"/>
      <c r="L45" s="38"/>
      <c r="N45" s="3" t="s">
        <v>350</v>
      </c>
      <c r="O45" s="4">
        <v>1</v>
      </c>
      <c r="P45" s="3">
        <v>2</v>
      </c>
      <c r="Q45" s="4">
        <v>3</v>
      </c>
      <c r="R45" s="3">
        <v>4</v>
      </c>
      <c r="S45" s="4">
        <v>5</v>
      </c>
      <c r="T45" s="3">
        <v>6</v>
      </c>
      <c r="U45" s="4">
        <v>7</v>
      </c>
      <c r="V45" s="3">
        <v>8</v>
      </c>
      <c r="W45" s="4">
        <v>9</v>
      </c>
      <c r="X45" s="3">
        <v>10</v>
      </c>
      <c r="Y45" s="4">
        <v>11</v>
      </c>
      <c r="Z45" s="3">
        <v>12</v>
      </c>
    </row>
    <row r="46" spans="1:26">
      <c r="A46" s="35" t="s">
        <v>351</v>
      </c>
      <c r="B46" s="35" t="s">
        <v>352</v>
      </c>
      <c r="C46" s="35" t="s">
        <v>353</v>
      </c>
      <c r="D46" s="35">
        <v>1235627</v>
      </c>
      <c r="E46" s="36">
        <v>2823588</v>
      </c>
      <c r="F46" s="37">
        <f t="shared" si="0"/>
        <v>2.2851459218680072</v>
      </c>
      <c r="G46" s="37"/>
      <c r="H46" s="37"/>
      <c r="I46" s="38">
        <f t="shared" si="1"/>
        <v>0</v>
      </c>
      <c r="J46" s="38">
        <f t="shared" si="2"/>
        <v>0</v>
      </c>
      <c r="K46" s="38"/>
      <c r="L46" s="38"/>
      <c r="N46" s="4" t="s">
        <v>4</v>
      </c>
      <c r="O46" s="7">
        <f t="shared" ref="O46:Z46" si="3">(O36+O26)/2</f>
        <v>6292</v>
      </c>
      <c r="P46" s="8">
        <f t="shared" si="3"/>
        <v>6838.5</v>
      </c>
      <c r="Q46" s="7">
        <f t="shared" si="3"/>
        <v>11558.5</v>
      </c>
      <c r="R46" s="8">
        <f t="shared" si="3"/>
        <v>10534</v>
      </c>
      <c r="S46" s="7">
        <f t="shared" si="3"/>
        <v>4880.5</v>
      </c>
      <c r="T46" s="8">
        <f t="shared" si="3"/>
        <v>4090</v>
      </c>
      <c r="U46" s="7">
        <f t="shared" si="3"/>
        <v>11259.5</v>
      </c>
      <c r="V46" s="8">
        <f t="shared" si="3"/>
        <v>9528</v>
      </c>
      <c r="W46" s="7">
        <f t="shared" si="3"/>
        <v>3874.5</v>
      </c>
      <c r="X46" s="8">
        <f t="shared" si="3"/>
        <v>5204</v>
      </c>
      <c r="Y46" s="7">
        <f t="shared" si="3"/>
        <v>11849.5</v>
      </c>
      <c r="Z46" s="8">
        <f t="shared" si="3"/>
        <v>11106.5</v>
      </c>
    </row>
    <row r="47" spans="1:26">
      <c r="A47" s="35" t="s">
        <v>354</v>
      </c>
      <c r="B47" s="35" t="s">
        <v>355</v>
      </c>
      <c r="C47" s="35" t="s">
        <v>356</v>
      </c>
      <c r="D47" s="35">
        <v>438575</v>
      </c>
      <c r="E47" s="36">
        <v>1129409</v>
      </c>
      <c r="F47" s="37">
        <f t="shared" si="0"/>
        <v>2.5751787037564839</v>
      </c>
      <c r="G47" s="37"/>
      <c r="H47" s="37"/>
      <c r="I47" s="38">
        <f t="shared" si="1"/>
        <v>0</v>
      </c>
      <c r="J47" s="38">
        <f t="shared" si="2"/>
        <v>0</v>
      </c>
      <c r="K47" s="38"/>
      <c r="L47" s="38"/>
      <c r="N47" s="3" t="s">
        <v>18</v>
      </c>
      <c r="O47" s="8">
        <f t="shared" ref="O47:Z47" si="4">(O37+O27)/2</f>
        <v>7124</v>
      </c>
      <c r="P47" s="7">
        <f t="shared" si="4"/>
        <v>4068</v>
      </c>
      <c r="Q47" s="8">
        <f t="shared" si="4"/>
        <v>12207</v>
      </c>
      <c r="R47" s="7">
        <f t="shared" si="4"/>
        <v>11364</v>
      </c>
      <c r="S47" s="8">
        <f t="shared" si="4"/>
        <v>4499.5</v>
      </c>
      <c r="T47" s="7">
        <f t="shared" si="4"/>
        <v>4543</v>
      </c>
      <c r="U47" s="8">
        <f t="shared" si="4"/>
        <v>12103.5</v>
      </c>
      <c r="V47" s="7">
        <f t="shared" si="4"/>
        <v>11985.5</v>
      </c>
      <c r="W47" s="8">
        <f t="shared" si="4"/>
        <v>3147.5</v>
      </c>
      <c r="X47" s="7">
        <f t="shared" si="4"/>
        <v>4389</v>
      </c>
      <c r="Y47" s="8">
        <f t="shared" si="4"/>
        <v>12076</v>
      </c>
      <c r="Z47" s="7">
        <f t="shared" si="4"/>
        <v>12109</v>
      </c>
    </row>
    <row r="48" spans="1:26" ht="16">
      <c r="A48" s="35" t="s">
        <v>357</v>
      </c>
      <c r="B48" s="35" t="s">
        <v>358</v>
      </c>
      <c r="C48" s="35" t="s">
        <v>359</v>
      </c>
      <c r="D48" s="35">
        <v>644837</v>
      </c>
      <c r="E48" s="36">
        <v>1363723</v>
      </c>
      <c r="F48" s="37">
        <f t="shared" si="0"/>
        <v>2.114833671144801</v>
      </c>
      <c r="G48" s="37"/>
      <c r="H48" s="37"/>
      <c r="I48" s="38">
        <f t="shared" si="1"/>
        <v>0</v>
      </c>
      <c r="J48" s="38">
        <f t="shared" si="2"/>
        <v>0</v>
      </c>
      <c r="K48" s="38"/>
      <c r="L48" s="38"/>
      <c r="N48" s="4" t="s">
        <v>38</v>
      </c>
      <c r="O48" s="7">
        <f t="shared" ref="O48:Z48" si="5">(O38+O28)/2</f>
        <v>3821.5</v>
      </c>
      <c r="P48" s="8">
        <f t="shared" si="5"/>
        <v>1145.5</v>
      </c>
      <c r="Q48" s="7">
        <f t="shared" si="5"/>
        <v>2132</v>
      </c>
      <c r="R48" s="8">
        <f t="shared" si="5"/>
        <v>12368.5</v>
      </c>
      <c r="S48" s="7">
        <f t="shared" si="5"/>
        <v>4063.5</v>
      </c>
      <c r="T48" s="8">
        <f t="shared" si="5"/>
        <v>3644</v>
      </c>
      <c r="U48" s="7">
        <f t="shared" si="5"/>
        <v>414.5</v>
      </c>
      <c r="V48" s="8">
        <f t="shared" si="5"/>
        <v>1980</v>
      </c>
      <c r="W48" s="7">
        <f t="shared" si="5"/>
        <v>3543</v>
      </c>
      <c r="X48" s="8">
        <f t="shared" si="5"/>
        <v>247.5</v>
      </c>
      <c r="Y48" s="7">
        <f t="shared" si="5"/>
        <v>2984</v>
      </c>
      <c r="Z48" s="8">
        <f t="shared" si="5"/>
        <v>4422.5</v>
      </c>
    </row>
    <row r="49" spans="1:29" ht="16">
      <c r="A49" s="35" t="s">
        <v>360</v>
      </c>
      <c r="B49" s="35" t="s">
        <v>361</v>
      </c>
      <c r="C49" s="35" t="s">
        <v>362</v>
      </c>
      <c r="D49" s="35">
        <v>3228483</v>
      </c>
      <c r="E49" s="36">
        <v>6390968</v>
      </c>
      <c r="F49" s="37">
        <f t="shared" si="0"/>
        <v>1.9795575816877462</v>
      </c>
      <c r="G49" s="37"/>
      <c r="H49" s="37"/>
      <c r="I49" s="38">
        <f t="shared" si="1"/>
        <v>0</v>
      </c>
      <c r="J49" s="38">
        <f t="shared" si="2"/>
        <v>0</v>
      </c>
      <c r="K49" s="35"/>
      <c r="L49" s="38"/>
      <c r="N49" s="3" t="s">
        <v>59</v>
      </c>
      <c r="O49" s="8">
        <f t="shared" ref="O49:Z49" si="6">(O39+O29)/2</f>
        <v>6138</v>
      </c>
      <c r="P49" s="7">
        <f t="shared" si="6"/>
        <v>4124</v>
      </c>
      <c r="Q49" s="8">
        <f t="shared" si="6"/>
        <v>4016.5</v>
      </c>
      <c r="R49" s="7">
        <f t="shared" si="6"/>
        <v>3653.5</v>
      </c>
      <c r="S49" s="8">
        <f t="shared" si="6"/>
        <v>4122</v>
      </c>
      <c r="T49" s="7">
        <f t="shared" si="6"/>
        <v>4580</v>
      </c>
      <c r="U49" s="8">
        <f t="shared" si="6"/>
        <v>3629</v>
      </c>
      <c r="V49" s="7">
        <f t="shared" si="6"/>
        <v>4877</v>
      </c>
      <c r="W49" s="8">
        <f t="shared" si="6"/>
        <v>3774</v>
      </c>
      <c r="X49" s="7">
        <f t="shared" si="6"/>
        <v>5094</v>
      </c>
      <c r="Y49" s="8">
        <f t="shared" si="6"/>
        <v>3757.5</v>
      </c>
      <c r="Z49" s="7">
        <f t="shared" si="6"/>
        <v>5192.5</v>
      </c>
    </row>
    <row r="50" spans="1:29" ht="16">
      <c r="A50" s="35" t="s">
        <v>363</v>
      </c>
      <c r="B50" s="35" t="s">
        <v>364</v>
      </c>
      <c r="C50" s="35" t="s">
        <v>365</v>
      </c>
      <c r="D50" s="35">
        <v>1250339</v>
      </c>
      <c r="E50" s="36">
        <v>2727983</v>
      </c>
      <c r="F50" s="37">
        <f t="shared" si="0"/>
        <v>2.1817946972780984</v>
      </c>
      <c r="G50" s="37"/>
      <c r="H50" s="37"/>
      <c r="I50" s="38">
        <f t="shared" si="1"/>
        <v>0</v>
      </c>
      <c r="J50" s="38">
        <f t="shared" si="2"/>
        <v>0</v>
      </c>
      <c r="K50" s="38"/>
      <c r="L50" s="38"/>
      <c r="N50" s="4" t="s">
        <v>73</v>
      </c>
      <c r="O50" s="7">
        <f t="shared" ref="O50:Z50" si="7">(O40+O30)/2</f>
        <v>3482</v>
      </c>
      <c r="P50" s="8">
        <f t="shared" si="7"/>
        <v>4353.5</v>
      </c>
      <c r="Q50" s="7">
        <f t="shared" si="7"/>
        <v>3626.5</v>
      </c>
      <c r="R50" s="8">
        <f t="shared" si="7"/>
        <v>5286</v>
      </c>
      <c r="S50" s="7">
        <f t="shared" si="7"/>
        <v>3568</v>
      </c>
      <c r="T50" s="8">
        <f t="shared" si="7"/>
        <v>3626.5</v>
      </c>
      <c r="U50" s="7">
        <f t="shared" si="7"/>
        <v>2910</v>
      </c>
      <c r="V50" s="8">
        <f t="shared" si="7"/>
        <v>4426.5</v>
      </c>
      <c r="W50" s="7">
        <f t="shared" si="7"/>
        <v>2653.5</v>
      </c>
      <c r="X50" s="8">
        <f t="shared" si="7"/>
        <v>5323</v>
      </c>
      <c r="Y50" s="7">
        <f t="shared" si="7"/>
        <v>1950.5</v>
      </c>
      <c r="Z50" s="8">
        <f t="shared" si="7"/>
        <v>3474.5</v>
      </c>
    </row>
    <row r="51" spans="1:29" ht="16">
      <c r="A51" s="35" t="s">
        <v>366</v>
      </c>
      <c r="B51" s="35" t="s">
        <v>367</v>
      </c>
      <c r="C51" s="35" t="s">
        <v>368</v>
      </c>
      <c r="D51" s="35">
        <v>465998</v>
      </c>
      <c r="E51" s="36">
        <v>1084079</v>
      </c>
      <c r="F51" s="37">
        <f t="shared" si="0"/>
        <v>2.3263597697844198</v>
      </c>
      <c r="G51" s="37"/>
      <c r="H51" s="37"/>
      <c r="I51" s="38">
        <f t="shared" si="1"/>
        <v>0</v>
      </c>
      <c r="J51" s="38">
        <f t="shared" si="2"/>
        <v>0</v>
      </c>
      <c r="K51" s="35"/>
      <c r="L51" s="38"/>
      <c r="N51" s="3" t="s">
        <v>86</v>
      </c>
      <c r="O51" s="8">
        <f t="shared" ref="O51:Z51" si="8">(O41+O31)/2</f>
        <v>5228.5</v>
      </c>
      <c r="P51" s="7">
        <f t="shared" si="8"/>
        <v>4305.5</v>
      </c>
      <c r="Q51" s="8">
        <f t="shared" si="8"/>
        <v>3493.5</v>
      </c>
      <c r="R51" s="7">
        <f t="shared" si="8"/>
        <v>4371.5</v>
      </c>
      <c r="S51" s="8">
        <f t="shared" si="8"/>
        <v>4773.5</v>
      </c>
      <c r="T51" s="8">
        <f t="shared" si="8"/>
        <v>4309</v>
      </c>
      <c r="U51" s="8">
        <f t="shared" si="8"/>
        <v>4850.5</v>
      </c>
      <c r="V51" s="8">
        <f t="shared" si="8"/>
        <v>4819</v>
      </c>
      <c r="W51" s="8">
        <f t="shared" si="8"/>
        <v>5984.5</v>
      </c>
      <c r="X51" s="8">
        <f t="shared" si="8"/>
        <v>5573</v>
      </c>
      <c r="Y51" s="8">
        <f t="shared" si="8"/>
        <v>7378.5</v>
      </c>
      <c r="Z51" s="8">
        <f t="shared" si="8"/>
        <v>6638</v>
      </c>
    </row>
    <row r="52" spans="1:29" ht="16">
      <c r="A52" s="35" t="s">
        <v>369</v>
      </c>
      <c r="B52" s="35" t="s">
        <v>370</v>
      </c>
      <c r="C52" s="35" t="s">
        <v>371</v>
      </c>
      <c r="D52" s="35">
        <v>660526</v>
      </c>
      <c r="E52" s="36">
        <v>1326486</v>
      </c>
      <c r="F52" s="37">
        <f t="shared" si="0"/>
        <v>2.0082267768414868</v>
      </c>
      <c r="G52" s="37"/>
      <c r="H52" s="37"/>
      <c r="I52" s="38">
        <f t="shared" si="1"/>
        <v>0</v>
      </c>
      <c r="J52" s="38">
        <f t="shared" si="2"/>
        <v>0</v>
      </c>
      <c r="K52" s="35"/>
      <c r="L52" s="38"/>
      <c r="N52" s="4" t="s">
        <v>91</v>
      </c>
      <c r="O52" s="7">
        <f t="shared" ref="O52:Z52" si="9">(O42+O32)/2</f>
        <v>35</v>
      </c>
      <c r="P52" s="8">
        <f t="shared" si="9"/>
        <v>35.5</v>
      </c>
      <c r="Q52" s="7">
        <f t="shared" si="9"/>
        <v>34.5</v>
      </c>
      <c r="R52" s="8">
        <f t="shared" si="9"/>
        <v>34.5</v>
      </c>
      <c r="S52" s="7">
        <f t="shared" si="9"/>
        <v>35.5</v>
      </c>
      <c r="T52" s="8">
        <f t="shared" si="9"/>
        <v>34.5</v>
      </c>
      <c r="U52" s="7">
        <f t="shared" si="9"/>
        <v>36</v>
      </c>
      <c r="V52" s="8">
        <f t="shared" si="9"/>
        <v>36.5</v>
      </c>
      <c r="W52" s="7">
        <f t="shared" si="9"/>
        <v>37</v>
      </c>
      <c r="X52" s="8">
        <f t="shared" si="9"/>
        <v>35.5</v>
      </c>
      <c r="Y52" s="7">
        <f t="shared" si="9"/>
        <v>36</v>
      </c>
      <c r="Z52" s="8">
        <f t="shared" si="9"/>
        <v>33</v>
      </c>
    </row>
    <row r="53" spans="1:29" ht="16">
      <c r="A53" s="35" t="s">
        <v>372</v>
      </c>
      <c r="B53" s="35" t="s">
        <v>373</v>
      </c>
      <c r="C53" s="35" t="s">
        <v>374</v>
      </c>
      <c r="D53" s="35">
        <v>3416297</v>
      </c>
      <c r="E53" s="36">
        <v>7075923</v>
      </c>
      <c r="F53" s="37">
        <f t="shared" si="0"/>
        <v>2.0712259502028072</v>
      </c>
      <c r="G53" s="37"/>
      <c r="H53" s="37"/>
      <c r="I53" s="38">
        <f t="shared" si="1"/>
        <v>0</v>
      </c>
      <c r="J53" s="38">
        <f t="shared" si="2"/>
        <v>0</v>
      </c>
      <c r="K53" s="38"/>
      <c r="L53" s="38"/>
      <c r="N53" s="3" t="s">
        <v>92</v>
      </c>
      <c r="O53" s="8">
        <f t="shared" ref="O53:Z53" si="10">(O43+O33)/2</f>
        <v>44306</v>
      </c>
      <c r="P53" s="7">
        <f t="shared" si="10"/>
        <v>22622.5</v>
      </c>
      <c r="Q53" s="8">
        <f t="shared" si="10"/>
        <v>11541</v>
      </c>
      <c r="R53" s="7">
        <f t="shared" si="10"/>
        <v>5640</v>
      </c>
      <c r="S53" s="8">
        <f t="shared" si="10"/>
        <v>2921.5</v>
      </c>
      <c r="T53" s="7">
        <f t="shared" si="10"/>
        <v>1498.5</v>
      </c>
      <c r="U53" s="8">
        <f t="shared" si="10"/>
        <v>811</v>
      </c>
      <c r="V53" s="7">
        <f t="shared" si="10"/>
        <v>482</v>
      </c>
      <c r="W53" s="8">
        <f t="shared" si="10"/>
        <v>278</v>
      </c>
      <c r="X53" s="7">
        <f t="shared" si="10"/>
        <v>160.5</v>
      </c>
      <c r="Y53" s="8">
        <f t="shared" si="10"/>
        <v>100.5</v>
      </c>
      <c r="Z53" s="7">
        <f t="shared" si="10"/>
        <v>67.5</v>
      </c>
    </row>
    <row r="54" spans="1:29" ht="16">
      <c r="A54" s="35" t="s">
        <v>375</v>
      </c>
      <c r="B54" s="35" t="s">
        <v>376</v>
      </c>
      <c r="C54" s="35" t="s">
        <v>377</v>
      </c>
      <c r="D54" s="35">
        <v>1076415</v>
      </c>
      <c r="E54" s="36">
        <v>2172513</v>
      </c>
      <c r="F54" s="37">
        <f t="shared" si="0"/>
        <v>2.0182856983598332</v>
      </c>
      <c r="G54" s="37"/>
      <c r="H54" s="37"/>
      <c r="I54" s="38">
        <f t="shared" si="1"/>
        <v>0</v>
      </c>
      <c r="J54" s="38">
        <f t="shared" si="2"/>
        <v>0</v>
      </c>
      <c r="K54" s="38"/>
      <c r="L54" s="38"/>
    </row>
    <row r="55" spans="1:29" ht="16">
      <c r="A55" s="35" t="s">
        <v>378</v>
      </c>
      <c r="B55" s="35" t="s">
        <v>379</v>
      </c>
      <c r="C55" s="35" t="s">
        <v>380</v>
      </c>
      <c r="D55" s="35">
        <v>449027</v>
      </c>
      <c r="E55" s="36">
        <v>1094203</v>
      </c>
      <c r="F55" s="37">
        <f t="shared" si="0"/>
        <v>2.4368311927790534</v>
      </c>
      <c r="G55" s="37"/>
      <c r="H55" s="37"/>
      <c r="I55" s="38">
        <f t="shared" si="1"/>
        <v>0</v>
      </c>
      <c r="J55" s="38">
        <f t="shared" si="2"/>
        <v>0</v>
      </c>
      <c r="K55" s="38"/>
      <c r="L55" s="38"/>
      <c r="N55" s="3" t="s">
        <v>381</v>
      </c>
      <c r="O55" s="4">
        <v>1</v>
      </c>
      <c r="P55" s="3">
        <v>2</v>
      </c>
      <c r="Q55" s="4">
        <v>3</v>
      </c>
      <c r="R55" s="3">
        <v>4</v>
      </c>
      <c r="S55" s="4">
        <v>5</v>
      </c>
      <c r="T55" s="3">
        <v>6</v>
      </c>
      <c r="U55" s="4">
        <v>7</v>
      </c>
      <c r="V55" s="3">
        <v>8</v>
      </c>
      <c r="W55" s="4">
        <v>9</v>
      </c>
      <c r="X55" s="3">
        <v>10</v>
      </c>
      <c r="Y55" s="4">
        <v>11</v>
      </c>
      <c r="Z55" s="3">
        <v>12</v>
      </c>
      <c r="AA55" s="1" t="s">
        <v>382</v>
      </c>
      <c r="AB55" s="1" t="s">
        <v>383</v>
      </c>
      <c r="AC55" s="1" t="s">
        <v>384</v>
      </c>
    </row>
    <row r="56" spans="1:29" ht="16">
      <c r="A56" s="35" t="s">
        <v>385</v>
      </c>
      <c r="B56" s="35" t="s">
        <v>386</v>
      </c>
      <c r="C56" s="35" t="s">
        <v>387</v>
      </c>
      <c r="D56" s="35">
        <v>541256</v>
      </c>
      <c r="E56" s="36">
        <v>1198274</v>
      </c>
      <c r="F56" s="37">
        <f t="shared" si="0"/>
        <v>2.2138766129151457</v>
      </c>
      <c r="G56" s="37"/>
      <c r="H56" s="37"/>
      <c r="I56" s="38">
        <f t="shared" si="1"/>
        <v>0</v>
      </c>
      <c r="J56" s="38">
        <f t="shared" si="2"/>
        <v>0</v>
      </c>
      <c r="K56" s="35"/>
      <c r="L56" s="38"/>
      <c r="N56" s="4" t="s">
        <v>4</v>
      </c>
      <c r="O56" s="41">
        <f t="shared" ref="O56:Z56" si="11">O46-AVERAGE($O$52:$Z$52)</f>
        <v>6256.708333333333</v>
      </c>
      <c r="P56" s="42">
        <f t="shared" si="11"/>
        <v>6803.208333333333</v>
      </c>
      <c r="Q56" s="41">
        <f t="shared" si="11"/>
        <v>11523.208333333334</v>
      </c>
      <c r="R56" s="42">
        <f t="shared" si="11"/>
        <v>10498.708333333334</v>
      </c>
      <c r="S56" s="41">
        <f t="shared" si="11"/>
        <v>4845.208333333333</v>
      </c>
      <c r="T56" s="42">
        <f t="shared" si="11"/>
        <v>4054.7083333333335</v>
      </c>
      <c r="U56" s="41">
        <f t="shared" si="11"/>
        <v>11224.208333333334</v>
      </c>
      <c r="V56" s="42">
        <f t="shared" si="11"/>
        <v>9492.7083333333339</v>
      </c>
      <c r="W56" s="41">
        <f t="shared" si="11"/>
        <v>3839.2083333333335</v>
      </c>
      <c r="X56" s="42">
        <f t="shared" si="11"/>
        <v>5168.708333333333</v>
      </c>
      <c r="Y56" s="41">
        <f t="shared" si="11"/>
        <v>11814.208333333334</v>
      </c>
      <c r="Z56" s="42">
        <f t="shared" si="11"/>
        <v>11071.208333333334</v>
      </c>
      <c r="AA56" s="1">
        <v>1</v>
      </c>
      <c r="AB56" s="43">
        <f>O63</f>
        <v>44270.708333333336</v>
      </c>
      <c r="AC56" s="44">
        <f t="shared" ref="AC56:AC68" si="12">AB56/44538</f>
        <v>0.99399857050907847</v>
      </c>
    </row>
    <row r="57" spans="1:29" ht="16">
      <c r="A57" s="35" t="s">
        <v>388</v>
      </c>
      <c r="B57" s="35" t="s">
        <v>389</v>
      </c>
      <c r="C57" s="35" t="s">
        <v>390</v>
      </c>
      <c r="D57" s="35">
        <v>3885361</v>
      </c>
      <c r="E57" s="36">
        <v>7920862</v>
      </c>
      <c r="F57" s="37">
        <f t="shared" si="0"/>
        <v>2.0386424839287778</v>
      </c>
      <c r="G57" s="37"/>
      <c r="H57" s="37"/>
      <c r="I57" s="38">
        <f t="shared" si="1"/>
        <v>0</v>
      </c>
      <c r="J57" s="38">
        <f t="shared" si="2"/>
        <v>0</v>
      </c>
      <c r="K57" s="35"/>
      <c r="L57" s="38"/>
      <c r="N57" s="3" t="s">
        <v>18</v>
      </c>
      <c r="O57" s="42">
        <f t="shared" ref="O57:Z57" si="13">O47-AVERAGE($O$52:$Z$52)</f>
        <v>7088.708333333333</v>
      </c>
      <c r="P57" s="41">
        <f t="shared" si="13"/>
        <v>4032.7083333333335</v>
      </c>
      <c r="Q57" s="42">
        <f t="shared" si="13"/>
        <v>12171.708333333334</v>
      </c>
      <c r="R57" s="41">
        <f t="shared" si="13"/>
        <v>11328.708333333334</v>
      </c>
      <c r="S57" s="42">
        <f t="shared" si="13"/>
        <v>4464.208333333333</v>
      </c>
      <c r="T57" s="41">
        <f t="shared" si="13"/>
        <v>4507.708333333333</v>
      </c>
      <c r="U57" s="42">
        <f t="shared" si="13"/>
        <v>12068.208333333334</v>
      </c>
      <c r="V57" s="41">
        <f t="shared" si="13"/>
        <v>11950.208333333334</v>
      </c>
      <c r="W57" s="42">
        <f t="shared" si="13"/>
        <v>3112.2083333333335</v>
      </c>
      <c r="X57" s="41">
        <f t="shared" si="13"/>
        <v>4353.708333333333</v>
      </c>
      <c r="Y57" s="42">
        <f t="shared" si="13"/>
        <v>12040.708333333334</v>
      </c>
      <c r="Z57" s="41">
        <f t="shared" si="13"/>
        <v>12073.708333333334</v>
      </c>
      <c r="AA57" s="44">
        <f t="shared" ref="AA57:AA67" si="14">AA56/2</f>
        <v>0.5</v>
      </c>
      <c r="AB57" s="43">
        <f>P63</f>
        <v>22587.208333333332</v>
      </c>
      <c r="AC57" s="44">
        <f t="shared" si="12"/>
        <v>0.5071446480159264</v>
      </c>
    </row>
    <row r="58" spans="1:29" ht="16">
      <c r="A58" s="35" t="s">
        <v>391</v>
      </c>
      <c r="B58" s="35" t="s">
        <v>392</v>
      </c>
      <c r="C58" s="35" t="s">
        <v>393</v>
      </c>
      <c r="D58" s="35">
        <v>905211</v>
      </c>
      <c r="E58" s="36">
        <v>1786949</v>
      </c>
      <c r="F58" s="37">
        <f t="shared" si="0"/>
        <v>1.9740690292097645</v>
      </c>
      <c r="G58" s="37"/>
      <c r="H58" s="37"/>
      <c r="I58" s="38">
        <f t="shared" si="1"/>
        <v>0</v>
      </c>
      <c r="J58" s="38">
        <f t="shared" si="2"/>
        <v>0</v>
      </c>
      <c r="K58" s="35"/>
      <c r="L58" s="38"/>
      <c r="N58" s="4" t="s">
        <v>38</v>
      </c>
      <c r="O58" s="41">
        <f t="shared" ref="O58:Z58" si="15">O48-AVERAGE($O$52:$Z$52)</f>
        <v>3786.2083333333335</v>
      </c>
      <c r="P58" s="42">
        <f t="shared" si="15"/>
        <v>1110.2083333333333</v>
      </c>
      <c r="Q58" s="41">
        <f t="shared" si="15"/>
        <v>2096.7083333333335</v>
      </c>
      <c r="R58" s="42">
        <f t="shared" si="15"/>
        <v>12333.208333333334</v>
      </c>
      <c r="S58" s="41">
        <f t="shared" si="15"/>
        <v>4028.2083333333335</v>
      </c>
      <c r="T58" s="42">
        <f t="shared" si="15"/>
        <v>3608.7083333333335</v>
      </c>
      <c r="U58" s="41">
        <f t="shared" si="15"/>
        <v>379.20833333333331</v>
      </c>
      <c r="V58" s="42">
        <f t="shared" si="15"/>
        <v>1944.7083333333333</v>
      </c>
      <c r="W58" s="41">
        <f t="shared" si="15"/>
        <v>3507.7083333333335</v>
      </c>
      <c r="X58" s="42">
        <f t="shared" si="15"/>
        <v>212.20833333333334</v>
      </c>
      <c r="Y58" s="41">
        <f t="shared" si="15"/>
        <v>2948.7083333333335</v>
      </c>
      <c r="Z58" s="42">
        <f t="shared" si="15"/>
        <v>4387.208333333333</v>
      </c>
      <c r="AA58" s="44">
        <f t="shared" si="14"/>
        <v>0.25</v>
      </c>
      <c r="AB58" s="43">
        <f>Q63</f>
        <v>11505.708333333334</v>
      </c>
      <c r="AC58" s="44">
        <f t="shared" si="12"/>
        <v>0.25833464307632437</v>
      </c>
    </row>
    <row r="59" spans="1:29" ht="16">
      <c r="A59" s="35" t="s">
        <v>394</v>
      </c>
      <c r="B59" s="35" t="s">
        <v>395</v>
      </c>
      <c r="C59" s="35" t="s">
        <v>396</v>
      </c>
      <c r="D59" s="35">
        <v>442286</v>
      </c>
      <c r="E59" s="36">
        <v>989093</v>
      </c>
      <c r="F59" s="37">
        <f t="shared" si="0"/>
        <v>2.236319937777818</v>
      </c>
      <c r="G59" s="37"/>
      <c r="H59" s="37"/>
      <c r="I59" s="38">
        <f t="shared" si="1"/>
        <v>0</v>
      </c>
      <c r="J59" s="38">
        <f t="shared" si="2"/>
        <v>0</v>
      </c>
      <c r="K59" s="38"/>
      <c r="L59" s="38"/>
      <c r="N59" s="3" t="s">
        <v>59</v>
      </c>
      <c r="O59" s="42">
        <f t="shared" ref="O59:Z59" si="16">O49-AVERAGE($O$52:$Z$52)</f>
        <v>6102.708333333333</v>
      </c>
      <c r="P59" s="41">
        <f t="shared" si="16"/>
        <v>4088.7083333333335</v>
      </c>
      <c r="Q59" s="42">
        <f t="shared" si="16"/>
        <v>3981.2083333333335</v>
      </c>
      <c r="R59" s="41">
        <f t="shared" si="16"/>
        <v>3618.2083333333335</v>
      </c>
      <c r="S59" s="42">
        <f t="shared" si="16"/>
        <v>4086.7083333333335</v>
      </c>
      <c r="T59" s="41">
        <f t="shared" si="16"/>
        <v>4544.708333333333</v>
      </c>
      <c r="U59" s="42">
        <f t="shared" si="16"/>
        <v>3593.7083333333335</v>
      </c>
      <c r="V59" s="41">
        <f t="shared" si="16"/>
        <v>4841.708333333333</v>
      </c>
      <c r="W59" s="42">
        <f t="shared" si="16"/>
        <v>3738.7083333333335</v>
      </c>
      <c r="X59" s="41">
        <f t="shared" si="16"/>
        <v>5058.708333333333</v>
      </c>
      <c r="Y59" s="42">
        <f t="shared" si="16"/>
        <v>3722.2083333333335</v>
      </c>
      <c r="Z59" s="41">
        <f t="shared" si="16"/>
        <v>5157.208333333333</v>
      </c>
      <c r="AA59" s="44">
        <f t="shared" si="14"/>
        <v>0.125</v>
      </c>
      <c r="AB59" s="43">
        <f>R63</f>
        <v>5604.708333333333</v>
      </c>
      <c r="AC59" s="44">
        <f t="shared" si="12"/>
        <v>0.1258410421063661</v>
      </c>
    </row>
    <row r="60" spans="1:29" ht="16">
      <c r="A60" s="35" t="s">
        <v>397</v>
      </c>
      <c r="B60" s="35" t="s">
        <v>398</v>
      </c>
      <c r="C60" s="35" t="s">
        <v>399</v>
      </c>
      <c r="D60" s="35">
        <v>484886</v>
      </c>
      <c r="E60" s="36">
        <v>993996</v>
      </c>
      <c r="F60" s="37">
        <f t="shared" si="0"/>
        <v>2.0499581344893438</v>
      </c>
      <c r="G60" s="37"/>
      <c r="H60" s="37"/>
      <c r="I60" s="38">
        <f t="shared" si="1"/>
        <v>0</v>
      </c>
      <c r="J60" s="38">
        <f t="shared" si="2"/>
        <v>0</v>
      </c>
      <c r="K60" s="35"/>
      <c r="L60" s="38"/>
      <c r="N60" s="4" t="s">
        <v>73</v>
      </c>
      <c r="O60" s="41">
        <f t="shared" ref="O60:Z60" si="17">O50-AVERAGE($O$52:$Z$52)</f>
        <v>3446.7083333333335</v>
      </c>
      <c r="P60" s="42">
        <f t="shared" si="17"/>
        <v>4318.208333333333</v>
      </c>
      <c r="Q60" s="41">
        <f t="shared" si="17"/>
        <v>3591.2083333333335</v>
      </c>
      <c r="R60" s="42">
        <f t="shared" si="17"/>
        <v>5250.708333333333</v>
      </c>
      <c r="S60" s="41">
        <f t="shared" si="17"/>
        <v>3532.7083333333335</v>
      </c>
      <c r="T60" s="42">
        <f t="shared" si="17"/>
        <v>3591.2083333333335</v>
      </c>
      <c r="U60" s="41">
        <f t="shared" si="17"/>
        <v>2874.7083333333335</v>
      </c>
      <c r="V60" s="42">
        <f t="shared" si="17"/>
        <v>4391.208333333333</v>
      </c>
      <c r="W60" s="41">
        <f t="shared" si="17"/>
        <v>2618.2083333333335</v>
      </c>
      <c r="X60" s="42">
        <f t="shared" si="17"/>
        <v>5287.708333333333</v>
      </c>
      <c r="Y60" s="41">
        <f t="shared" si="17"/>
        <v>1915.2083333333333</v>
      </c>
      <c r="Z60" s="42">
        <f t="shared" si="17"/>
        <v>3439.2083333333335</v>
      </c>
      <c r="AA60" s="44">
        <f t="shared" si="14"/>
        <v>6.25E-2</v>
      </c>
      <c r="AB60" s="43">
        <f>S63</f>
        <v>2886.2083333333335</v>
      </c>
      <c r="AC60" s="44">
        <f t="shared" si="12"/>
        <v>6.4803276602751217E-2</v>
      </c>
    </row>
    <row r="61" spans="1:29" ht="16">
      <c r="A61" s="35" t="s">
        <v>400</v>
      </c>
      <c r="B61" s="35" t="s">
        <v>401</v>
      </c>
      <c r="C61" s="35" t="s">
        <v>402</v>
      </c>
      <c r="D61" s="35">
        <v>3570204</v>
      </c>
      <c r="E61" s="36">
        <v>8048971</v>
      </c>
      <c r="F61" s="37">
        <f t="shared" si="0"/>
        <v>2.2544848977817513</v>
      </c>
      <c r="G61" s="37"/>
      <c r="H61" s="37"/>
      <c r="I61" s="38">
        <f t="shared" si="1"/>
        <v>0</v>
      </c>
      <c r="J61" s="38">
        <f t="shared" si="2"/>
        <v>0</v>
      </c>
      <c r="K61" s="35"/>
      <c r="L61" s="38"/>
      <c r="N61" s="3" t="s">
        <v>86</v>
      </c>
      <c r="O61" s="42">
        <f t="shared" ref="O61:Z61" si="18">O51-AVERAGE($O$52:$Z$52)</f>
        <v>5193.208333333333</v>
      </c>
      <c r="P61" s="41">
        <f t="shared" si="18"/>
        <v>4270.208333333333</v>
      </c>
      <c r="Q61" s="42">
        <f t="shared" si="18"/>
        <v>3458.2083333333335</v>
      </c>
      <c r="R61" s="41">
        <f t="shared" si="18"/>
        <v>4336.208333333333</v>
      </c>
      <c r="S61" s="42">
        <f t="shared" si="18"/>
        <v>4738.208333333333</v>
      </c>
      <c r="T61" s="41">
        <f t="shared" si="18"/>
        <v>4273.708333333333</v>
      </c>
      <c r="U61" s="42">
        <f t="shared" si="18"/>
        <v>4815.208333333333</v>
      </c>
      <c r="V61" s="41">
        <f t="shared" si="18"/>
        <v>4783.708333333333</v>
      </c>
      <c r="W61" s="42">
        <f t="shared" si="18"/>
        <v>5949.208333333333</v>
      </c>
      <c r="X61" s="41">
        <f t="shared" si="18"/>
        <v>5537.708333333333</v>
      </c>
      <c r="Y61" s="42">
        <f t="shared" si="18"/>
        <v>7343.208333333333</v>
      </c>
      <c r="Z61" s="41">
        <f t="shared" si="18"/>
        <v>6602.708333333333</v>
      </c>
      <c r="AA61" s="44">
        <f t="shared" si="14"/>
        <v>3.125E-2</v>
      </c>
      <c r="AB61" s="43">
        <f>T63</f>
        <v>1463.2083333333333</v>
      </c>
      <c r="AC61" s="44">
        <f t="shared" si="12"/>
        <v>3.2853031867918034E-2</v>
      </c>
    </row>
    <row r="62" spans="1:29" ht="16">
      <c r="A62" s="35" t="s">
        <v>403</v>
      </c>
      <c r="B62" s="35" t="s">
        <v>404</v>
      </c>
      <c r="C62" s="35" t="s">
        <v>405</v>
      </c>
      <c r="D62" s="35">
        <v>801736</v>
      </c>
      <c r="E62" s="36">
        <v>1535867</v>
      </c>
      <c r="F62" s="37">
        <f t="shared" si="0"/>
        <v>1.9156767314926608</v>
      </c>
      <c r="G62" s="37"/>
      <c r="H62" s="37"/>
      <c r="I62" s="38">
        <f t="shared" si="1"/>
        <v>0</v>
      </c>
      <c r="J62" s="38">
        <f t="shared" si="2"/>
        <v>0</v>
      </c>
      <c r="K62" s="35"/>
      <c r="L62" s="38"/>
      <c r="N62" s="4" t="s">
        <v>91</v>
      </c>
      <c r="O62" s="41">
        <f t="shared" ref="O62:Z62" si="19">O52-AVERAGE($O$52:$Z$52)</f>
        <v>-0.2916666666666643</v>
      </c>
      <c r="P62" s="42">
        <f t="shared" si="19"/>
        <v>0.2083333333333357</v>
      </c>
      <c r="Q62" s="41">
        <f t="shared" si="19"/>
        <v>-0.7916666666666643</v>
      </c>
      <c r="R62" s="42">
        <f t="shared" si="19"/>
        <v>-0.7916666666666643</v>
      </c>
      <c r="S62" s="41">
        <f t="shared" si="19"/>
        <v>0.2083333333333357</v>
      </c>
      <c r="T62" s="42">
        <f t="shared" si="19"/>
        <v>-0.7916666666666643</v>
      </c>
      <c r="U62" s="41">
        <f t="shared" si="19"/>
        <v>0.7083333333333357</v>
      </c>
      <c r="V62" s="42">
        <f t="shared" si="19"/>
        <v>1.2083333333333357</v>
      </c>
      <c r="W62" s="41">
        <f t="shared" si="19"/>
        <v>1.7083333333333357</v>
      </c>
      <c r="X62" s="42">
        <f t="shared" si="19"/>
        <v>0.2083333333333357</v>
      </c>
      <c r="Y62" s="41">
        <f t="shared" si="19"/>
        <v>0.7083333333333357</v>
      </c>
      <c r="Z62" s="42">
        <f t="shared" si="19"/>
        <v>-2.2916666666666643</v>
      </c>
      <c r="AA62" s="44">
        <f t="shared" si="14"/>
        <v>1.5625E-2</v>
      </c>
      <c r="AB62" s="43">
        <f>U63</f>
        <v>775.70833333333337</v>
      </c>
      <c r="AC62" s="44">
        <f t="shared" si="12"/>
        <v>1.7416775188228779E-2</v>
      </c>
    </row>
    <row r="63" spans="1:29" ht="16">
      <c r="A63" s="35" t="s">
        <v>406</v>
      </c>
      <c r="B63" s="35" t="s">
        <v>407</v>
      </c>
      <c r="C63" s="35" t="s">
        <v>408</v>
      </c>
      <c r="D63" s="35">
        <v>529238</v>
      </c>
      <c r="E63" s="36">
        <v>1435357</v>
      </c>
      <c r="F63" s="37">
        <f t="shared" si="0"/>
        <v>2.7121200669642014</v>
      </c>
      <c r="G63" s="37"/>
      <c r="H63" s="37"/>
      <c r="I63" s="38">
        <f t="shared" si="1"/>
        <v>0</v>
      </c>
      <c r="J63" s="38">
        <f t="shared" si="2"/>
        <v>0</v>
      </c>
      <c r="K63" s="38"/>
      <c r="L63" s="38"/>
      <c r="N63" s="3" t="s">
        <v>92</v>
      </c>
      <c r="O63" s="42">
        <f t="shared" ref="O63:Z63" si="20">O53-AVERAGE($O$52:$Z$52)</f>
        <v>44270.708333333336</v>
      </c>
      <c r="P63" s="41">
        <f t="shared" si="20"/>
        <v>22587.208333333332</v>
      </c>
      <c r="Q63" s="42">
        <f t="shared" si="20"/>
        <v>11505.708333333334</v>
      </c>
      <c r="R63" s="41">
        <f t="shared" si="20"/>
        <v>5604.708333333333</v>
      </c>
      <c r="S63" s="42">
        <f t="shared" si="20"/>
        <v>2886.2083333333335</v>
      </c>
      <c r="T63" s="41">
        <f t="shared" si="20"/>
        <v>1463.2083333333333</v>
      </c>
      <c r="U63" s="42">
        <f t="shared" si="20"/>
        <v>775.70833333333337</v>
      </c>
      <c r="V63" s="41">
        <f t="shared" si="20"/>
        <v>446.70833333333331</v>
      </c>
      <c r="W63" s="42">
        <f t="shared" si="20"/>
        <v>242.70833333333334</v>
      </c>
      <c r="X63" s="41">
        <f t="shared" si="20"/>
        <v>125.20833333333334</v>
      </c>
      <c r="Y63" s="42">
        <f t="shared" si="20"/>
        <v>65.208333333333343</v>
      </c>
      <c r="Z63" s="41">
        <f t="shared" si="20"/>
        <v>32.208333333333336</v>
      </c>
      <c r="AA63" s="44">
        <f t="shared" si="14"/>
        <v>7.8125E-3</v>
      </c>
      <c r="AB63" s="43">
        <f>V63</f>
        <v>446.70833333333331</v>
      </c>
      <c r="AC63" s="44">
        <f t="shared" si="12"/>
        <v>1.0029824718966575E-2</v>
      </c>
    </row>
    <row r="64" spans="1:29" ht="16">
      <c r="A64" s="35" t="s">
        <v>409</v>
      </c>
      <c r="B64" s="35" t="s">
        <v>410</v>
      </c>
      <c r="C64" s="35" t="s">
        <v>411</v>
      </c>
      <c r="D64" s="35">
        <v>519153</v>
      </c>
      <c r="E64" s="36">
        <v>1346142</v>
      </c>
      <c r="F64" s="37">
        <f t="shared" si="0"/>
        <v>2.5929581452866497</v>
      </c>
      <c r="G64" s="37"/>
      <c r="H64" s="37"/>
      <c r="I64" s="38">
        <f t="shared" si="1"/>
        <v>0</v>
      </c>
      <c r="J64" s="38">
        <f t="shared" si="2"/>
        <v>0</v>
      </c>
      <c r="K64" s="38"/>
      <c r="L64" s="38"/>
      <c r="AA64" s="44">
        <f t="shared" si="14"/>
        <v>3.90625E-3</v>
      </c>
      <c r="AB64" s="43">
        <f>W63</f>
        <v>242.70833333333334</v>
      </c>
      <c r="AC64" s="44">
        <f t="shared" si="12"/>
        <v>5.4494663732842369E-3</v>
      </c>
    </row>
    <row r="65" spans="1:29" ht="16">
      <c r="A65" s="35" t="s">
        <v>412</v>
      </c>
      <c r="B65" s="35" t="s">
        <v>413</v>
      </c>
      <c r="C65" s="35" t="s">
        <v>414</v>
      </c>
      <c r="D65" s="35">
        <v>3658122</v>
      </c>
      <c r="E65" s="36">
        <v>8911479</v>
      </c>
      <c r="F65" s="37">
        <f t="shared" si="0"/>
        <v>2.4360803166214797</v>
      </c>
      <c r="G65" s="37"/>
      <c r="H65" s="37"/>
      <c r="I65" s="38">
        <f t="shared" si="1"/>
        <v>0</v>
      </c>
      <c r="J65" s="38">
        <f t="shared" si="2"/>
        <v>0</v>
      </c>
      <c r="K65" s="38"/>
      <c r="L65" s="38"/>
      <c r="AA65" s="44">
        <f t="shared" si="14"/>
        <v>1.953125E-3</v>
      </c>
      <c r="AB65" s="43">
        <f>X63</f>
        <v>125.20833333333334</v>
      </c>
      <c r="AC65" s="44">
        <f t="shared" si="12"/>
        <v>2.8112697771191645E-3</v>
      </c>
    </row>
    <row r="66" spans="1:29" ht="16">
      <c r="A66" s="35" t="s">
        <v>415</v>
      </c>
      <c r="B66" s="35" t="s">
        <v>416</v>
      </c>
      <c r="C66" s="35" t="s">
        <v>417</v>
      </c>
      <c r="D66" s="35">
        <v>3195000</v>
      </c>
      <c r="E66" s="36">
        <v>14882842</v>
      </c>
      <c r="F66" s="37">
        <f t="shared" si="0"/>
        <v>4.6581665101721441</v>
      </c>
      <c r="G66" s="37"/>
      <c r="H66" s="37"/>
      <c r="I66" s="38">
        <f t="shared" si="1"/>
        <v>0</v>
      </c>
      <c r="J66" s="38">
        <f t="shared" si="2"/>
        <v>0</v>
      </c>
      <c r="K66" s="38"/>
      <c r="L66" s="38"/>
      <c r="AA66" s="44">
        <f t="shared" si="14"/>
        <v>9.765625E-4</v>
      </c>
      <c r="AB66" s="43">
        <f>Y63</f>
        <v>65.208333333333343</v>
      </c>
      <c r="AC66" s="44">
        <f t="shared" si="12"/>
        <v>1.4641055578008294E-3</v>
      </c>
    </row>
    <row r="67" spans="1:29" ht="16">
      <c r="A67" s="35" t="s">
        <v>418</v>
      </c>
      <c r="B67" s="35" t="s">
        <v>419</v>
      </c>
      <c r="C67" s="35" t="s">
        <v>420</v>
      </c>
      <c r="D67" s="35">
        <v>1530000</v>
      </c>
      <c r="E67" s="36">
        <v>7169359</v>
      </c>
      <c r="F67" s="37">
        <f t="shared" si="0"/>
        <v>4.6858555555555554</v>
      </c>
      <c r="G67" s="37"/>
      <c r="H67" s="37"/>
      <c r="I67" s="38">
        <f t="shared" si="1"/>
        <v>0</v>
      </c>
      <c r="J67" s="38">
        <f t="shared" si="2"/>
        <v>0</v>
      </c>
      <c r="K67" s="38"/>
      <c r="L67" s="38"/>
      <c r="AA67" s="44">
        <f t="shared" si="14"/>
        <v>4.8828125E-4</v>
      </c>
      <c r="AB67" s="43">
        <f>Z63</f>
        <v>32.208333333333336</v>
      </c>
      <c r="AC67" s="44">
        <f t="shared" si="12"/>
        <v>7.2316523717574509E-4</v>
      </c>
    </row>
    <row r="68" spans="1:29" ht="16">
      <c r="A68" s="35" t="s">
        <v>421</v>
      </c>
      <c r="B68" s="35" t="s">
        <v>422</v>
      </c>
      <c r="C68" s="35" t="s">
        <v>423</v>
      </c>
      <c r="D68" s="35">
        <v>2100000</v>
      </c>
      <c r="E68" s="36">
        <v>9410144</v>
      </c>
      <c r="F68" s="37">
        <f t="shared" si="0"/>
        <v>4.4810209523809528</v>
      </c>
      <c r="G68" s="37"/>
      <c r="H68" s="37"/>
      <c r="I68" s="38">
        <f t="shared" si="1"/>
        <v>0</v>
      </c>
      <c r="J68" s="38">
        <f t="shared" si="2"/>
        <v>0</v>
      </c>
      <c r="K68" s="38"/>
      <c r="L68" s="38"/>
      <c r="AA68" s="1">
        <v>0</v>
      </c>
      <c r="AB68" s="1">
        <v>0</v>
      </c>
      <c r="AC68" s="44">
        <f t="shared" si="12"/>
        <v>0</v>
      </c>
    </row>
    <row r="69" spans="1:29" ht="16">
      <c r="A69" s="35" t="s">
        <v>424</v>
      </c>
      <c r="B69" s="35" t="s">
        <v>425</v>
      </c>
      <c r="C69" s="35" t="s">
        <v>426</v>
      </c>
      <c r="D69" s="35">
        <v>2050000</v>
      </c>
      <c r="E69" s="36">
        <v>19072909</v>
      </c>
      <c r="F69" s="37">
        <f t="shared" si="0"/>
        <v>9.3038580487804872</v>
      </c>
      <c r="G69" s="37"/>
      <c r="H69" s="37"/>
      <c r="I69" s="38">
        <f t="shared" si="1"/>
        <v>0</v>
      </c>
      <c r="J69" s="38">
        <f t="shared" si="2"/>
        <v>0</v>
      </c>
      <c r="K69" s="38"/>
      <c r="L69" s="38"/>
      <c r="AA69" s="1" t="s">
        <v>427</v>
      </c>
      <c r="AB69" s="45"/>
      <c r="AC69" s="1" t="s">
        <v>428</v>
      </c>
    </row>
    <row r="70" spans="1:29" ht="16">
      <c r="A70" s="38"/>
      <c r="B70" s="38"/>
      <c r="C70" s="38"/>
      <c r="D70" s="38">
        <f t="shared" ref="D70:E70" si="21">SUM(D2:D69)</f>
        <v>96989990</v>
      </c>
      <c r="E70" s="36">
        <f t="shared" si="21"/>
        <v>313604541</v>
      </c>
      <c r="F70" s="37">
        <f t="shared" si="0"/>
        <v>3.2333701756232784</v>
      </c>
      <c r="G70" s="38">
        <f t="shared" ref="G70:H70" si="22">SUM(G2:G69)</f>
        <v>0</v>
      </c>
      <c r="H70" s="38">
        <f t="shared" si="22"/>
        <v>0</v>
      </c>
      <c r="I70" s="38">
        <f t="shared" si="1"/>
        <v>0</v>
      </c>
      <c r="J70" s="38">
        <f t="shared" si="2"/>
        <v>0</v>
      </c>
      <c r="K70" s="35"/>
      <c r="L70" s="38"/>
    </row>
    <row r="71" spans="1:29" ht="16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N71" s="3" t="s">
        <v>429</v>
      </c>
      <c r="O71" s="4">
        <v>1</v>
      </c>
      <c r="P71" s="3">
        <v>2</v>
      </c>
      <c r="Q71" s="4">
        <v>3</v>
      </c>
      <c r="R71" s="3">
        <v>4</v>
      </c>
      <c r="S71" s="4">
        <v>5</v>
      </c>
      <c r="T71" s="3">
        <v>6</v>
      </c>
      <c r="U71" s="4">
        <v>7</v>
      </c>
      <c r="V71" s="3">
        <v>8</v>
      </c>
      <c r="W71" s="4">
        <v>9</v>
      </c>
      <c r="X71" s="3">
        <v>10</v>
      </c>
      <c r="Y71" s="4">
        <v>11</v>
      </c>
      <c r="Z71" s="3">
        <v>12</v>
      </c>
    </row>
    <row r="72" spans="1:29" ht="16">
      <c r="N72" s="4" t="s">
        <v>4</v>
      </c>
      <c r="O72" s="46">
        <f t="shared" ref="O72:Z72" si="23">O56/44538*100</f>
        <v>14.048022662295867</v>
      </c>
      <c r="P72" s="47">
        <f t="shared" si="23"/>
        <v>15.275064738724984</v>
      </c>
      <c r="Q72" s="46">
        <f t="shared" si="23"/>
        <v>25.87275659736255</v>
      </c>
      <c r="R72" s="47">
        <f t="shared" si="23"/>
        <v>23.572473692876496</v>
      </c>
      <c r="S72" s="46">
        <f t="shared" si="23"/>
        <v>10.878818836349485</v>
      </c>
      <c r="T72" s="47">
        <f t="shared" si="23"/>
        <v>9.1039299773975788</v>
      </c>
      <c r="U72" s="46">
        <f t="shared" si="23"/>
        <v>25.201419761402249</v>
      </c>
      <c r="V72" s="47">
        <f t="shared" si="23"/>
        <v>21.313728351819421</v>
      </c>
      <c r="W72" s="46">
        <f t="shared" si="23"/>
        <v>8.6200734952924094</v>
      </c>
      <c r="X72" s="47">
        <f t="shared" si="23"/>
        <v>11.605164877931951</v>
      </c>
      <c r="Y72" s="46">
        <f t="shared" si="23"/>
        <v>26.526131243731943</v>
      </c>
      <c r="Z72" s="47">
        <f t="shared" si="23"/>
        <v>24.857892885476073</v>
      </c>
    </row>
    <row r="73" spans="1:29" ht="16">
      <c r="N73" s="3" t="s">
        <v>18</v>
      </c>
      <c r="O73" s="47">
        <f t="shared" ref="O73:Z73" si="24">O57/44538*100</f>
        <v>15.916090379750624</v>
      </c>
      <c r="P73" s="46">
        <f t="shared" si="24"/>
        <v>9.0545339560225724</v>
      </c>
      <c r="Q73" s="47">
        <f t="shared" si="24"/>
        <v>27.328816591075789</v>
      </c>
      <c r="R73" s="46">
        <f t="shared" si="24"/>
        <v>25.436050862933524</v>
      </c>
      <c r="S73" s="47">
        <f t="shared" si="24"/>
        <v>10.023369557082342</v>
      </c>
      <c r="T73" s="46">
        <f t="shared" si="24"/>
        <v>10.12103896298292</v>
      </c>
      <c r="U73" s="47">
        <f t="shared" si="24"/>
        <v>27.096430763243372</v>
      </c>
      <c r="V73" s="46">
        <f t="shared" si="24"/>
        <v>26.831488466777436</v>
      </c>
      <c r="W73" s="47">
        <f t="shared" si="24"/>
        <v>6.9877595162183601</v>
      </c>
      <c r="X73" s="46">
        <f t="shared" si="24"/>
        <v>9.7752668133578808</v>
      </c>
      <c r="Y73" s="47">
        <f t="shared" si="24"/>
        <v>27.034685736524615</v>
      </c>
      <c r="Z73" s="46">
        <f t="shared" si="24"/>
        <v>27.108779768587127</v>
      </c>
    </row>
    <row r="74" spans="1:29" ht="16">
      <c r="N74" s="4" t="s">
        <v>38</v>
      </c>
      <c r="O74" s="46">
        <f t="shared" ref="O74:Z74" si="25">O58/44538*100</f>
        <v>8.5010739892526228</v>
      </c>
      <c r="P74" s="47">
        <f t="shared" si="25"/>
        <v>2.4927215710928494</v>
      </c>
      <c r="Q74" s="46">
        <f t="shared" si="25"/>
        <v>4.7076840750220788</v>
      </c>
      <c r="R74" s="47">
        <f t="shared" si="25"/>
        <v>27.691428293442303</v>
      </c>
      <c r="S74" s="46">
        <f t="shared" si="25"/>
        <v>9.0444302243776846</v>
      </c>
      <c r="T74" s="47">
        <f t="shared" si="25"/>
        <v>8.1025379077042832</v>
      </c>
      <c r="U74" s="46">
        <f t="shared" si="25"/>
        <v>0.85142649722334485</v>
      </c>
      <c r="V74" s="47">
        <f t="shared" si="25"/>
        <v>4.3664024727947668</v>
      </c>
      <c r="W74" s="46">
        <f t="shared" si="25"/>
        <v>7.8757652641190292</v>
      </c>
      <c r="X74" s="47">
        <f t="shared" si="25"/>
        <v>0.476465789513075</v>
      </c>
      <c r="Y74" s="46">
        <f t="shared" si="25"/>
        <v>6.6206572664541152</v>
      </c>
      <c r="Z74" s="47">
        <f t="shared" si="25"/>
        <v>9.8504834822698211</v>
      </c>
    </row>
    <row r="75" spans="1:29" ht="16">
      <c r="N75" s="3" t="s">
        <v>59</v>
      </c>
      <c r="O75" s="47">
        <f t="shared" ref="O75:Z75" si="26">O59/44538*100</f>
        <v>13.702250512670828</v>
      </c>
      <c r="P75" s="46">
        <f t="shared" si="26"/>
        <v>9.1802692831589514</v>
      </c>
      <c r="Q75" s="47">
        <f t="shared" si="26"/>
        <v>8.9389023605310829</v>
      </c>
      <c r="R75" s="46">
        <f t="shared" si="26"/>
        <v>8.1238680078434893</v>
      </c>
      <c r="S75" s="47">
        <f t="shared" si="26"/>
        <v>9.1757787357612219</v>
      </c>
      <c r="T75" s="46">
        <f t="shared" si="26"/>
        <v>10.204114089840884</v>
      </c>
      <c r="U75" s="47">
        <f t="shared" si="26"/>
        <v>8.0688588022213246</v>
      </c>
      <c r="V75" s="46">
        <f t="shared" si="26"/>
        <v>10.87096037840346</v>
      </c>
      <c r="W75" s="47">
        <f t="shared" si="26"/>
        <v>8.3944234885565887</v>
      </c>
      <c r="X75" s="46">
        <f t="shared" si="26"/>
        <v>11.358184771056925</v>
      </c>
      <c r="Y75" s="47">
        <f t="shared" si="26"/>
        <v>8.357376472525333</v>
      </c>
      <c r="Z75" s="46">
        <f t="shared" si="26"/>
        <v>11.579344230395018</v>
      </c>
      <c r="AB75" s="1"/>
    </row>
    <row r="76" spans="1:29" ht="16">
      <c r="A76" s="35"/>
      <c r="B76" s="35"/>
      <c r="C76" s="35"/>
      <c r="D76" s="38"/>
      <c r="E76" s="38"/>
      <c r="F76" s="38"/>
      <c r="G76" s="38"/>
      <c r="H76" s="38"/>
      <c r="I76" s="38"/>
      <c r="J76" s="35"/>
      <c r="K76" s="35"/>
      <c r="L76" s="38"/>
      <c r="N76" s="4" t="s">
        <v>73</v>
      </c>
      <c r="O76" s="46">
        <f t="shared" ref="O76:Z76" si="27">O60/44538*100</f>
        <v>7.7388035684883327</v>
      </c>
      <c r="P76" s="47">
        <f t="shared" si="27"/>
        <v>9.6955595970482129</v>
      </c>
      <c r="Q76" s="46">
        <f t="shared" si="27"/>
        <v>8.0632456179741645</v>
      </c>
      <c r="R76" s="47">
        <f t="shared" si="27"/>
        <v>11.789277321238792</v>
      </c>
      <c r="S76" s="46">
        <f t="shared" si="27"/>
        <v>7.9318971065906272</v>
      </c>
      <c r="T76" s="47">
        <f t="shared" si="27"/>
        <v>8.0632456179741645</v>
      </c>
      <c r="U76" s="46">
        <f t="shared" si="27"/>
        <v>6.4545070127381869</v>
      </c>
      <c r="V76" s="47">
        <f t="shared" si="27"/>
        <v>9.8594645770652765</v>
      </c>
      <c r="W76" s="46">
        <f t="shared" si="27"/>
        <v>5.878594308979598</v>
      </c>
      <c r="X76" s="47">
        <f t="shared" si="27"/>
        <v>11.872352448096755</v>
      </c>
      <c r="Y76" s="46">
        <f t="shared" si="27"/>
        <v>4.3001668986782819</v>
      </c>
      <c r="Z76" s="47">
        <f t="shared" si="27"/>
        <v>7.7219640157468534</v>
      </c>
    </row>
    <row r="77" spans="1:29" ht="16">
      <c r="A77" s="35"/>
      <c r="B77" s="35"/>
      <c r="C77" s="35"/>
      <c r="D77" s="38"/>
      <c r="E77" s="38"/>
      <c r="F77" s="38"/>
      <c r="G77" s="38"/>
      <c r="H77" s="38"/>
      <c r="I77" s="38"/>
      <c r="J77" s="35"/>
      <c r="K77" s="35"/>
      <c r="L77" s="38"/>
      <c r="N77" s="3" t="s">
        <v>86</v>
      </c>
      <c r="O77" s="47">
        <f t="shared" ref="O77:Z77" si="28">O61/44538*100</f>
        <v>11.660174083554118</v>
      </c>
      <c r="P77" s="46">
        <f t="shared" si="28"/>
        <v>9.5877864595027464</v>
      </c>
      <c r="Q77" s="47">
        <f t="shared" si="28"/>
        <v>7.7646242160252674</v>
      </c>
      <c r="R77" s="46">
        <f t="shared" si="28"/>
        <v>9.7359745236277639</v>
      </c>
      <c r="S77" s="47">
        <f t="shared" si="28"/>
        <v>10.638574550571049</v>
      </c>
      <c r="T77" s="46">
        <f t="shared" si="28"/>
        <v>9.5956449174487695</v>
      </c>
      <c r="U77" s="47">
        <f t="shared" si="28"/>
        <v>10.811460625383566</v>
      </c>
      <c r="V77" s="46">
        <f t="shared" si="28"/>
        <v>10.740734503869355</v>
      </c>
      <c r="W77" s="47">
        <f t="shared" si="28"/>
        <v>13.357600999895219</v>
      </c>
      <c r="X77" s="46">
        <f t="shared" si="28"/>
        <v>12.433670872812728</v>
      </c>
      <c r="Y77" s="47">
        <f t="shared" si="28"/>
        <v>16.487512536111485</v>
      </c>
      <c r="Z77" s="46">
        <f t="shared" si="28"/>
        <v>14.824887362102773</v>
      </c>
    </row>
    <row r="78" spans="1:29" ht="16">
      <c r="A78" s="35"/>
      <c r="B78" s="35"/>
      <c r="C78" s="35"/>
      <c r="D78" s="38"/>
      <c r="E78" s="38"/>
      <c r="F78" s="38"/>
      <c r="G78" s="38"/>
      <c r="H78" s="38"/>
      <c r="I78" s="38"/>
      <c r="J78" s="35"/>
      <c r="K78" s="35"/>
      <c r="L78" s="38"/>
      <c r="N78" s="4" t="s">
        <v>91</v>
      </c>
      <c r="O78" s="41"/>
      <c r="P78" s="42"/>
      <c r="Q78" s="41"/>
      <c r="R78" s="42"/>
      <c r="S78" s="41"/>
      <c r="T78" s="42"/>
      <c r="U78" s="41"/>
      <c r="V78" s="42"/>
      <c r="W78" s="41"/>
      <c r="X78" s="42"/>
      <c r="Y78" s="41"/>
      <c r="Z78" s="42"/>
    </row>
    <row r="79" spans="1:29" ht="16">
      <c r="A79" s="35"/>
      <c r="B79" s="35"/>
      <c r="C79" s="35"/>
      <c r="D79" s="38"/>
      <c r="E79" s="38"/>
      <c r="F79" s="38"/>
      <c r="G79" s="38"/>
      <c r="H79" s="38"/>
      <c r="I79" s="38"/>
      <c r="J79" s="35"/>
      <c r="K79" s="35"/>
      <c r="L79" s="38"/>
      <c r="N79" s="3" t="s">
        <v>92</v>
      </c>
      <c r="O79" s="42"/>
      <c r="P79" s="41"/>
      <c r="Q79" s="42"/>
      <c r="R79" s="41"/>
      <c r="S79" s="42"/>
      <c r="T79" s="41"/>
      <c r="U79" s="42"/>
      <c r="V79" s="41"/>
      <c r="W79" s="42"/>
      <c r="X79" s="41"/>
      <c r="Y79" s="42"/>
      <c r="Z79" s="41"/>
    </row>
    <row r="81" spans="12:26" ht="16">
      <c r="N81" s="3" t="s">
        <v>430</v>
      </c>
      <c r="O81" s="4">
        <v>1</v>
      </c>
      <c r="P81" s="3">
        <v>2</v>
      </c>
      <c r="Q81" s="4">
        <v>3</v>
      </c>
      <c r="R81" s="3">
        <v>4</v>
      </c>
      <c r="S81" s="4">
        <v>5</v>
      </c>
      <c r="T81" s="3">
        <v>6</v>
      </c>
      <c r="U81" s="4">
        <v>7</v>
      </c>
      <c r="V81" s="3">
        <v>8</v>
      </c>
      <c r="W81" s="4">
        <v>9</v>
      </c>
      <c r="X81" s="3">
        <v>10</v>
      </c>
      <c r="Y81" s="4">
        <v>11</v>
      </c>
      <c r="Z81" s="3">
        <v>12</v>
      </c>
    </row>
    <row r="82" spans="12:26" ht="16">
      <c r="N82" s="4" t="s">
        <v>4</v>
      </c>
      <c r="O82" s="46">
        <f t="shared" ref="O82:Z82" si="29">O72</f>
        <v>14.048022662295867</v>
      </c>
      <c r="P82" s="47">
        <f t="shared" si="29"/>
        <v>15.275064738724984</v>
      </c>
      <c r="Q82" s="46">
        <f t="shared" si="29"/>
        <v>25.87275659736255</v>
      </c>
      <c r="R82" s="47">
        <f t="shared" si="29"/>
        <v>23.572473692876496</v>
      </c>
      <c r="S82" s="46">
        <f t="shared" si="29"/>
        <v>10.878818836349485</v>
      </c>
      <c r="T82" s="47">
        <f t="shared" si="29"/>
        <v>9.1039299773975788</v>
      </c>
      <c r="U82" s="46">
        <f t="shared" si="29"/>
        <v>25.201419761402249</v>
      </c>
      <c r="V82" s="47">
        <f t="shared" si="29"/>
        <v>21.313728351819421</v>
      </c>
      <c r="W82" s="46">
        <f t="shared" si="29"/>
        <v>8.6200734952924094</v>
      </c>
      <c r="X82" s="47">
        <f t="shared" si="29"/>
        <v>11.605164877931951</v>
      </c>
      <c r="Y82" s="46">
        <f t="shared" si="29"/>
        <v>26.526131243731943</v>
      </c>
      <c r="Z82" s="47">
        <f t="shared" si="29"/>
        <v>24.857892885476073</v>
      </c>
    </row>
    <row r="83" spans="12:26" ht="16">
      <c r="N83" s="3" t="s">
        <v>18</v>
      </c>
      <c r="O83" s="47">
        <f t="shared" ref="O83:Z83" si="30">O73</f>
        <v>15.916090379750624</v>
      </c>
      <c r="P83" s="46">
        <f t="shared" si="30"/>
        <v>9.0545339560225724</v>
      </c>
      <c r="Q83" s="47">
        <f t="shared" si="30"/>
        <v>27.328816591075789</v>
      </c>
      <c r="R83" s="46">
        <f t="shared" si="30"/>
        <v>25.436050862933524</v>
      </c>
      <c r="S83" s="47">
        <f t="shared" si="30"/>
        <v>10.023369557082342</v>
      </c>
      <c r="T83" s="46">
        <f t="shared" si="30"/>
        <v>10.12103896298292</v>
      </c>
      <c r="U83" s="47">
        <f t="shared" si="30"/>
        <v>27.096430763243372</v>
      </c>
      <c r="V83" s="46">
        <f t="shared" si="30"/>
        <v>26.831488466777436</v>
      </c>
      <c r="W83" s="47">
        <f t="shared" si="30"/>
        <v>6.9877595162183601</v>
      </c>
      <c r="X83" s="46">
        <f t="shared" si="30"/>
        <v>9.7752668133578808</v>
      </c>
      <c r="Y83" s="47">
        <f t="shared" si="30"/>
        <v>27.034685736524615</v>
      </c>
      <c r="Z83" s="46">
        <f t="shared" si="30"/>
        <v>27.108779768587127</v>
      </c>
    </row>
    <row r="84" spans="12:26" ht="16">
      <c r="N84" s="4" t="s">
        <v>38</v>
      </c>
      <c r="O84" s="46">
        <f t="shared" ref="O84:Z84" si="31">O74</f>
        <v>8.5010739892526228</v>
      </c>
      <c r="P84" s="47">
        <f t="shared" si="31"/>
        <v>2.4927215710928494</v>
      </c>
      <c r="Q84" s="46">
        <f t="shared" si="31"/>
        <v>4.7076840750220788</v>
      </c>
      <c r="R84" s="47">
        <f t="shared" si="31"/>
        <v>27.691428293442303</v>
      </c>
      <c r="S84" s="46">
        <f t="shared" si="31"/>
        <v>9.0444302243776846</v>
      </c>
      <c r="T84" s="47">
        <f t="shared" si="31"/>
        <v>8.1025379077042832</v>
      </c>
      <c r="U84" s="46">
        <f t="shared" si="31"/>
        <v>0.85142649722334485</v>
      </c>
      <c r="V84" s="47">
        <f t="shared" si="31"/>
        <v>4.3664024727947668</v>
      </c>
      <c r="W84" s="46">
        <f t="shared" si="31"/>
        <v>7.8757652641190292</v>
      </c>
      <c r="X84" s="47">
        <f t="shared" si="31"/>
        <v>0.476465789513075</v>
      </c>
      <c r="Y84" s="46">
        <f t="shared" si="31"/>
        <v>6.6206572664541152</v>
      </c>
      <c r="Z84" s="47">
        <f t="shared" si="31"/>
        <v>9.8504834822698211</v>
      </c>
    </row>
    <row r="85" spans="12:26" ht="16">
      <c r="N85" s="3" t="s">
        <v>59</v>
      </c>
      <c r="O85" s="47">
        <f t="shared" ref="O85:Z85" si="32">O75</f>
        <v>13.702250512670828</v>
      </c>
      <c r="P85" s="46">
        <f t="shared" si="32"/>
        <v>9.1802692831589514</v>
      </c>
      <c r="Q85" s="47">
        <f t="shared" si="32"/>
        <v>8.9389023605310829</v>
      </c>
      <c r="R85" s="46">
        <f t="shared" si="32"/>
        <v>8.1238680078434893</v>
      </c>
      <c r="S85" s="47">
        <f t="shared" si="32"/>
        <v>9.1757787357612219</v>
      </c>
      <c r="T85" s="46">
        <f t="shared" si="32"/>
        <v>10.204114089840884</v>
      </c>
      <c r="U85" s="47">
        <f t="shared" si="32"/>
        <v>8.0688588022213246</v>
      </c>
      <c r="V85" s="46">
        <f t="shared" si="32"/>
        <v>10.87096037840346</v>
      </c>
      <c r="W85" s="47">
        <f t="shared" si="32"/>
        <v>8.3944234885565887</v>
      </c>
      <c r="X85" s="46">
        <f t="shared" si="32"/>
        <v>11.358184771056925</v>
      </c>
      <c r="Y85" s="47">
        <f t="shared" si="32"/>
        <v>8.357376472525333</v>
      </c>
      <c r="Z85" s="46">
        <f t="shared" si="32"/>
        <v>11.579344230395018</v>
      </c>
    </row>
    <row r="86" spans="12:26" ht="16">
      <c r="N86" s="4" t="s">
        <v>73</v>
      </c>
      <c r="O86" s="46">
        <f t="shared" ref="O86:Z86" si="33">O76</f>
        <v>7.7388035684883327</v>
      </c>
      <c r="P86" s="47">
        <f t="shared" si="33"/>
        <v>9.6955595970482129</v>
      </c>
      <c r="Q86" s="46">
        <f t="shared" si="33"/>
        <v>8.0632456179741645</v>
      </c>
      <c r="R86" s="47">
        <f t="shared" si="33"/>
        <v>11.789277321238792</v>
      </c>
      <c r="S86" s="46">
        <f t="shared" si="33"/>
        <v>7.9318971065906272</v>
      </c>
      <c r="T86" s="47">
        <f t="shared" si="33"/>
        <v>8.0632456179741645</v>
      </c>
      <c r="U86" s="46">
        <f t="shared" si="33"/>
        <v>6.4545070127381869</v>
      </c>
      <c r="V86" s="47">
        <f t="shared" si="33"/>
        <v>9.8594645770652765</v>
      </c>
      <c r="W86" s="46">
        <f t="shared" si="33"/>
        <v>5.878594308979598</v>
      </c>
      <c r="X86" s="47">
        <f t="shared" si="33"/>
        <v>11.872352448096755</v>
      </c>
      <c r="Y86" s="46">
        <f t="shared" si="33"/>
        <v>4.3001668986782819</v>
      </c>
      <c r="Z86" s="47">
        <f t="shared" si="33"/>
        <v>7.7219640157468534</v>
      </c>
    </row>
    <row r="87" spans="12:26" ht="16">
      <c r="N87" s="3" t="s">
        <v>86</v>
      </c>
      <c r="O87" s="47">
        <f t="shared" ref="O87:Z87" si="34">O77</f>
        <v>11.660174083554118</v>
      </c>
      <c r="P87" s="46">
        <f t="shared" si="34"/>
        <v>9.5877864595027464</v>
      </c>
      <c r="Q87" s="47">
        <f t="shared" si="34"/>
        <v>7.7646242160252674</v>
      </c>
      <c r="R87" s="46">
        <f t="shared" si="34"/>
        <v>9.7359745236277639</v>
      </c>
      <c r="S87" s="47">
        <f t="shared" si="34"/>
        <v>10.638574550571049</v>
      </c>
      <c r="T87" s="46">
        <f t="shared" si="34"/>
        <v>9.5956449174487695</v>
      </c>
      <c r="U87" s="47">
        <f t="shared" si="34"/>
        <v>10.811460625383566</v>
      </c>
      <c r="V87" s="46">
        <f t="shared" si="34"/>
        <v>10.740734503869355</v>
      </c>
      <c r="W87" s="47">
        <f t="shared" si="34"/>
        <v>13.357600999895219</v>
      </c>
      <c r="X87" s="46">
        <f t="shared" si="34"/>
        <v>12.433670872812728</v>
      </c>
      <c r="Y87" s="47">
        <f t="shared" si="34"/>
        <v>16.487512536111485</v>
      </c>
      <c r="Z87" s="46">
        <f t="shared" si="34"/>
        <v>14.824887362102773</v>
      </c>
    </row>
    <row r="88" spans="12:26" ht="16">
      <c r="N88" s="4" t="s">
        <v>91</v>
      </c>
      <c r="O88" s="41"/>
      <c r="P88" s="42"/>
      <c r="Q88" s="41"/>
      <c r="R88" s="42"/>
      <c r="S88" s="41"/>
      <c r="T88" s="42"/>
      <c r="U88" s="41"/>
      <c r="V88" s="42"/>
      <c r="W88" s="41"/>
      <c r="X88" s="42"/>
      <c r="Y88" s="41"/>
      <c r="Z88" s="42"/>
    </row>
    <row r="89" spans="12:26" ht="16">
      <c r="N89" s="3" t="s">
        <v>92</v>
      </c>
      <c r="O89" s="42"/>
      <c r="P89" s="41"/>
      <c r="Q89" s="42"/>
      <c r="R89" s="41"/>
      <c r="S89" s="42"/>
      <c r="T89" s="41"/>
      <c r="U89" s="42"/>
      <c r="V89" s="41"/>
      <c r="W89" s="42"/>
      <c r="X89" s="41"/>
      <c r="Y89" s="42"/>
      <c r="Z89" s="41"/>
    </row>
    <row r="91" spans="12:26" ht="16">
      <c r="N91" s="3" t="s">
        <v>123</v>
      </c>
      <c r="O91" s="4">
        <v>1</v>
      </c>
      <c r="P91" s="3">
        <v>2</v>
      </c>
      <c r="Q91" s="4">
        <v>3</v>
      </c>
      <c r="R91" s="3">
        <v>4</v>
      </c>
      <c r="S91" s="4">
        <v>5</v>
      </c>
      <c r="T91" s="3">
        <v>6</v>
      </c>
      <c r="U91" s="4">
        <v>7</v>
      </c>
      <c r="V91" s="3">
        <v>8</v>
      </c>
      <c r="W91" s="4">
        <v>9</v>
      </c>
      <c r="X91" s="3">
        <v>10</v>
      </c>
      <c r="Y91" s="4">
        <v>11</v>
      </c>
      <c r="Z91" s="3">
        <v>12</v>
      </c>
    </row>
    <row r="92" spans="12:26" ht="16">
      <c r="L92" s="1" t="s">
        <v>431</v>
      </c>
      <c r="N92" s="4" t="s">
        <v>4</v>
      </c>
      <c r="O92" s="48">
        <v>5085477</v>
      </c>
      <c r="P92" s="49">
        <v>265802</v>
      </c>
      <c r="Q92" s="50">
        <f>1856*100</f>
        <v>185600</v>
      </c>
      <c r="R92" s="50">
        <f>427*100</f>
        <v>42700</v>
      </c>
      <c r="S92" s="48">
        <v>5016068</v>
      </c>
      <c r="T92" s="49">
        <v>322401</v>
      </c>
      <c r="U92" s="50">
        <f>1447*100</f>
        <v>144700</v>
      </c>
      <c r="V92" s="50">
        <f>376*100</f>
        <v>37600</v>
      </c>
      <c r="W92" s="48">
        <v>5034091</v>
      </c>
      <c r="X92" s="49">
        <v>337556</v>
      </c>
      <c r="Y92" s="50">
        <f>1605*100</f>
        <v>160500</v>
      </c>
      <c r="Z92" s="50">
        <f>371*100</f>
        <v>37100</v>
      </c>
    </row>
    <row r="93" spans="12:26" ht="16">
      <c r="L93" s="1" t="s">
        <v>432</v>
      </c>
      <c r="N93" s="3" t="s">
        <v>18</v>
      </c>
      <c r="O93" s="49">
        <v>5066047</v>
      </c>
      <c r="P93" s="48">
        <v>353209</v>
      </c>
      <c r="Q93" s="50">
        <f>1647*100</f>
        <v>164700</v>
      </c>
      <c r="R93" s="50">
        <f>421*100</f>
        <v>42100</v>
      </c>
      <c r="S93" s="49">
        <v>5026606</v>
      </c>
      <c r="T93" s="48">
        <v>417541</v>
      </c>
      <c r="U93" s="50">
        <f>3249*100</f>
        <v>324900</v>
      </c>
      <c r="V93" s="50">
        <f>433*100</f>
        <v>43300</v>
      </c>
      <c r="W93" s="49">
        <v>4552944</v>
      </c>
      <c r="X93" s="48">
        <v>714226</v>
      </c>
      <c r="Y93" s="50">
        <f>8123*100</f>
        <v>812300</v>
      </c>
      <c r="Z93" s="50">
        <f>374*100</f>
        <v>37400</v>
      </c>
    </row>
    <row r="94" spans="12:26" ht="16">
      <c r="L94" s="1" t="s">
        <v>433</v>
      </c>
      <c r="N94" s="4" t="s">
        <v>38</v>
      </c>
      <c r="O94" s="48">
        <v>3682830</v>
      </c>
      <c r="P94" s="49">
        <v>1714537</v>
      </c>
      <c r="Q94" s="48">
        <v>170442</v>
      </c>
      <c r="R94" s="50">
        <f>424*100</f>
        <v>42400</v>
      </c>
      <c r="S94" s="48">
        <v>2622000</v>
      </c>
      <c r="T94" s="49">
        <v>1638972</v>
      </c>
      <c r="U94" s="48">
        <v>1297115</v>
      </c>
      <c r="V94" s="49">
        <v>50055</v>
      </c>
      <c r="W94" s="48">
        <v>1861564</v>
      </c>
      <c r="X94" s="49">
        <v>1063313</v>
      </c>
      <c r="Y94" s="48">
        <v>1696410</v>
      </c>
      <c r="Z94" s="49">
        <v>750451</v>
      </c>
    </row>
    <row r="95" spans="12:26" ht="16">
      <c r="N95" s="3" t="s">
        <v>59</v>
      </c>
      <c r="O95" s="49">
        <v>1585732</v>
      </c>
      <c r="P95" s="48">
        <v>585044</v>
      </c>
      <c r="Q95" s="49">
        <v>1217893</v>
      </c>
      <c r="R95" s="48">
        <v>2306673</v>
      </c>
      <c r="S95" s="49">
        <v>1314937</v>
      </c>
      <c r="T95" s="48">
        <v>448006</v>
      </c>
      <c r="U95" s="49">
        <v>821588</v>
      </c>
      <c r="V95" s="48">
        <v>2871130</v>
      </c>
      <c r="W95" s="49">
        <v>1235627</v>
      </c>
      <c r="X95" s="48">
        <v>438575</v>
      </c>
      <c r="Y95" s="49">
        <v>644837</v>
      </c>
      <c r="Z95" s="48">
        <v>3228483</v>
      </c>
    </row>
    <row r="96" spans="12:26" ht="16">
      <c r="N96" s="4" t="s">
        <v>73</v>
      </c>
      <c r="O96" s="48">
        <v>1250339</v>
      </c>
      <c r="P96" s="49">
        <v>465998</v>
      </c>
      <c r="Q96" s="48">
        <v>660526</v>
      </c>
      <c r="R96" s="49">
        <v>3416297</v>
      </c>
      <c r="S96" s="48">
        <v>1076415</v>
      </c>
      <c r="T96" s="49">
        <v>449027</v>
      </c>
      <c r="U96" s="48">
        <v>541256</v>
      </c>
      <c r="V96" s="49">
        <v>3885361</v>
      </c>
      <c r="W96" s="48">
        <v>905211</v>
      </c>
      <c r="X96" s="49">
        <v>442286</v>
      </c>
      <c r="Y96" s="48">
        <v>484886</v>
      </c>
      <c r="Z96" s="49">
        <v>3570204</v>
      </c>
    </row>
    <row r="97" spans="13:27" ht="16">
      <c r="N97" s="3" t="s">
        <v>86</v>
      </c>
      <c r="O97" s="49">
        <v>801736</v>
      </c>
      <c r="P97" s="48">
        <v>529238</v>
      </c>
      <c r="Q97" s="49">
        <v>519153</v>
      </c>
      <c r="R97" s="48">
        <v>3658122</v>
      </c>
      <c r="S97" s="48">
        <f t="shared" ref="S97:T97" si="35">3195000</f>
        <v>3195000</v>
      </c>
      <c r="T97" s="48">
        <f t="shared" si="35"/>
        <v>3195000</v>
      </c>
      <c r="U97" s="48">
        <f t="shared" ref="U97:V97" si="36">1530000</f>
        <v>1530000</v>
      </c>
      <c r="V97" s="48">
        <f t="shared" si="36"/>
        <v>1530000</v>
      </c>
      <c r="W97" s="48">
        <f t="shared" ref="W97:X97" si="37">2100000</f>
        <v>2100000</v>
      </c>
      <c r="X97" s="48">
        <f t="shared" si="37"/>
        <v>2100000</v>
      </c>
      <c r="Y97" s="48">
        <f t="shared" ref="Y97:Z97" si="38">4290000</f>
        <v>4290000</v>
      </c>
      <c r="Z97" s="48">
        <f t="shared" si="38"/>
        <v>4290000</v>
      </c>
    </row>
    <row r="98" spans="13:27" ht="16">
      <c r="N98" s="4" t="s">
        <v>91</v>
      </c>
      <c r="O98" s="48"/>
      <c r="P98" s="49"/>
      <c r="Q98" s="48"/>
      <c r="R98" s="49"/>
      <c r="S98" s="48"/>
      <c r="T98" s="49"/>
      <c r="U98" s="48"/>
      <c r="V98" s="49"/>
      <c r="W98" s="48"/>
      <c r="X98" s="49"/>
      <c r="Y98" s="48"/>
      <c r="Z98" s="49"/>
    </row>
    <row r="99" spans="13:27" ht="16">
      <c r="N99" s="3" t="s">
        <v>92</v>
      </c>
      <c r="O99" s="49"/>
      <c r="P99" s="48"/>
      <c r="Q99" s="49"/>
      <c r="R99" s="48"/>
      <c r="S99" s="49"/>
      <c r="T99" s="48"/>
      <c r="U99" s="49"/>
      <c r="V99" s="48"/>
      <c r="W99" s="49"/>
      <c r="X99" s="48"/>
      <c r="Y99" s="49"/>
      <c r="Z99" s="48"/>
    </row>
    <row r="100" spans="13:27" ht="13">
      <c r="AA100" s="51">
        <f>SUM(O92:Z97)</f>
        <v>112399537</v>
      </c>
    </row>
    <row r="101" spans="13:27" ht="16">
      <c r="N101" s="3" t="s">
        <v>434</v>
      </c>
      <c r="O101" s="4">
        <v>1</v>
      </c>
      <c r="P101" s="3">
        <v>2</v>
      </c>
      <c r="Q101" s="4">
        <v>3</v>
      </c>
      <c r="R101" s="3">
        <v>4</v>
      </c>
      <c r="S101" s="4">
        <v>5</v>
      </c>
      <c r="T101" s="3">
        <v>6</v>
      </c>
      <c r="U101" s="4">
        <v>7</v>
      </c>
      <c r="V101" s="3">
        <v>8</v>
      </c>
      <c r="W101" s="4">
        <v>9</v>
      </c>
      <c r="X101" s="3">
        <v>10</v>
      </c>
      <c r="Y101" s="4">
        <v>11</v>
      </c>
      <c r="Z101" s="3">
        <v>12</v>
      </c>
    </row>
    <row r="102" spans="13:27" ht="16">
      <c r="N102" s="4" t="s">
        <v>4</v>
      </c>
      <c r="O102" s="52">
        <f t="shared" ref="O102:Z102" si="39">O92/$AA$100</f>
        <v>4.5244643667882722E-2</v>
      </c>
      <c r="P102" s="53">
        <f t="shared" si="39"/>
        <v>2.3647962179773035E-3</v>
      </c>
      <c r="Q102" s="52">
        <f t="shared" si="39"/>
        <v>1.6512523534683242E-3</v>
      </c>
      <c r="R102" s="53">
        <f t="shared" si="39"/>
        <v>3.7989480330332678E-4</v>
      </c>
      <c r="S102" s="52">
        <f t="shared" si="39"/>
        <v>4.4627123330588096E-2</v>
      </c>
      <c r="T102" s="53">
        <f t="shared" si="39"/>
        <v>2.8683481142809334E-3</v>
      </c>
      <c r="U102" s="52">
        <f t="shared" si="39"/>
        <v>1.2873718510068241E-3</v>
      </c>
      <c r="V102" s="53">
        <f t="shared" si="39"/>
        <v>3.3452095091815194E-4</v>
      </c>
      <c r="W102" s="52">
        <f t="shared" si="39"/>
        <v>4.4787470966183782E-2</v>
      </c>
      <c r="X102" s="53">
        <f t="shared" si="39"/>
        <v>3.0031796305353109E-3</v>
      </c>
      <c r="Y102" s="52">
        <f t="shared" si="39"/>
        <v>1.427941825062856E-3</v>
      </c>
      <c r="Z102" s="53">
        <f t="shared" si="39"/>
        <v>3.3007253401764455E-4</v>
      </c>
    </row>
    <row r="103" spans="13:27" ht="16">
      <c r="N103" s="3" t="s">
        <v>18</v>
      </c>
      <c r="O103" s="53">
        <f t="shared" ref="O103:Z103" si="40">O93/$AA$100</f>
        <v>4.5071778187129007E-2</v>
      </c>
      <c r="P103" s="52">
        <f t="shared" si="40"/>
        <v>3.1424417700225936E-3</v>
      </c>
      <c r="Q103" s="53">
        <f t="shared" si="40"/>
        <v>1.4653085270271175E-3</v>
      </c>
      <c r="R103" s="52">
        <f t="shared" si="40"/>
        <v>3.7455670302271796E-4</v>
      </c>
      <c r="S103" s="53">
        <f t="shared" si="40"/>
        <v>4.4720878165183192E-2</v>
      </c>
      <c r="T103" s="52">
        <f t="shared" si="40"/>
        <v>3.7147928821094699E-3</v>
      </c>
      <c r="U103" s="53">
        <f t="shared" si="40"/>
        <v>2.890581301949669E-3</v>
      </c>
      <c r="V103" s="52">
        <f t="shared" si="40"/>
        <v>3.8523290358393559E-4</v>
      </c>
      <c r="W103" s="53">
        <f t="shared" si="40"/>
        <v>4.0506786073326972E-2</v>
      </c>
      <c r="X103" s="52">
        <f t="shared" si="40"/>
        <v>6.3543500183635094E-3</v>
      </c>
      <c r="Y103" s="53">
        <f t="shared" si="40"/>
        <v>7.2268980965642235E-3</v>
      </c>
      <c r="Z103" s="52">
        <f t="shared" si="40"/>
        <v>3.3274158415794896E-4</v>
      </c>
    </row>
    <row r="104" spans="13:27" ht="16">
      <c r="N104" s="4" t="s">
        <v>38</v>
      </c>
      <c r="O104" s="52">
        <f t="shared" ref="O104:Z104" si="41">O94/$AA$100</f>
        <v>3.276552642739089E-2</v>
      </c>
      <c r="P104" s="53">
        <f t="shared" si="41"/>
        <v>1.5253950734690304E-2</v>
      </c>
      <c r="Q104" s="52">
        <f t="shared" si="41"/>
        <v>1.5163941467125439E-3</v>
      </c>
      <c r="R104" s="53">
        <f t="shared" si="41"/>
        <v>3.7722575316302237E-4</v>
      </c>
      <c r="S104" s="52">
        <f t="shared" si="41"/>
        <v>2.3327498226260488E-2</v>
      </c>
      <c r="T104" s="53">
        <f t="shared" si="41"/>
        <v>1.4581661488516629E-2</v>
      </c>
      <c r="U104" s="52">
        <f t="shared" si="41"/>
        <v>1.1540216575803154E-2</v>
      </c>
      <c r="V104" s="53">
        <f t="shared" si="41"/>
        <v>4.4533101590978974E-4</v>
      </c>
      <c r="W104" s="52">
        <f t="shared" si="41"/>
        <v>1.6562025517952089E-2</v>
      </c>
      <c r="X104" s="53">
        <f t="shared" si="41"/>
        <v>9.4601190394583215E-3</v>
      </c>
      <c r="Y104" s="52">
        <f t="shared" si="41"/>
        <v>1.509267782837931E-2</v>
      </c>
      <c r="Z104" s="53">
        <f t="shared" si="41"/>
        <v>6.6766378228052667E-3</v>
      </c>
    </row>
    <row r="105" spans="13:27" ht="16">
      <c r="N105" s="3" t="s">
        <v>59</v>
      </c>
      <c r="O105" s="53">
        <f t="shared" ref="O105:Z105" si="42">O95/$AA$100</f>
        <v>1.4107994056950608E-2</v>
      </c>
      <c r="P105" s="52">
        <f t="shared" si="42"/>
        <v>5.2050392342808316E-3</v>
      </c>
      <c r="Q105" s="53">
        <f t="shared" si="42"/>
        <v>1.0835391608419171E-2</v>
      </c>
      <c r="R105" s="52">
        <f t="shared" si="42"/>
        <v>2.0522086314287931E-2</v>
      </c>
      <c r="S105" s="53">
        <f t="shared" si="42"/>
        <v>1.1698775947804838E-2</v>
      </c>
      <c r="T105" s="52">
        <f t="shared" si="42"/>
        <v>3.9858349238573818E-3</v>
      </c>
      <c r="U105" s="53">
        <f t="shared" si="42"/>
        <v>7.3095318889080481E-3</v>
      </c>
      <c r="V105" s="52">
        <f t="shared" si="42"/>
        <v>2.5543966431107273E-2</v>
      </c>
      <c r="W105" s="53">
        <f t="shared" si="42"/>
        <v>1.0993168059046364E-2</v>
      </c>
      <c r="X105" s="52">
        <f t="shared" si="42"/>
        <v>3.9019288842800127E-3</v>
      </c>
      <c r="Y105" s="53">
        <f t="shared" si="42"/>
        <v>5.7370076177449027E-3</v>
      </c>
      <c r="Z105" s="52">
        <f t="shared" si="42"/>
        <v>2.8723276680401272E-2</v>
      </c>
    </row>
    <row r="106" spans="13:27" ht="16">
      <c r="N106" s="4" t="s">
        <v>73</v>
      </c>
      <c r="O106" s="52">
        <f t="shared" ref="O106:Z106" si="43">O96/$AA$100</f>
        <v>1.1124058277926892E-2</v>
      </c>
      <c r="P106" s="53">
        <f t="shared" si="43"/>
        <v>4.1459067576052385E-3</v>
      </c>
      <c r="Q106" s="52">
        <f t="shared" si="43"/>
        <v>5.8765900432490217E-3</v>
      </c>
      <c r="R106" s="53">
        <f t="shared" si="43"/>
        <v>3.0394226623905042E-2</v>
      </c>
      <c r="S106" s="52">
        <f t="shared" si="43"/>
        <v>9.5766853559192157E-3</v>
      </c>
      <c r="T106" s="53">
        <f t="shared" si="43"/>
        <v>3.9949185911682178E-3</v>
      </c>
      <c r="U106" s="52">
        <f t="shared" si="43"/>
        <v>4.8154646758020005E-3</v>
      </c>
      <c r="V106" s="53">
        <f t="shared" si="43"/>
        <v>3.456741107394419E-2</v>
      </c>
      <c r="W106" s="52">
        <f t="shared" si="43"/>
        <v>8.0535118218502989E-3</v>
      </c>
      <c r="X106" s="53">
        <f t="shared" si="43"/>
        <v>3.9349450345155784E-3</v>
      </c>
      <c r="Y106" s="52">
        <f t="shared" si="43"/>
        <v>4.3139501544388033E-3</v>
      </c>
      <c r="Z106" s="53">
        <f t="shared" si="43"/>
        <v>3.1763511623717808E-2</v>
      </c>
    </row>
    <row r="107" spans="13:27" ht="16">
      <c r="N107" s="3" t="s">
        <v>86</v>
      </c>
      <c r="O107" s="53">
        <f t="shared" ref="O107:Z107" si="44">O97/$AA$100</f>
        <v>7.1329119442903044E-3</v>
      </c>
      <c r="P107" s="52">
        <f t="shared" si="44"/>
        <v>4.7085425271814066E-3</v>
      </c>
      <c r="Q107" s="53">
        <f t="shared" si="44"/>
        <v>4.6188179582981733E-3</v>
      </c>
      <c r="R107" s="52">
        <f t="shared" si="44"/>
        <v>3.2545703457835418E-2</v>
      </c>
      <c r="S107" s="52">
        <f t="shared" si="44"/>
        <v>2.8425383994241899E-2</v>
      </c>
      <c r="T107" s="52">
        <f t="shared" si="44"/>
        <v>2.8425383994241899E-2</v>
      </c>
      <c r="U107" s="52">
        <f t="shared" si="44"/>
        <v>1.3612155715552458E-2</v>
      </c>
      <c r="V107" s="52">
        <f t="shared" si="44"/>
        <v>1.3612155715552458E-2</v>
      </c>
      <c r="W107" s="52">
        <f t="shared" si="44"/>
        <v>1.8683350982130826E-2</v>
      </c>
      <c r="X107" s="52">
        <f t="shared" si="44"/>
        <v>1.8683350982130826E-2</v>
      </c>
      <c r="Y107" s="52">
        <f t="shared" si="44"/>
        <v>3.8167417006352969E-2</v>
      </c>
      <c r="Z107" s="52">
        <f t="shared" si="44"/>
        <v>3.8167417006352969E-2</v>
      </c>
    </row>
    <row r="108" spans="13:27" ht="16">
      <c r="N108" s="4" t="s">
        <v>91</v>
      </c>
      <c r="O108" s="41"/>
      <c r="P108" s="42"/>
      <c r="Q108" s="41"/>
      <c r="R108" s="42"/>
      <c r="S108" s="41"/>
      <c r="T108" s="42"/>
      <c r="U108" s="41"/>
      <c r="V108" s="42"/>
      <c r="W108" s="41"/>
      <c r="X108" s="42"/>
      <c r="Y108" s="41"/>
      <c r="Z108" s="42"/>
    </row>
    <row r="109" spans="13:27" ht="16">
      <c r="N109" s="3" t="s">
        <v>92</v>
      </c>
      <c r="O109" s="42"/>
      <c r="P109" s="41"/>
      <c r="Q109" s="42"/>
      <c r="R109" s="41"/>
      <c r="S109" s="42"/>
      <c r="T109" s="41"/>
      <c r="U109" s="42"/>
      <c r="V109" s="41"/>
      <c r="W109" s="42"/>
      <c r="X109" s="41"/>
      <c r="Y109" s="42"/>
      <c r="Z109" s="41"/>
    </row>
    <row r="111" spans="13:27" ht="16">
      <c r="N111" s="3" t="s">
        <v>435</v>
      </c>
      <c r="O111" s="4">
        <v>1</v>
      </c>
      <c r="P111" s="3">
        <v>2</v>
      </c>
      <c r="Q111" s="4">
        <v>3</v>
      </c>
      <c r="R111" s="3">
        <v>4</v>
      </c>
      <c r="S111" s="4">
        <v>5</v>
      </c>
      <c r="T111" s="3">
        <v>6</v>
      </c>
      <c r="U111" s="4">
        <v>7</v>
      </c>
      <c r="V111" s="3">
        <v>8</v>
      </c>
      <c r="W111" s="4">
        <v>9</v>
      </c>
      <c r="X111" s="3">
        <v>10</v>
      </c>
      <c r="Y111" s="4">
        <v>11</v>
      </c>
      <c r="Z111" s="3">
        <v>12</v>
      </c>
    </row>
    <row r="112" spans="13:27" ht="16">
      <c r="M112" s="1" t="s">
        <v>436</v>
      </c>
      <c r="N112" s="4" t="s">
        <v>4</v>
      </c>
      <c r="O112" s="46">
        <f t="shared" ref="O112:Z112" si="45">O102*1750/O82</f>
        <v>5.6362470592608434</v>
      </c>
      <c r="P112" s="47">
        <f t="shared" si="45"/>
        <v>0.27092476871595339</v>
      </c>
      <c r="Q112" s="54">
        <f t="shared" si="45"/>
        <v>0.11168858670684285</v>
      </c>
      <c r="R112" s="54">
        <f t="shared" si="45"/>
        <v>2.8203060673336396E-2</v>
      </c>
      <c r="S112" s="46">
        <f t="shared" si="45"/>
        <v>7.1788552602403373</v>
      </c>
      <c r="T112" s="47">
        <f t="shared" si="45"/>
        <v>0.55136729000045792</v>
      </c>
      <c r="U112" s="54">
        <f t="shared" si="45"/>
        <v>8.9395786451381548E-2</v>
      </c>
      <c r="V112" s="54">
        <f t="shared" si="45"/>
        <v>2.7466412935529084E-2</v>
      </c>
      <c r="W112" s="46">
        <f t="shared" si="45"/>
        <v>9.0925064889093363</v>
      </c>
      <c r="X112" s="47">
        <f t="shared" si="45"/>
        <v>0.45286425558939059</v>
      </c>
      <c r="Y112" s="54">
        <f t="shared" si="45"/>
        <v>9.4205150796367307E-2</v>
      </c>
      <c r="Z112" s="54">
        <f t="shared" si="45"/>
        <v>2.3237164034461379E-2</v>
      </c>
    </row>
    <row r="113" spans="13:27" ht="16">
      <c r="M113" s="55" t="s">
        <v>437</v>
      </c>
      <c r="N113" s="3" t="s">
        <v>18</v>
      </c>
      <c r="O113" s="47">
        <f t="shared" ref="O113:Z113" si="46">O103*1750/O83</f>
        <v>4.9557152507644657</v>
      </c>
      <c r="P113" s="46">
        <f t="shared" si="46"/>
        <v>0.60735020976775156</v>
      </c>
      <c r="Q113" s="54">
        <f t="shared" si="46"/>
        <v>9.3830990220587288E-2</v>
      </c>
      <c r="R113" s="54">
        <f t="shared" si="46"/>
        <v>2.5769496759614551E-2</v>
      </c>
      <c r="S113" s="47">
        <f t="shared" si="46"/>
        <v>7.8079069461997763</v>
      </c>
      <c r="T113" s="46">
        <f t="shared" si="46"/>
        <v>0.6423142493046583</v>
      </c>
      <c r="U113" s="54">
        <f t="shared" si="46"/>
        <v>0.18668574184589132</v>
      </c>
      <c r="V113" s="54">
        <f t="shared" si="46"/>
        <v>2.5125612472324244E-2</v>
      </c>
      <c r="W113" s="47">
        <f t="shared" si="46"/>
        <v>10.144435489486451</v>
      </c>
      <c r="X113" s="46">
        <f t="shared" si="46"/>
        <v>1.1375763694695813</v>
      </c>
      <c r="Y113" s="47">
        <f t="shared" si="46"/>
        <v>0.467809087638139</v>
      </c>
      <c r="Z113" s="54">
        <f t="shared" si="46"/>
        <v>2.1480043633360455E-2</v>
      </c>
    </row>
    <row r="114" spans="13:27" ht="16">
      <c r="N114" s="4" t="s">
        <v>38</v>
      </c>
      <c r="O114" s="46">
        <f t="shared" ref="O114:Z114" si="47">O104*1750/O84</f>
        <v>6.7449914352498315</v>
      </c>
      <c r="P114" s="47">
        <f t="shared" si="47"/>
        <v>10.708943227062768</v>
      </c>
      <c r="Q114" s="46">
        <f t="shared" si="47"/>
        <v>0.56369325435978967</v>
      </c>
      <c r="R114" s="54">
        <f t="shared" si="47"/>
        <v>2.3839328944676365E-2</v>
      </c>
      <c r="S114" s="46">
        <f t="shared" si="47"/>
        <v>4.5136200825480692</v>
      </c>
      <c r="T114" s="47">
        <f t="shared" si="47"/>
        <v>3.1493721961659005</v>
      </c>
      <c r="U114" s="46">
        <f t="shared" si="47"/>
        <v>23.719462658862845</v>
      </c>
      <c r="V114" s="54">
        <f t="shared" si="47"/>
        <v>0.17848315236577658</v>
      </c>
      <c r="W114" s="46">
        <f t="shared" si="47"/>
        <v>3.6800924969744142</v>
      </c>
      <c r="X114" s="47">
        <f t="shared" si="47"/>
        <v>34.745848880295661</v>
      </c>
      <c r="Y114" s="46">
        <f t="shared" si="47"/>
        <v>3.9893601400408398</v>
      </c>
      <c r="Z114" s="47">
        <f t="shared" si="47"/>
        <v>1.1861464679312246</v>
      </c>
    </row>
    <row r="115" spans="13:27" ht="16">
      <c r="N115" s="3" t="s">
        <v>59</v>
      </c>
      <c r="O115" s="47">
        <f t="shared" ref="O115:Z115" si="48">O105*1750/O85</f>
        <v>1.8018200423961752</v>
      </c>
      <c r="P115" s="46">
        <f t="shared" si="48"/>
        <v>0.99221693602184724</v>
      </c>
      <c r="Q115" s="47">
        <f t="shared" si="48"/>
        <v>2.1212822950677102</v>
      </c>
      <c r="R115" s="46">
        <f t="shared" si="48"/>
        <v>4.4207575769731502</v>
      </c>
      <c r="S115" s="47">
        <f t="shared" si="48"/>
        <v>2.2311847853162119</v>
      </c>
      <c r="T115" s="46">
        <f t="shared" si="48"/>
        <v>0.6835685151437958</v>
      </c>
      <c r="U115" s="47">
        <f t="shared" si="48"/>
        <v>1.5853147414188964</v>
      </c>
      <c r="V115" s="46">
        <f t="shared" si="48"/>
        <v>4.1120507938970876</v>
      </c>
      <c r="W115" s="47">
        <f t="shared" si="48"/>
        <v>2.2917647804589256</v>
      </c>
      <c r="X115" s="46">
        <f t="shared" si="48"/>
        <v>0.60118546098054138</v>
      </c>
      <c r="Y115" s="47">
        <f t="shared" si="48"/>
        <v>1.2013056207362505</v>
      </c>
      <c r="Z115" s="46">
        <f t="shared" si="48"/>
        <v>4.3409828044284211</v>
      </c>
    </row>
    <row r="116" spans="13:27" ht="16">
      <c r="N116" s="4" t="s">
        <v>73</v>
      </c>
      <c r="O116" s="46">
        <f t="shared" ref="O116:Z116" si="49">O106*1750/O86</f>
        <v>2.5155182986734843</v>
      </c>
      <c r="P116" s="47">
        <f t="shared" si="49"/>
        <v>0.74831542761266046</v>
      </c>
      <c r="Q116" s="46">
        <f t="shared" si="49"/>
        <v>1.2754209735049076</v>
      </c>
      <c r="R116" s="47">
        <f t="shared" si="49"/>
        <v>4.511718160706117</v>
      </c>
      <c r="S116" s="46">
        <f t="shared" si="49"/>
        <v>2.1128866332536487</v>
      </c>
      <c r="T116" s="47">
        <f t="shared" si="49"/>
        <v>0.86703392973174109</v>
      </c>
      <c r="U116" s="46">
        <f t="shared" si="49"/>
        <v>1.3056091140690387</v>
      </c>
      <c r="V116" s="47">
        <f t="shared" si="49"/>
        <v>6.1355227666336818</v>
      </c>
      <c r="W116" s="46">
        <f t="shared" si="49"/>
        <v>2.3974516606308196</v>
      </c>
      <c r="X116" s="47">
        <f t="shared" si="49"/>
        <v>0.58001595223077917</v>
      </c>
      <c r="Y116" s="46">
        <f t="shared" si="49"/>
        <v>1.7556092468383788</v>
      </c>
      <c r="Z116" s="47">
        <f t="shared" si="49"/>
        <v>7.1984465646502986</v>
      </c>
    </row>
    <row r="117" spans="13:27" ht="16">
      <c r="N117" s="3" t="s">
        <v>86</v>
      </c>
      <c r="O117" s="47">
        <f t="shared" ref="O117:Z117" si="50">O107*1750/O87</f>
        <v>1.0705325506343757</v>
      </c>
      <c r="P117" s="46">
        <f t="shared" si="50"/>
        <v>0.85942145847445284</v>
      </c>
      <c r="Q117" s="47">
        <f t="shared" si="50"/>
        <v>1.0409945416726785</v>
      </c>
      <c r="R117" s="46">
        <f t="shared" si="50"/>
        <v>5.8499517344658925</v>
      </c>
      <c r="S117" s="47">
        <f t="shared" si="50"/>
        <v>4.6758540585921997</v>
      </c>
      <c r="T117" s="46">
        <f t="shared" si="50"/>
        <v>5.1840623968346113</v>
      </c>
      <c r="U117" s="47">
        <f t="shared" si="50"/>
        <v>2.203335268713674</v>
      </c>
      <c r="V117" s="46">
        <f t="shared" si="50"/>
        <v>2.2178439001201622</v>
      </c>
      <c r="W117" s="47">
        <f t="shared" si="50"/>
        <v>2.4477347555886286</v>
      </c>
      <c r="X117" s="46">
        <f t="shared" si="50"/>
        <v>2.6296227842270792</v>
      </c>
      <c r="Y117" s="47">
        <f t="shared" si="50"/>
        <v>4.0511253359065256</v>
      </c>
      <c r="Z117" s="46">
        <f t="shared" si="50"/>
        <v>4.5054628834389829</v>
      </c>
    </row>
    <row r="118" spans="13:27" ht="16">
      <c r="N118" s="4" t="s">
        <v>91</v>
      </c>
      <c r="O118" s="41"/>
      <c r="P118" s="42"/>
      <c r="Q118" s="41"/>
      <c r="R118" s="42"/>
      <c r="S118" s="41"/>
      <c r="T118" s="42"/>
      <c r="U118" s="41"/>
      <c r="V118" s="42"/>
      <c r="W118" s="41"/>
      <c r="X118" s="42"/>
      <c r="Y118" s="41"/>
      <c r="Z118" s="42"/>
    </row>
    <row r="119" spans="13:27" ht="16">
      <c r="N119" s="3" t="s">
        <v>92</v>
      </c>
      <c r="O119" s="42"/>
      <c r="P119" s="41"/>
      <c r="Q119" s="42"/>
      <c r="R119" s="41"/>
      <c r="S119" s="42"/>
      <c r="T119" s="41"/>
      <c r="U119" s="42"/>
      <c r="V119" s="41"/>
      <c r="W119" s="42"/>
      <c r="X119" s="41"/>
      <c r="Y119" s="42"/>
      <c r="Z119" s="41"/>
    </row>
    <row r="120" spans="13:27" ht="13">
      <c r="AA120" s="33">
        <f>SUM(O112:Z117)</f>
        <v>237.39973884272248</v>
      </c>
    </row>
    <row r="121" spans="13:27" ht="13">
      <c r="Z121" s="1" t="s">
        <v>438</v>
      </c>
      <c r="AA121" s="33">
        <f>500-AA120</f>
        <v>262.60026115727749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 solution calculations</vt:lpstr>
      <vt:lpstr>Sorting counts and plate layout</vt:lpstr>
      <vt:lpstr>Illumina Prep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Starr</cp:lastModifiedBy>
  <dcterms:modified xsi:type="dcterms:W3CDTF">2020-04-07T00:56:49Z</dcterms:modified>
</cp:coreProperties>
</file>