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tstarr/Documents/dms-ab/protocols/"/>
    </mc:Choice>
  </mc:AlternateContent>
  <xr:revisionPtr revIDLastSave="0" documentId="13_ncr:1_{487B74A9-4C5A-A449-96CF-5341072FCCF2}" xr6:coauthVersionLast="45" xr6:coauthVersionMax="45" xr10:uidLastSave="{00000000-0000-0000-0000-000000000000}"/>
  <bookViews>
    <workbookView xWindow="0" yWindow="2820" windowWidth="27140" windowHeight="13880" xr2:uid="{7670902E-9F11-3640-9CA4-67976C20E39D}"/>
  </bookViews>
  <sheets>
    <sheet name="plate" sheetId="3" r:id="rId1"/>
    <sheet name="volume calcs" sheetId="4" r:id="rId2"/>
    <sheet name="protein dilution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1" l="1"/>
  <c r="C5" i="1"/>
  <c r="C6" i="1"/>
  <c r="C7" i="1"/>
  <c r="C8" i="1"/>
  <c r="C9" i="1"/>
  <c r="C10" i="1"/>
  <c r="C11" i="1"/>
  <c r="C12" i="1"/>
  <c r="E12" i="1"/>
  <c r="E5" i="4"/>
  <c r="F13" i="3" l="1"/>
  <c r="G13" i="3" s="1"/>
  <c r="H13" i="3" s="1"/>
  <c r="I13" i="3" s="1"/>
  <c r="J13" i="3" s="1"/>
  <c r="K13" i="3" s="1"/>
  <c r="L13" i="3" s="1"/>
  <c r="M13" i="3" s="1"/>
  <c r="E13" i="3"/>
  <c r="L1" i="3"/>
  <c r="K1" i="3"/>
  <c r="J1" i="3"/>
  <c r="I1" i="3"/>
  <c r="H1" i="3"/>
  <c r="G1" i="3"/>
  <c r="F1" i="3"/>
  <c r="E1" i="3"/>
  <c r="E10" i="1"/>
  <c r="E8" i="1"/>
  <c r="D14" i="4"/>
  <c r="D13" i="4"/>
  <c r="D12" i="4"/>
  <c r="D11" i="4"/>
  <c r="E11" i="4" s="1"/>
  <c r="F11" i="4" s="1"/>
  <c r="G11" i="4" s="1"/>
  <c r="H11" i="4" s="1"/>
  <c r="I11" i="4" s="1"/>
  <c r="J11" i="4" s="1"/>
  <c r="D10" i="4"/>
  <c r="D9" i="4"/>
  <c r="D8" i="4"/>
  <c r="D7" i="4"/>
  <c r="E7" i="4" s="1"/>
  <c r="F7" i="4" s="1"/>
  <c r="G7" i="4" s="1"/>
  <c r="H7" i="4" s="1"/>
  <c r="I7" i="4" s="1"/>
  <c r="J7" i="4" s="1"/>
  <c r="D6" i="4"/>
  <c r="D5" i="4"/>
  <c r="E10" i="4"/>
  <c r="F10" i="4" s="1"/>
  <c r="G10" i="4" s="1"/>
  <c r="H10" i="4" s="1"/>
  <c r="I10" i="4" s="1"/>
  <c r="J10" i="4" s="1"/>
  <c r="E12" i="4"/>
  <c r="F12" i="4" s="1"/>
  <c r="G12" i="4" s="1"/>
  <c r="H12" i="4" s="1"/>
  <c r="I12" i="4" s="1"/>
  <c r="J12" i="4" s="1"/>
  <c r="E14" i="4"/>
  <c r="F14" i="4" s="1"/>
  <c r="G14" i="4" s="1"/>
  <c r="H14" i="4" s="1"/>
  <c r="I14" i="4" s="1"/>
  <c r="J14" i="4" s="1"/>
  <c r="E6" i="4"/>
  <c r="F6" i="4" s="1"/>
  <c r="G6" i="4" s="1"/>
  <c r="H6" i="4" s="1"/>
  <c r="I6" i="4" s="1"/>
  <c r="J6" i="4" s="1"/>
  <c r="G9" i="1"/>
  <c r="F9" i="1" s="1"/>
  <c r="G11" i="1"/>
  <c r="F11" i="1" s="1"/>
  <c r="G7" i="1"/>
  <c r="F7" i="1" s="1"/>
  <c r="G5" i="1"/>
  <c r="F5" i="1" s="1"/>
  <c r="C16" i="1"/>
  <c r="G6" i="1"/>
  <c r="F6" i="1" s="1"/>
  <c r="G4" i="1"/>
  <c r="F4" i="1" s="1"/>
  <c r="G3" i="1"/>
  <c r="F3" i="1" s="1"/>
  <c r="E11" i="1"/>
  <c r="E9" i="1"/>
  <c r="C20" i="1"/>
  <c r="C19" i="1"/>
  <c r="E13" i="4"/>
  <c r="F13" i="4" s="1"/>
  <c r="G13" i="4" s="1"/>
  <c r="H13" i="4" s="1"/>
  <c r="I13" i="4" s="1"/>
  <c r="J13" i="4" s="1"/>
  <c r="E9" i="4"/>
  <c r="F9" i="4" s="1"/>
  <c r="G9" i="4" s="1"/>
  <c r="H9" i="4" s="1"/>
  <c r="I9" i="4" s="1"/>
  <c r="J9" i="4" s="1"/>
  <c r="E8" i="4"/>
  <c r="F8" i="4" s="1"/>
  <c r="G8" i="4" s="1"/>
  <c r="H8" i="4" s="1"/>
  <c r="I8" i="4" s="1"/>
  <c r="J8" i="4" s="1"/>
  <c r="F5" i="4"/>
  <c r="G5" i="4" s="1"/>
  <c r="H5" i="4" s="1"/>
  <c r="I5" i="4" s="1"/>
  <c r="J5" i="4" s="1"/>
  <c r="G8" i="1" l="1"/>
  <c r="F8" i="1" s="1"/>
  <c r="G12" i="1"/>
  <c r="F12" i="1" s="1"/>
  <c r="G10" i="1"/>
  <c r="F10" i="1" s="1"/>
  <c r="D20" i="1"/>
  <c r="E20" i="1" l="1"/>
  <c r="D19" i="1" s="1"/>
  <c r="E19" i="1" l="1"/>
  <c r="D18" i="1" s="1"/>
  <c r="E18" i="1" s="1"/>
  <c r="F20" i="1"/>
  <c r="F18" i="1" l="1"/>
  <c r="D17" i="1"/>
  <c r="F19" i="1"/>
  <c r="E17" i="1" l="1"/>
  <c r="D16" i="1" s="1"/>
  <c r="E16" i="1" l="1"/>
  <c r="D15" i="1" s="1"/>
  <c r="F17" i="1"/>
  <c r="F16" i="1" l="1"/>
  <c r="C23" i="1" s="1"/>
  <c r="C3" i="1" l="1"/>
  <c r="C15" i="1" l="1"/>
  <c r="C17" i="1" l="1"/>
  <c r="C18" i="1"/>
</calcChain>
</file>

<file path=xl/sharedStrings.xml><?xml version="1.0" encoding="utf-8"?>
<sst xmlns="http://schemas.openxmlformats.org/spreadsheetml/2006/main" count="158" uniqueCount="98">
  <si>
    <t>concentration</t>
  </si>
  <si>
    <t>solution</t>
  </si>
  <si>
    <t>volume buffer (uL)</t>
  </si>
  <si>
    <t>volume buffer (mL)</t>
  </si>
  <si>
    <t>stock1</t>
  </si>
  <si>
    <t>volume stock (uL)</t>
  </si>
  <si>
    <t>which stock</t>
  </si>
  <si>
    <t>stock2</t>
  </si>
  <si>
    <t>stock3</t>
  </si>
  <si>
    <t>-</t>
  </si>
  <si>
    <t>volume stock n-1 (uL)</t>
  </si>
  <si>
    <t>buffer</t>
  </si>
  <si>
    <t>plate #1</t>
  </si>
  <si>
    <t>ligand conc:</t>
  </si>
  <si>
    <t>plate #2</t>
  </si>
  <si>
    <t>50uL
buffer</t>
  </si>
  <si>
    <t>G5.10 (large)</t>
  </si>
  <si>
    <t>G5.9 (large)</t>
  </si>
  <si>
    <t>G5.8 (large)</t>
  </si>
  <si>
    <t>G5.7 (large)</t>
  </si>
  <si>
    <t>G5.6</t>
  </si>
  <si>
    <t>G5.5</t>
  </si>
  <si>
    <t>G5.4</t>
  </si>
  <si>
    <t>G5.3</t>
  </si>
  <si>
    <t>G5.2</t>
  </si>
  <si>
    <t>G5.1</t>
  </si>
  <si>
    <t>G5.10</t>
  </si>
  <si>
    <t>G5.9</t>
  </si>
  <si>
    <t>G5.8</t>
  </si>
  <si>
    <t>G5.7</t>
  </si>
  <si>
    <t>make extra for PE only ctrl</t>
  </si>
  <si>
    <t>* for these, left out 50uL final volume</t>
  </si>
  <si>
    <t>total volume buffer for dilutions:</t>
  </si>
  <si>
    <t>tightest Kd</t>
  </si>
  <si>
    <t># cells</t>
  </si>
  <si>
    <t># scFv/cell</t>
  </si>
  <si>
    <t>fraction cells scFv+</t>
  </si>
  <si>
    <t>ratio [scFv]/
[scFv*gp120]</t>
  </si>
  <si>
    <t>molecules gp120
bound by scFv</t>
  </si>
  <si>
    <t>fraction scFv
bound</t>
  </si>
  <si>
    <t># molecules gp120
to avoid depletion</t>
  </si>
  <si>
    <t>moles gp120
to avoid depletion</t>
  </si>
  <si>
    <t>minimum
volume (mL)</t>
  </si>
  <si>
    <t>Volume to use (mL)</t>
  </si>
  <si>
    <t>stock4</t>
  </si>
  <si>
    <t>volume solution</t>
  </si>
  <si>
    <t>rxn volume (mL)</t>
  </si>
  <si>
    <t>stock5</t>
  </si>
  <si>
    <t>stock0</t>
  </si>
  <si>
    <t>*only do for plate 2 titrations</t>
  </si>
  <si>
    <t>G10 (large)</t>
  </si>
  <si>
    <t>G9 (large)</t>
  </si>
  <si>
    <t>G8 (large)</t>
  </si>
  <si>
    <t>G7 (large)</t>
  </si>
  <si>
    <t>G6 (large)</t>
  </si>
  <si>
    <t>10mL G5.10</t>
  </si>
  <si>
    <t>50uL G5.2</t>
  </si>
  <si>
    <t>50 uL G5.3</t>
  </si>
  <si>
    <t>50uL G5.4</t>
  </si>
  <si>
    <t>100uL G5.5</t>
  </si>
  <si>
    <t>0.6mL G5.6</t>
  </si>
  <si>
    <t>2mL G5.7</t>
  </si>
  <si>
    <t>10mL G5.8</t>
  </si>
  <si>
    <t>10mL G5.9</t>
  </si>
  <si>
    <t>G5</t>
  </si>
  <si>
    <t>G4</t>
  </si>
  <si>
    <t>G3</t>
  </si>
  <si>
    <t>G2</t>
  </si>
  <si>
    <t>G1</t>
  </si>
  <si>
    <t>"…</t>
  </si>
  <si>
    <t>50uL G5.1</t>
  </si>
  <si>
    <t>induction number</t>
  </si>
  <si>
    <t>unstained</t>
  </si>
  <si>
    <t>Myc-FITC only</t>
  </si>
  <si>
    <t>Myc-FITC
only</t>
  </si>
  <si>
    <t>G5.3/
SA-PE only</t>
  </si>
  <si>
    <t>make 15 times*</t>
  </si>
  <si>
    <t>45_01dG5 (15 titrations, plus one row of controls). Make 16x volume of each stock, for larger ones make exactly 1x volume, 15 times, leaving out 50uL of the final volume which will come from the addition of cells</t>
  </si>
  <si>
    <t>protein stock</t>
  </si>
  <si>
    <t>concentraion (M)</t>
  </si>
  <si>
    <t>total volume needed (uL)</t>
  </si>
  <si>
    <t>1 (ctrls)</t>
  </si>
  <si>
    <t>1A</t>
  </si>
  <si>
    <t>1B</t>
  </si>
  <si>
    <t>1C</t>
  </si>
  <si>
    <t>1D</t>
  </si>
  <si>
    <t>1E</t>
  </si>
  <si>
    <t>1F</t>
  </si>
  <si>
    <t>1G</t>
  </si>
  <si>
    <t>1H</t>
  </si>
  <si>
    <t>2A</t>
  </si>
  <si>
    <t>2B</t>
  </si>
  <si>
    <t>2C</t>
  </si>
  <si>
    <t>2D</t>
  </si>
  <si>
    <t>2E</t>
  </si>
  <si>
    <t>2F</t>
  </si>
  <si>
    <t>2G</t>
  </si>
  <si>
    <t>2H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</si>
</sst>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2"/>
      <color theme="1"/>
      <name val="Calibri"/>
      <family val="2"/>
      <scheme val="minor"/>
    </font>
    <font>
      <sz val="12"/>
      <color rgb="FF000000"/>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14999847407452621"/>
        <bgColor theme="0" tint="-0.14999847407452621"/>
      </patternFill>
    </fill>
  </fills>
  <borders count="4">
    <border>
      <left/>
      <right/>
      <top/>
      <bottom/>
      <diagonal/>
    </border>
    <border>
      <left style="thin">
        <color auto="1"/>
      </left>
      <right style="thin">
        <color auto="1"/>
      </right>
      <top style="thin">
        <color auto="1"/>
      </top>
      <bottom style="thin">
        <color auto="1"/>
      </bottom>
      <diagonal/>
    </border>
    <border>
      <left/>
      <right/>
      <top style="thin">
        <color theme="1"/>
      </top>
      <bottom style="thin">
        <color theme="1"/>
      </bottom>
      <diagonal/>
    </border>
    <border>
      <left/>
      <right/>
      <top/>
      <bottom style="thin">
        <color theme="1"/>
      </bottom>
      <diagonal/>
    </border>
  </borders>
  <cellStyleXfs count="1">
    <xf numFmtId="0" fontId="0" fillId="0" borderId="0"/>
  </cellStyleXfs>
  <cellXfs count="29">
    <xf numFmtId="0" fontId="0" fillId="0" borderId="0" xfId="0"/>
    <xf numFmtId="0" fontId="1" fillId="0" borderId="0" xfId="0" applyFont="1"/>
    <xf numFmtId="164" fontId="0" fillId="0" borderId="0" xfId="0" applyNumberFormat="1"/>
    <xf numFmtId="2" fontId="0" fillId="0" borderId="0" xfId="0" applyNumberFormat="1"/>
    <xf numFmtId="0" fontId="0" fillId="0" borderId="0" xfId="0" applyFont="1"/>
    <xf numFmtId="164" fontId="0" fillId="0" borderId="0" xfId="0" applyNumberFormat="1" applyFont="1"/>
    <xf numFmtId="2" fontId="0" fillId="0" borderId="0" xfId="0" applyNumberFormat="1" applyFont="1"/>
    <xf numFmtId="0" fontId="0" fillId="0" borderId="0" xfId="0" applyAlignment="1">
      <alignment horizontal="center" vertical="center"/>
    </xf>
    <xf numFmtId="0" fontId="0" fillId="2" borderId="0" xfId="0" applyFill="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xf numFmtId="0" fontId="0" fillId="0" borderId="0" xfId="0" applyAlignment="1">
      <alignment wrapText="1"/>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2" xfId="0" applyFont="1" applyBorder="1"/>
    <xf numFmtId="0" fontId="0" fillId="4" borderId="0" xfId="0" applyFont="1" applyFill="1"/>
    <xf numFmtId="0" fontId="0" fillId="0" borderId="3" xfId="0" applyFont="1" applyBorder="1"/>
    <xf numFmtId="0" fontId="1" fillId="4" borderId="0" xfId="0" applyFont="1" applyFill="1"/>
    <xf numFmtId="0" fontId="1" fillId="0" borderId="3" xfId="0" applyFont="1" applyBorder="1"/>
    <xf numFmtId="0" fontId="0" fillId="0" borderId="0" xfId="0" applyNumberFormat="1"/>
    <xf numFmtId="0" fontId="1" fillId="0" borderId="0" xfId="0" applyNumberFormat="1" applyFont="1"/>
    <xf numFmtId="0" fontId="4" fillId="0" borderId="2" xfId="0" applyFont="1" applyBorder="1" applyAlignment="1">
      <alignment wrapText="1"/>
    </xf>
    <xf numFmtId="11" fontId="0" fillId="4" borderId="0" xfId="0" applyNumberFormat="1" applyFont="1" applyFill="1"/>
    <xf numFmtId="11" fontId="0" fillId="0" borderId="0" xfId="0" applyNumberFormat="1" applyFont="1"/>
    <xf numFmtId="11" fontId="0" fillId="0" borderId="3" xfId="0" applyNumberFormat="1" applyFont="1" applyBorder="1"/>
    <xf numFmtId="164" fontId="0" fillId="4" borderId="0" xfId="0" applyNumberFormat="1" applyFont="1" applyFill="1"/>
    <xf numFmtId="0" fontId="4" fillId="0" borderId="0" xfId="0" applyFont="1" applyFill="1" applyBorder="1" applyAlignment="1">
      <alignment wrapText="1"/>
    </xf>
  </cellXfs>
  <cellStyles count="1">
    <cellStyle name="Normal" xfId="0" builtinId="0"/>
  </cellStyles>
  <dxfs count="5">
    <dxf>
      <numFmt numFmtId="2" formatCode="0.00"/>
    </dxf>
    <dxf>
      <numFmt numFmtId="164" formatCode="0.000"/>
    </dxf>
    <dxf>
      <numFmt numFmtId="0" formatCode="General"/>
    </dxf>
    <dxf>
      <numFmt numFmtId="164" formatCode="0.000"/>
    </dxf>
    <dxf>
      <font>
        <b val="0"/>
        <i val="0"/>
        <strike val="0"/>
        <condense val="0"/>
        <extend val="0"/>
        <outline val="0"/>
        <shadow val="0"/>
        <u val="none"/>
        <vertAlign val="baseline"/>
        <sz val="12"/>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7B4BB7-F17A-314E-8964-1AB8C342F528}" name="Table32" displayName="Table32" ref="B2:H12" totalsRowShown="0">
  <autoFilter ref="B2:H12" xr:uid="{5DC2BCF4-0526-4E4F-BAB7-39020EF0C484}"/>
  <tableColumns count="7">
    <tableColumn id="1" xr3:uid="{CD635894-D15E-0440-8BB0-94DD70046A87}" name="solution" dataDxfId="4"/>
    <tableColumn id="2" xr3:uid="{34C2724E-C2DD-1848-8E07-38F265658D54}" name="concentration"/>
    <tableColumn id="3" xr3:uid="{04F7F6A8-8940-224B-A87B-04728548587F}" name="rxn volume (mL)" dataDxfId="3"/>
    <tableColumn id="7" xr3:uid="{78EC9A5D-CEA8-0C47-A176-444034701D56}" name="volume solution" dataDxfId="2">
      <calculatedColumnFormula>Table32[[#This Row],[rxn volume (mL)]]</calculatedColumnFormula>
    </tableColumn>
    <tableColumn id="4" xr3:uid="{00B1A851-0E42-2E4B-BB2C-0B319C7ADE55}" name="volume buffer (mL)" dataDxfId="1">
      <calculatedColumnFormula>(D3*1000-G3)/1000</calculatedColumnFormula>
    </tableColumn>
    <tableColumn id="5" xr3:uid="{ED58B924-FE00-1D40-8BBA-0B4330625A53}" name="volume stock (uL)" dataDxfId="0"/>
    <tableColumn id="6" xr3:uid="{C5D44511-811D-B34D-9039-F674A3A6CE52}" name="which stock"/>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113D-C6EC-B54A-B0DF-61E1F761AA9C}">
  <sheetPr>
    <pageSetUpPr fitToPage="1"/>
  </sheetPr>
  <dimension ref="A1:N35"/>
  <sheetViews>
    <sheetView tabSelected="1" topLeftCell="A7" zoomScale="90" workbookViewId="0">
      <selection activeCell="B23" sqref="B23"/>
    </sheetView>
  </sheetViews>
  <sheetFormatPr baseColWidth="10" defaultRowHeight="16" x14ac:dyDescent="0.2"/>
  <cols>
    <col min="1" max="1" width="12.1640625" customWidth="1"/>
  </cols>
  <sheetData>
    <row r="1" spans="1:14" x14ac:dyDescent="0.2">
      <c r="B1" s="7" t="s">
        <v>13</v>
      </c>
      <c r="C1" s="7">
        <v>0</v>
      </c>
      <c r="D1" s="7">
        <v>-13</v>
      </c>
      <c r="E1" s="7">
        <f t="shared" ref="E1:L1" si="0">D1+7.5/9</f>
        <v>-12.166666666666666</v>
      </c>
      <c r="F1" s="7">
        <f t="shared" si="0"/>
        <v>-11.333333333333332</v>
      </c>
      <c r="G1" s="7">
        <f t="shared" si="0"/>
        <v>-10.499999999999998</v>
      </c>
      <c r="H1" s="7">
        <f t="shared" si="0"/>
        <v>-9.6666666666666643</v>
      </c>
      <c r="I1" s="7">
        <f t="shared" si="0"/>
        <v>-8.8333333333333304</v>
      </c>
      <c r="J1" s="7">
        <f t="shared" si="0"/>
        <v>-7.9999999999999973</v>
      </c>
      <c r="K1" s="7">
        <f t="shared" si="0"/>
        <v>-7.1666666666666643</v>
      </c>
      <c r="L1" s="7">
        <f t="shared" si="0"/>
        <v>-6.3333333333333313</v>
      </c>
      <c r="M1" s="7">
        <v>0</v>
      </c>
      <c r="N1" s="7">
        <v>0</v>
      </c>
    </row>
    <row r="2" spans="1:14" ht="20" customHeight="1" x14ac:dyDescent="0.2">
      <c r="B2" s="7" t="s">
        <v>1</v>
      </c>
      <c r="C2" s="7" t="s">
        <v>11</v>
      </c>
      <c r="D2" s="7" t="s">
        <v>50</v>
      </c>
      <c r="E2" s="7" t="s">
        <v>51</v>
      </c>
      <c r="F2" s="7" t="s">
        <v>52</v>
      </c>
      <c r="G2" s="7" t="s">
        <v>53</v>
      </c>
      <c r="H2" s="7" t="s">
        <v>54</v>
      </c>
      <c r="I2" s="7" t="s">
        <v>64</v>
      </c>
      <c r="J2" s="7" t="s">
        <v>65</v>
      </c>
      <c r="K2" s="7" t="s">
        <v>66</v>
      </c>
      <c r="L2" s="13" t="s">
        <v>67</v>
      </c>
      <c r="M2" s="7" t="s">
        <v>68</v>
      </c>
      <c r="N2" s="7" t="s">
        <v>11</v>
      </c>
    </row>
    <row r="3" spans="1:14" ht="29" customHeight="1" x14ac:dyDescent="0.2">
      <c r="A3" t="s">
        <v>71</v>
      </c>
      <c r="B3" s="7" t="s">
        <v>12</v>
      </c>
      <c r="C3" s="8">
        <v>1</v>
      </c>
      <c r="D3" s="7">
        <v>2</v>
      </c>
      <c r="E3" s="8">
        <v>3</v>
      </c>
      <c r="F3" s="7">
        <v>4</v>
      </c>
      <c r="G3" s="8">
        <v>5</v>
      </c>
      <c r="H3" s="7">
        <v>6</v>
      </c>
      <c r="I3" s="8">
        <v>7</v>
      </c>
      <c r="J3" s="7">
        <v>8</v>
      </c>
      <c r="K3" s="8">
        <v>9</v>
      </c>
      <c r="L3" s="7">
        <v>10</v>
      </c>
      <c r="M3" s="8">
        <v>11</v>
      </c>
      <c r="N3" s="7">
        <v>12</v>
      </c>
    </row>
    <row r="4" spans="1:14" ht="29" customHeight="1" x14ac:dyDescent="0.2">
      <c r="A4" s="12">
        <v>1</v>
      </c>
      <c r="B4" s="8" t="s">
        <v>82</v>
      </c>
      <c r="C4" s="9" t="s">
        <v>15</v>
      </c>
      <c r="D4" s="10" t="s">
        <v>55</v>
      </c>
      <c r="E4" s="9" t="s">
        <v>63</v>
      </c>
      <c r="F4" s="10" t="s">
        <v>62</v>
      </c>
      <c r="G4" s="9" t="s">
        <v>61</v>
      </c>
      <c r="H4" s="10" t="s">
        <v>60</v>
      </c>
      <c r="I4" s="9" t="s">
        <v>59</v>
      </c>
      <c r="J4" s="10" t="s">
        <v>58</v>
      </c>
      <c r="K4" s="9" t="s">
        <v>57</v>
      </c>
      <c r="L4" s="10" t="s">
        <v>56</v>
      </c>
      <c r="M4" s="9" t="s">
        <v>70</v>
      </c>
      <c r="N4" s="10" t="s">
        <v>15</v>
      </c>
    </row>
    <row r="5" spans="1:14" ht="29" customHeight="1" x14ac:dyDescent="0.2">
      <c r="A5">
        <v>2</v>
      </c>
      <c r="B5" s="7" t="s">
        <v>83</v>
      </c>
      <c r="C5" s="10" t="s">
        <v>69</v>
      </c>
      <c r="D5" s="9"/>
      <c r="E5" s="10"/>
      <c r="F5" s="9"/>
      <c r="G5" s="10"/>
      <c r="H5" s="9"/>
      <c r="I5" s="10"/>
      <c r="J5" s="9"/>
      <c r="K5" s="10"/>
      <c r="L5" s="9"/>
      <c r="M5" s="10"/>
      <c r="N5" s="9"/>
    </row>
    <row r="6" spans="1:14" ht="29" customHeight="1" x14ac:dyDescent="0.2">
      <c r="A6">
        <v>3</v>
      </c>
      <c r="B6" s="8" t="s">
        <v>84</v>
      </c>
      <c r="C6" s="9"/>
      <c r="D6" s="10"/>
      <c r="E6" s="9"/>
      <c r="F6" s="10"/>
      <c r="G6" s="9"/>
      <c r="H6" s="10"/>
      <c r="I6" s="9"/>
      <c r="J6" s="10"/>
      <c r="K6" s="9"/>
      <c r="L6" s="10"/>
      <c r="M6" s="9"/>
      <c r="N6" s="10"/>
    </row>
    <row r="7" spans="1:14" ht="29" customHeight="1" x14ac:dyDescent="0.2">
      <c r="A7">
        <v>4</v>
      </c>
      <c r="B7" s="7" t="s">
        <v>85</v>
      </c>
      <c r="C7" s="10"/>
      <c r="D7" s="14"/>
      <c r="E7" s="15"/>
      <c r="F7" s="14"/>
      <c r="G7" s="15"/>
      <c r="H7" s="14"/>
      <c r="I7" s="15"/>
      <c r="J7" s="14"/>
      <c r="K7" s="15"/>
      <c r="L7" s="14"/>
      <c r="M7" s="15"/>
      <c r="N7" s="9"/>
    </row>
    <row r="8" spans="1:14" ht="29" customHeight="1" x14ac:dyDescent="0.2">
      <c r="A8">
        <v>5</v>
      </c>
      <c r="B8" s="8" t="s">
        <v>86</v>
      </c>
      <c r="C8" s="9"/>
      <c r="D8" s="10"/>
      <c r="E8" s="14"/>
      <c r="F8" s="15"/>
      <c r="G8" s="14"/>
      <c r="H8" s="15"/>
      <c r="I8" s="14"/>
      <c r="J8" s="15"/>
      <c r="K8" s="14"/>
      <c r="L8" s="15"/>
      <c r="M8" s="14"/>
      <c r="N8" s="10"/>
    </row>
    <row r="9" spans="1:14" ht="29" customHeight="1" x14ac:dyDescent="0.2">
      <c r="A9">
        <v>6</v>
      </c>
      <c r="B9" s="7" t="s">
        <v>87</v>
      </c>
      <c r="C9" s="10"/>
      <c r="D9" s="14"/>
      <c r="E9" s="15"/>
      <c r="F9" s="14"/>
      <c r="G9" s="15"/>
      <c r="H9" s="14"/>
      <c r="I9" s="15"/>
      <c r="J9" s="14"/>
      <c r="K9" s="15"/>
      <c r="L9" s="14"/>
      <c r="M9" s="15"/>
      <c r="N9" s="9"/>
    </row>
    <row r="10" spans="1:14" ht="29" customHeight="1" x14ac:dyDescent="0.2">
      <c r="A10">
        <v>7</v>
      </c>
      <c r="B10" s="8" t="s">
        <v>88</v>
      </c>
      <c r="C10" s="9"/>
      <c r="D10" s="10"/>
      <c r="E10" s="14"/>
      <c r="F10" s="15"/>
      <c r="G10" s="14"/>
      <c r="H10" s="15"/>
      <c r="I10" s="14"/>
      <c r="J10" s="15"/>
      <c r="K10" s="14"/>
      <c r="L10" s="15"/>
      <c r="M10" s="14"/>
      <c r="N10" s="10"/>
    </row>
    <row r="11" spans="1:14" ht="29" customHeight="1" x14ac:dyDescent="0.2">
      <c r="A11" s="12" t="s">
        <v>81</v>
      </c>
      <c r="B11" s="7" t="s">
        <v>89</v>
      </c>
      <c r="C11" s="10" t="s">
        <v>72</v>
      </c>
      <c r="D11" s="9" t="s">
        <v>72</v>
      </c>
      <c r="E11" s="10" t="s">
        <v>72</v>
      </c>
      <c r="F11" s="9" t="s">
        <v>72</v>
      </c>
      <c r="G11" s="10" t="s">
        <v>73</v>
      </c>
      <c r="H11" s="9" t="s">
        <v>74</v>
      </c>
      <c r="I11" s="10" t="s">
        <v>73</v>
      </c>
      <c r="J11" s="9" t="s">
        <v>74</v>
      </c>
      <c r="K11" s="10" t="s">
        <v>75</v>
      </c>
      <c r="L11" s="9" t="s">
        <v>75</v>
      </c>
      <c r="M11" s="10" t="s">
        <v>75</v>
      </c>
      <c r="N11" s="9" t="s">
        <v>75</v>
      </c>
    </row>
    <row r="12" spans="1:14" x14ac:dyDescent="0.2">
      <c r="C12" s="11"/>
      <c r="D12" s="11"/>
      <c r="E12" s="11"/>
      <c r="F12" s="11"/>
      <c r="G12" s="11"/>
      <c r="H12" s="11"/>
      <c r="I12" s="11"/>
      <c r="J12" s="11"/>
      <c r="K12" s="11"/>
      <c r="L12" s="11"/>
      <c r="M12" s="11"/>
      <c r="N12" s="11"/>
    </row>
    <row r="13" spans="1:14" x14ac:dyDescent="0.2">
      <c r="B13" s="7" t="s">
        <v>13</v>
      </c>
      <c r="C13" s="7">
        <v>0</v>
      </c>
      <c r="D13" s="7">
        <v>-13</v>
      </c>
      <c r="E13" s="7">
        <f t="shared" ref="E13:M13" si="1">D13+7.5/9</f>
        <v>-12.166666666666666</v>
      </c>
      <c r="F13" s="7">
        <f t="shared" si="1"/>
        <v>-11.333333333333332</v>
      </c>
      <c r="G13" s="7">
        <f t="shared" si="1"/>
        <v>-10.499999999999998</v>
      </c>
      <c r="H13" s="7">
        <f t="shared" si="1"/>
        <v>-9.6666666666666643</v>
      </c>
      <c r="I13" s="7">
        <f t="shared" si="1"/>
        <v>-8.8333333333333304</v>
      </c>
      <c r="J13" s="7">
        <f t="shared" si="1"/>
        <v>-7.9999999999999973</v>
      </c>
      <c r="K13" s="7">
        <f t="shared" si="1"/>
        <v>-7.1666666666666643</v>
      </c>
      <c r="L13" s="7">
        <f t="shared" si="1"/>
        <v>-6.3333333333333313</v>
      </c>
      <c r="M13" s="7">
        <f t="shared" si="1"/>
        <v>-5.4999999999999982</v>
      </c>
      <c r="N13" s="7">
        <v>0</v>
      </c>
    </row>
    <row r="14" spans="1:14" ht="17" x14ac:dyDescent="0.2">
      <c r="B14" s="7" t="s">
        <v>1</v>
      </c>
      <c r="C14" s="7" t="s">
        <v>11</v>
      </c>
      <c r="D14" s="7" t="s">
        <v>16</v>
      </c>
      <c r="E14" s="7" t="s">
        <v>17</v>
      </c>
      <c r="F14" s="7" t="s">
        <v>18</v>
      </c>
      <c r="G14" s="7" t="s">
        <v>19</v>
      </c>
      <c r="H14" s="7" t="s">
        <v>20</v>
      </c>
      <c r="I14" s="7" t="s">
        <v>21</v>
      </c>
      <c r="J14" s="7" t="s">
        <v>22</v>
      </c>
      <c r="K14" s="7" t="s">
        <v>23</v>
      </c>
      <c r="L14" s="13" t="s">
        <v>24</v>
      </c>
      <c r="M14" s="7" t="s">
        <v>25</v>
      </c>
      <c r="N14" s="7" t="s">
        <v>11</v>
      </c>
    </row>
    <row r="15" spans="1:14" ht="29" customHeight="1" x14ac:dyDescent="0.2">
      <c r="B15" s="7" t="s">
        <v>14</v>
      </c>
      <c r="C15" s="8">
        <v>1</v>
      </c>
      <c r="D15" s="7">
        <v>2</v>
      </c>
      <c r="E15" s="8">
        <v>3</v>
      </c>
      <c r="F15" s="7">
        <v>4</v>
      </c>
      <c r="G15" s="8">
        <v>5</v>
      </c>
      <c r="H15" s="7">
        <v>6</v>
      </c>
      <c r="I15" s="8">
        <v>7</v>
      </c>
      <c r="J15" s="7">
        <v>8</v>
      </c>
      <c r="K15" s="8">
        <v>9</v>
      </c>
      <c r="L15" s="7">
        <v>10</v>
      </c>
      <c r="M15" s="8">
        <v>11</v>
      </c>
      <c r="N15" s="7">
        <v>12</v>
      </c>
    </row>
    <row r="16" spans="1:14" ht="29" customHeight="1" x14ac:dyDescent="0.2">
      <c r="A16" s="12">
        <v>8</v>
      </c>
      <c r="B16" s="8" t="s">
        <v>90</v>
      </c>
      <c r="C16" s="9" t="s">
        <v>15</v>
      </c>
      <c r="D16" s="10" t="s">
        <v>55</v>
      </c>
      <c r="E16" s="9" t="s">
        <v>63</v>
      </c>
      <c r="F16" s="10" t="s">
        <v>62</v>
      </c>
      <c r="G16" s="9" t="s">
        <v>61</v>
      </c>
      <c r="H16" s="10" t="s">
        <v>60</v>
      </c>
      <c r="I16" s="9" t="s">
        <v>59</v>
      </c>
      <c r="J16" s="10" t="s">
        <v>58</v>
      </c>
      <c r="K16" s="9" t="s">
        <v>57</v>
      </c>
      <c r="L16" s="10" t="s">
        <v>56</v>
      </c>
      <c r="M16" s="9" t="s">
        <v>70</v>
      </c>
      <c r="N16" s="10" t="s">
        <v>15</v>
      </c>
    </row>
    <row r="17" spans="1:14" ht="29" customHeight="1" x14ac:dyDescent="0.2">
      <c r="A17">
        <v>9</v>
      </c>
      <c r="B17" s="7" t="s">
        <v>91</v>
      </c>
      <c r="C17" s="10" t="s">
        <v>69</v>
      </c>
      <c r="D17" s="14"/>
      <c r="E17" s="15"/>
      <c r="F17" s="14"/>
      <c r="G17" s="15"/>
      <c r="H17" s="14"/>
      <c r="I17" s="15"/>
      <c r="J17" s="14"/>
      <c r="K17" s="15"/>
      <c r="L17" s="14"/>
      <c r="M17" s="15"/>
      <c r="N17" s="9"/>
    </row>
    <row r="18" spans="1:14" ht="29" customHeight="1" x14ac:dyDescent="0.2">
      <c r="A18">
        <v>10</v>
      </c>
      <c r="B18" s="8" t="s">
        <v>92</v>
      </c>
      <c r="C18" s="9"/>
      <c r="D18" s="10"/>
      <c r="E18" s="14"/>
      <c r="F18" s="15"/>
      <c r="G18" s="14"/>
      <c r="H18" s="15"/>
      <c r="I18" s="14"/>
      <c r="J18" s="15"/>
      <c r="K18" s="14"/>
      <c r="L18" s="15"/>
      <c r="M18" s="14"/>
      <c r="N18" s="10"/>
    </row>
    <row r="19" spans="1:14" ht="29" customHeight="1" x14ac:dyDescent="0.2">
      <c r="A19">
        <v>11</v>
      </c>
      <c r="B19" s="7" t="s">
        <v>93</v>
      </c>
      <c r="C19" s="10"/>
      <c r="D19" s="14"/>
      <c r="E19" s="15"/>
      <c r="F19" s="14"/>
      <c r="G19" s="15"/>
      <c r="H19" s="14"/>
      <c r="I19" s="15"/>
      <c r="J19" s="14"/>
      <c r="K19" s="15"/>
      <c r="L19" s="14"/>
      <c r="M19" s="15"/>
      <c r="N19" s="9"/>
    </row>
    <row r="20" spans="1:14" ht="29" customHeight="1" x14ac:dyDescent="0.2">
      <c r="A20">
        <v>12</v>
      </c>
      <c r="B20" s="8" t="s">
        <v>94</v>
      </c>
      <c r="C20" s="9"/>
      <c r="D20" s="10"/>
      <c r="E20" s="14"/>
      <c r="F20" s="15"/>
      <c r="G20" s="14"/>
      <c r="H20" s="15"/>
      <c r="I20" s="14"/>
      <c r="J20" s="15"/>
      <c r="K20" s="14"/>
      <c r="L20" s="15"/>
      <c r="M20" s="14"/>
      <c r="N20" s="10"/>
    </row>
    <row r="21" spans="1:14" ht="29" customHeight="1" x14ac:dyDescent="0.2">
      <c r="A21">
        <v>13</v>
      </c>
      <c r="B21" s="7" t="s">
        <v>95</v>
      </c>
      <c r="C21" s="10"/>
      <c r="D21" s="14"/>
      <c r="E21" s="15"/>
      <c r="F21" s="14"/>
      <c r="G21" s="15"/>
      <c r="H21" s="14"/>
      <c r="I21" s="15"/>
      <c r="J21" s="14"/>
      <c r="K21" s="15"/>
      <c r="L21" s="14"/>
      <c r="M21" s="15"/>
      <c r="N21" s="9"/>
    </row>
    <row r="22" spans="1:14" ht="29" customHeight="1" x14ac:dyDescent="0.2">
      <c r="A22" s="12">
        <v>14</v>
      </c>
      <c r="B22" s="8" t="s">
        <v>96</v>
      </c>
      <c r="C22" s="9"/>
      <c r="D22" s="10"/>
      <c r="E22" s="14"/>
      <c r="F22" s="15"/>
      <c r="G22" s="14"/>
      <c r="H22" s="15"/>
      <c r="I22" s="14"/>
      <c r="J22" s="15"/>
      <c r="K22" s="14"/>
      <c r="L22" s="15"/>
      <c r="M22" s="14"/>
      <c r="N22" s="10"/>
    </row>
    <row r="23" spans="1:14" ht="29" customHeight="1" x14ac:dyDescent="0.2">
      <c r="A23">
        <v>15</v>
      </c>
      <c r="B23" s="7" t="s">
        <v>97</v>
      </c>
      <c r="C23" s="10"/>
      <c r="D23" s="9"/>
      <c r="E23" s="10"/>
      <c r="F23" s="9"/>
      <c r="G23" s="10"/>
      <c r="H23" s="9"/>
      <c r="I23" s="10"/>
      <c r="J23" s="9"/>
      <c r="K23" s="10"/>
      <c r="L23" s="9"/>
      <c r="M23" s="10"/>
      <c r="N23" s="9"/>
    </row>
    <row r="27" spans="1:14" ht="29" customHeight="1" x14ac:dyDescent="0.2"/>
    <row r="28" spans="1:14" ht="29" customHeight="1" x14ac:dyDescent="0.2"/>
    <row r="29" spans="1:14" ht="29" customHeight="1" x14ac:dyDescent="0.2"/>
    <row r="30" spans="1:14" ht="29" customHeight="1" x14ac:dyDescent="0.2"/>
    <row r="31" spans="1:14" ht="29" customHeight="1" x14ac:dyDescent="0.2"/>
    <row r="32" spans="1:14" ht="29" customHeight="1" x14ac:dyDescent="0.2"/>
    <row r="33" ht="29" customHeight="1" x14ac:dyDescent="0.2"/>
    <row r="34" ht="29" customHeight="1" x14ac:dyDescent="0.2"/>
    <row r="35" ht="29" customHeight="1" x14ac:dyDescent="0.2"/>
  </sheetData>
  <pageMargins left="0.75" right="0.75" top="1" bottom="1" header="0.5" footer="0.5"/>
  <pageSetup scale="54" orientation="portrait" horizontalDpi="4294967292" verticalDpi="4294967292"/>
  <colBreaks count="1" manualBreakCount="1">
    <brk id="1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0608C-A402-324E-A048-67887F69B792}">
  <dimension ref="A1:K14"/>
  <sheetViews>
    <sheetView workbookViewId="0">
      <selection activeCell="D23" sqref="D23"/>
    </sheetView>
  </sheetViews>
  <sheetFormatPr baseColWidth="10" defaultRowHeight="16" x14ac:dyDescent="0.2"/>
  <cols>
    <col min="5" max="5" width="13.33203125" customWidth="1"/>
    <col min="6" max="6" width="12.5" customWidth="1"/>
    <col min="7" max="7" width="14.83203125" customWidth="1"/>
    <col min="8" max="8" width="16.83203125" customWidth="1"/>
    <col min="9" max="9" width="16.1640625" customWidth="1"/>
    <col min="10" max="10" width="13.83203125" customWidth="1"/>
  </cols>
  <sheetData>
    <row r="1" spans="1:11" x14ac:dyDescent="0.2">
      <c r="A1" t="s">
        <v>33</v>
      </c>
      <c r="B1" s="22">
        <v>4.4281999999999999E-11</v>
      </c>
    </row>
    <row r="2" spans="1:11" x14ac:dyDescent="0.2">
      <c r="A2" t="s">
        <v>34</v>
      </c>
      <c r="B2">
        <v>250000</v>
      </c>
    </row>
    <row r="3" spans="1:11" x14ac:dyDescent="0.2">
      <c r="A3" t="s">
        <v>35</v>
      </c>
      <c r="B3" s="21">
        <v>50000</v>
      </c>
    </row>
    <row r="4" spans="1:11" ht="36" customHeight="1" x14ac:dyDescent="0.2">
      <c r="A4" t="s">
        <v>36</v>
      </c>
      <c r="B4">
        <v>0.7</v>
      </c>
      <c r="C4" s="16" t="s">
        <v>1</v>
      </c>
      <c r="D4" s="16" t="s">
        <v>0</v>
      </c>
      <c r="E4" s="23" t="s">
        <v>37</v>
      </c>
      <c r="F4" s="23" t="s">
        <v>39</v>
      </c>
      <c r="G4" s="23" t="s">
        <v>38</v>
      </c>
      <c r="H4" s="23" t="s">
        <v>40</v>
      </c>
      <c r="I4" s="23" t="s">
        <v>41</v>
      </c>
      <c r="J4" s="23" t="s">
        <v>42</v>
      </c>
      <c r="K4" s="28" t="s">
        <v>43</v>
      </c>
    </row>
    <row r="5" spans="1:11" x14ac:dyDescent="0.2">
      <c r="C5" s="19" t="s">
        <v>26</v>
      </c>
      <c r="D5" s="17">
        <f>10^-13</f>
        <v>1E-13</v>
      </c>
      <c r="E5" s="17">
        <f>D5/$B$1</f>
        <v>2.258253918070548E-3</v>
      </c>
      <c r="F5" s="17">
        <f>E5/(1+E5)</f>
        <v>2.2531656978054169E-3</v>
      </c>
      <c r="G5" s="24">
        <f>$B$2*$B$3*$B$4*F5</f>
        <v>19715199.855797399</v>
      </c>
      <c r="H5" s="24">
        <f t="shared" ref="H5:H14" si="0">G5*10</f>
        <v>197151998.55797398</v>
      </c>
      <c r="I5" s="24">
        <f t="shared" ref="I5:I14" si="1">H5/(6.022*10^23)</f>
        <v>3.2738624802054798E-16</v>
      </c>
      <c r="J5" s="27">
        <f t="shared" ref="J5:J14" si="2">I5/D5*1000</f>
        <v>3.2738624802054797</v>
      </c>
      <c r="K5">
        <v>10</v>
      </c>
    </row>
    <row r="6" spans="1:11" x14ac:dyDescent="0.2">
      <c r="C6" s="1" t="s">
        <v>27</v>
      </c>
      <c r="D6" s="4">
        <f>10^(-13+(7.5/9)*1)</f>
        <v>6.8129206905795979E-13</v>
      </c>
      <c r="E6" s="4">
        <f t="shared" ref="E5:E14" si="3">D6/$B$1</f>
        <v>1.5385304843005279E-2</v>
      </c>
      <c r="F6" s="4">
        <f t="shared" ref="F6:F14" si="4">E6/(1+E6)</f>
        <v>1.515218387505036E-2</v>
      </c>
      <c r="G6" s="25">
        <f t="shared" ref="G6:G14" si="5">$B$2*$B$3*$B$4*F6</f>
        <v>132581608.90669064</v>
      </c>
      <c r="H6" s="25">
        <f t="shared" si="0"/>
        <v>1325816089.0669065</v>
      </c>
      <c r="I6" s="25">
        <f t="shared" si="1"/>
        <v>2.2016208719144912E-15</v>
      </c>
      <c r="J6" s="5">
        <f t="shared" si="2"/>
        <v>3.2315375033775591</v>
      </c>
      <c r="K6">
        <v>10</v>
      </c>
    </row>
    <row r="7" spans="1:11" x14ac:dyDescent="0.2">
      <c r="C7" s="19" t="s">
        <v>28</v>
      </c>
      <c r="D7" s="17">
        <f>10^(-13+(7.5/9)*2)</f>
        <v>4.6415888336127596E-12</v>
      </c>
      <c r="E7" s="17">
        <f t="shared" si="3"/>
        <v>0.10481886169578519</v>
      </c>
      <c r="F7" s="17">
        <f t="shared" si="4"/>
        <v>9.487425073002359E-2</v>
      </c>
      <c r="G7" s="24">
        <f t="shared" si="5"/>
        <v>830149693.8877064</v>
      </c>
      <c r="H7" s="24">
        <f t="shared" si="0"/>
        <v>8301496938.8770638</v>
      </c>
      <c r="I7" s="24">
        <f t="shared" si="1"/>
        <v>1.3785282196740393E-14</v>
      </c>
      <c r="J7" s="27">
        <f t="shared" si="2"/>
        <v>2.969949017653656</v>
      </c>
      <c r="K7">
        <v>10</v>
      </c>
    </row>
    <row r="8" spans="1:11" x14ac:dyDescent="0.2">
      <c r="C8" s="1" t="s">
        <v>29</v>
      </c>
      <c r="D8" s="4">
        <f>10^(-13+(7.5/9)*3)</f>
        <v>3.162277660168371E-11</v>
      </c>
      <c r="E8" s="4">
        <f t="shared" si="3"/>
        <v>0.71412259161021885</v>
      </c>
      <c r="F8" s="4">
        <f t="shared" si="4"/>
        <v>0.41661115436287655</v>
      </c>
      <c r="G8" s="25">
        <f t="shared" si="5"/>
        <v>3645347600.6751699</v>
      </c>
      <c r="H8" s="25">
        <f t="shared" si="0"/>
        <v>36453476006.751701</v>
      </c>
      <c r="I8" s="25">
        <f t="shared" si="1"/>
        <v>6.0533835946117076E-14</v>
      </c>
      <c r="J8" s="5">
        <f t="shared" si="2"/>
        <v>1.9142479709670415</v>
      </c>
      <c r="K8">
        <v>2</v>
      </c>
    </row>
    <row r="9" spans="1:11" x14ac:dyDescent="0.2">
      <c r="C9" s="19" t="s">
        <v>20</v>
      </c>
      <c r="D9" s="17">
        <f>10^(-13+(7.5/9)*4)</f>
        <v>2.1544346900318812E-10</v>
      </c>
      <c r="E9" s="17">
        <f t="shared" si="3"/>
        <v>4.8652605799916024</v>
      </c>
      <c r="F9" s="17">
        <f t="shared" si="4"/>
        <v>0.8295045912518636</v>
      </c>
      <c r="G9" s="24">
        <f t="shared" si="5"/>
        <v>7258165173.4538069</v>
      </c>
      <c r="H9" s="24">
        <f t="shared" si="0"/>
        <v>72581651734.538071</v>
      </c>
      <c r="I9" s="24">
        <f t="shared" si="1"/>
        <v>1.2052748544426782E-13</v>
      </c>
      <c r="J9" s="27">
        <f t="shared" si="2"/>
        <v>0.55943903058154087</v>
      </c>
      <c r="K9">
        <v>0.6</v>
      </c>
    </row>
    <row r="10" spans="1:11" x14ac:dyDescent="0.2">
      <c r="C10" s="1" t="s">
        <v>21</v>
      </c>
      <c r="D10" s="4">
        <f>10^(-13+(7.5/9)*5)</f>
        <v>1.4677992676220699E-9</v>
      </c>
      <c r="E10" s="4">
        <f t="shared" si="3"/>
        <v>33.146634470486198</v>
      </c>
      <c r="F10" s="4">
        <f t="shared" si="4"/>
        <v>0.97071453701054122</v>
      </c>
      <c r="G10" s="25">
        <f t="shared" si="5"/>
        <v>8493752198.8422356</v>
      </c>
      <c r="H10" s="25">
        <f t="shared" si="0"/>
        <v>84937521988.422363</v>
      </c>
      <c r="I10" s="25">
        <f t="shared" si="1"/>
        <v>1.4104537028964193E-13</v>
      </c>
      <c r="J10" s="5">
        <f t="shared" si="2"/>
        <v>9.6093092155676435E-2</v>
      </c>
      <c r="K10">
        <v>0.1</v>
      </c>
    </row>
    <row r="11" spans="1:11" x14ac:dyDescent="0.2">
      <c r="C11" s="19" t="s">
        <v>22</v>
      </c>
      <c r="D11" s="17">
        <f>10^(-13+(7.5/9)*6)</f>
        <v>1E-8</v>
      </c>
      <c r="E11" s="17">
        <f t="shared" si="3"/>
        <v>225.82539180705479</v>
      </c>
      <c r="F11" s="17">
        <f t="shared" si="4"/>
        <v>0.99559132250568039</v>
      </c>
      <c r="G11" s="24">
        <f t="shared" si="5"/>
        <v>8711424071.9247036</v>
      </c>
      <c r="H11" s="24">
        <f t="shared" si="0"/>
        <v>87114240719.24704</v>
      </c>
      <c r="I11" s="24">
        <f t="shared" si="1"/>
        <v>1.4465998126743115E-13</v>
      </c>
      <c r="J11" s="27">
        <f t="shared" si="2"/>
        <v>1.4465998126743115E-2</v>
      </c>
      <c r="K11">
        <v>0.05</v>
      </c>
    </row>
    <row r="12" spans="1:11" x14ac:dyDescent="0.2">
      <c r="C12" s="1" t="s">
        <v>23</v>
      </c>
      <c r="D12" s="4">
        <f>10^(-13+(7.5/9)*7)</f>
        <v>6.8129206905796116E-8</v>
      </c>
      <c r="E12" s="4">
        <f t="shared" si="3"/>
        <v>1538.530484300531</v>
      </c>
      <c r="F12" s="4">
        <f t="shared" si="4"/>
        <v>0.99935045131603595</v>
      </c>
      <c r="G12" s="25">
        <f t="shared" si="5"/>
        <v>8744316449.0153141</v>
      </c>
      <c r="H12" s="25">
        <f t="shared" si="0"/>
        <v>87443164490.153137</v>
      </c>
      <c r="I12" s="25">
        <f t="shared" si="1"/>
        <v>1.4520618480596669E-13</v>
      </c>
      <c r="J12" s="5">
        <f t="shared" si="2"/>
        <v>2.1313353171239285E-3</v>
      </c>
      <c r="K12">
        <v>0.05</v>
      </c>
    </row>
    <row r="13" spans="1:11" x14ac:dyDescent="0.2">
      <c r="C13" s="19" t="s">
        <v>24</v>
      </c>
      <c r="D13" s="17">
        <f>10^(-13+(7.5/9)*8)</f>
        <v>4.6415888336127768E-7</v>
      </c>
      <c r="E13" s="17">
        <f t="shared" si="3"/>
        <v>10481.886169578558</v>
      </c>
      <c r="F13" s="17">
        <f t="shared" si="4"/>
        <v>0.99990460642385859</v>
      </c>
      <c r="G13" s="24">
        <f t="shared" si="5"/>
        <v>8749165306.2087631</v>
      </c>
      <c r="H13" s="24">
        <f t="shared" si="0"/>
        <v>87491653062.087631</v>
      </c>
      <c r="I13" s="24">
        <f t="shared" si="1"/>
        <v>1.4528670385600736E-13</v>
      </c>
      <c r="J13" s="27">
        <f t="shared" si="2"/>
        <v>3.1301071478777141E-4</v>
      </c>
      <c r="K13">
        <v>0.05</v>
      </c>
    </row>
    <row r="14" spans="1:11" x14ac:dyDescent="0.2">
      <c r="C14" s="20" t="s">
        <v>25</v>
      </c>
      <c r="D14" s="18">
        <f>10^(-13+(7.5/9)*9)</f>
        <v>3.1622776601683767E-6</v>
      </c>
      <c r="E14" s="18">
        <f t="shared" si="3"/>
        <v>71412.259161022012</v>
      </c>
      <c r="F14" s="18">
        <f t="shared" si="4"/>
        <v>0.99998599699815205</v>
      </c>
      <c r="G14" s="26">
        <f t="shared" si="5"/>
        <v>8749877473.7338295</v>
      </c>
      <c r="H14" s="25">
        <f t="shared" si="0"/>
        <v>87498774737.338287</v>
      </c>
      <c r="I14" s="25">
        <f t="shared" si="1"/>
        <v>1.45298529952405E-13</v>
      </c>
      <c r="J14" s="5">
        <f t="shared" si="2"/>
        <v>4.5947429532379682E-5</v>
      </c>
      <c r="K14">
        <v>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F9D71-A7B1-0C4E-AA11-680F4EBD629F}">
  <sheetPr>
    <pageSetUpPr fitToPage="1"/>
  </sheetPr>
  <dimension ref="A1:J61"/>
  <sheetViews>
    <sheetView zoomScale="119" zoomScaleNormal="100" workbookViewId="0">
      <selection activeCell="E14" sqref="E14"/>
    </sheetView>
  </sheetViews>
  <sheetFormatPr baseColWidth="10" defaultRowHeight="16" x14ac:dyDescent="0.2"/>
  <cols>
    <col min="1" max="1" width="15.5" customWidth="1"/>
    <col min="2" max="2" width="12.83203125" customWidth="1"/>
    <col min="3" max="3" width="14.6640625" customWidth="1"/>
    <col min="4" max="5" width="15" customWidth="1"/>
    <col min="6" max="6" width="19.33203125" customWidth="1"/>
    <col min="7" max="7" width="17.83203125" customWidth="1"/>
    <col min="8" max="8" width="13" customWidth="1"/>
    <col min="9" max="9" width="12.1640625" bestFit="1" customWidth="1"/>
  </cols>
  <sheetData>
    <row r="1" spans="1:10" x14ac:dyDescent="0.2">
      <c r="A1" t="s">
        <v>77</v>
      </c>
    </row>
    <row r="2" spans="1:10" x14ac:dyDescent="0.2">
      <c r="B2" t="s">
        <v>1</v>
      </c>
      <c r="C2" t="s">
        <v>0</v>
      </c>
      <c r="D2" t="s">
        <v>46</v>
      </c>
      <c r="E2" t="s">
        <v>45</v>
      </c>
      <c r="F2" t="s">
        <v>3</v>
      </c>
      <c r="G2" t="s">
        <v>5</v>
      </c>
      <c r="H2" t="s">
        <v>6</v>
      </c>
    </row>
    <row r="3" spans="1:10" x14ac:dyDescent="0.2">
      <c r="B3" s="1" t="s">
        <v>26</v>
      </c>
      <c r="C3">
        <f>10^-13</f>
        <v>1E-13</v>
      </c>
      <c r="D3">
        <v>10</v>
      </c>
      <c r="E3">
        <v>10</v>
      </c>
      <c r="F3" s="2">
        <f>(E3*1000-G3)/1000-0.05</f>
        <v>9.9459349593495929</v>
      </c>
      <c r="G3" s="3">
        <f>E3*C3/$C$20*1000</f>
        <v>4.0650406504065035</v>
      </c>
      <c r="H3" t="s">
        <v>47</v>
      </c>
      <c r="I3" t="s">
        <v>76</v>
      </c>
    </row>
    <row r="4" spans="1:10" x14ac:dyDescent="0.2">
      <c r="B4" s="1" t="s">
        <v>27</v>
      </c>
      <c r="C4">
        <f>10^(-13+(7.5/9)*1)</f>
        <v>6.8129206905795979E-13</v>
      </c>
      <c r="D4">
        <v>10</v>
      </c>
      <c r="E4">
        <v>10</v>
      </c>
      <c r="F4" s="2">
        <f>(E4*1000-G4)/1000-0.05</f>
        <v>9.9223052004447982</v>
      </c>
      <c r="G4" s="3">
        <f>E4*C4/$C$20*1000</f>
        <v>27.694799555201616</v>
      </c>
      <c r="H4" t="s">
        <v>47</v>
      </c>
      <c r="I4" t="s">
        <v>76</v>
      </c>
    </row>
    <row r="5" spans="1:10" x14ac:dyDescent="0.2">
      <c r="B5" s="1" t="s">
        <v>28</v>
      </c>
      <c r="C5">
        <f>10^(-13+(7.5/9)*2)</f>
        <v>4.6415888336127596E-12</v>
      </c>
      <c r="D5">
        <v>10</v>
      </c>
      <c r="E5">
        <v>10</v>
      </c>
      <c r="F5" s="2">
        <f>(E5*1000-G5)/1000-0.05</f>
        <v>9.9311317527088896</v>
      </c>
      <c r="G5" s="3">
        <f>E5*C5/$C$19*1000</f>
        <v>18.868247291108776</v>
      </c>
      <c r="H5" t="s">
        <v>44</v>
      </c>
      <c r="I5" t="s">
        <v>76</v>
      </c>
    </row>
    <row r="6" spans="1:10" x14ac:dyDescent="0.2">
      <c r="B6" s="1" t="s">
        <v>29</v>
      </c>
      <c r="C6">
        <f>10^(-13+(7.5/9)*3)</f>
        <v>3.162277660168371E-11</v>
      </c>
      <c r="D6">
        <v>2</v>
      </c>
      <c r="E6">
        <v>2</v>
      </c>
      <c r="F6" s="2">
        <f>(E6*1000-G6)/1000-0.05</f>
        <v>1.9242904255270863</v>
      </c>
      <c r="G6" s="3">
        <f>E6*C6/$C$19*1000</f>
        <v>25.709574472913584</v>
      </c>
      <c r="H6" t="s">
        <v>44</v>
      </c>
      <c r="I6" t="s">
        <v>76</v>
      </c>
    </row>
    <row r="7" spans="1:10" x14ac:dyDescent="0.2">
      <c r="B7" s="1" t="s">
        <v>20</v>
      </c>
      <c r="C7">
        <f>10^(-13+(7.5/9)*4)</f>
        <v>2.1544346900318812E-10</v>
      </c>
      <c r="D7">
        <v>0.6</v>
      </c>
      <c r="E7">
        <v>0.6</v>
      </c>
      <c r="F7" s="2">
        <f>(E7*1000-G7)/1000-0.05</f>
        <v>0.54474528124382471</v>
      </c>
      <c r="G7" s="3">
        <f>E7*C7/$C$18*1000</f>
        <v>5.2547187561753184</v>
      </c>
      <c r="H7" t="s">
        <v>8</v>
      </c>
      <c r="I7" t="s">
        <v>76</v>
      </c>
      <c r="J7" t="s">
        <v>31</v>
      </c>
    </row>
    <row r="8" spans="1:10" x14ac:dyDescent="0.2">
      <c r="B8" s="1" t="s">
        <v>21</v>
      </c>
      <c r="C8">
        <f>10^(-13+(7.5/9)*5)</f>
        <v>1.4677992676220699E-9</v>
      </c>
      <c r="D8">
        <v>0.1</v>
      </c>
      <c r="E8">
        <f>0.1*16</f>
        <v>1.6</v>
      </c>
      <c r="F8" s="2">
        <f>(E8*1000-G8)/1000</f>
        <v>1.5045333809676702</v>
      </c>
      <c r="G8" s="3">
        <f>E8*C8/$C$18*1000</f>
        <v>95.466619032329746</v>
      </c>
      <c r="H8" t="s">
        <v>8</v>
      </c>
    </row>
    <row r="9" spans="1:10" x14ac:dyDescent="0.2">
      <c r="B9" s="1" t="s">
        <v>22</v>
      </c>
      <c r="C9">
        <f>10^(-13+(7.5/9)*6)</f>
        <v>1E-8</v>
      </c>
      <c r="D9">
        <v>0.05</v>
      </c>
      <c r="E9">
        <f>0.05*16</f>
        <v>0.8</v>
      </c>
      <c r="F9" s="2">
        <f>(E9*1000-G9)/1000</f>
        <v>0.76747967479674795</v>
      </c>
      <c r="G9" s="3">
        <f>E9*C9/$C$17*1000</f>
        <v>32.520325203252035</v>
      </c>
      <c r="H9" t="s">
        <v>7</v>
      </c>
    </row>
    <row r="10" spans="1:10" x14ac:dyDescent="0.2">
      <c r="B10" s="1" t="s">
        <v>23</v>
      </c>
      <c r="C10">
        <f>10^(-13+(7.5/9)*7)</f>
        <v>6.8129206905796116E-8</v>
      </c>
      <c r="D10">
        <v>0.05</v>
      </c>
      <c r="E10">
        <f>0.05*20</f>
        <v>1</v>
      </c>
      <c r="F10" s="2">
        <f>(E10*1000-G10)/1000</f>
        <v>0.97230520044479829</v>
      </c>
      <c r="G10" s="3">
        <f>E10*C10/$C$16*1000</f>
        <v>27.694799555201673</v>
      </c>
      <c r="H10" t="s">
        <v>4</v>
      </c>
      <c r="I10" t="s">
        <v>30</v>
      </c>
    </row>
    <row r="11" spans="1:10" x14ac:dyDescent="0.2">
      <c r="B11" s="1" t="s">
        <v>24</v>
      </c>
      <c r="C11">
        <f>10^(-13+(7.5/9)*8)</f>
        <v>4.6415888336127768E-7</v>
      </c>
      <c r="D11">
        <v>0.05</v>
      </c>
      <c r="E11">
        <f>0.05*16</f>
        <v>0.8</v>
      </c>
      <c r="F11" s="2">
        <f>(E11*1000-G11)/1000</f>
        <v>0.64905402167112924</v>
      </c>
      <c r="G11" s="3">
        <f>E11*C11/$C$16*1000</f>
        <v>150.94597832887078</v>
      </c>
      <c r="H11" t="s">
        <v>4</v>
      </c>
    </row>
    <row r="12" spans="1:10" x14ac:dyDescent="0.2">
      <c r="B12" s="1" t="s">
        <v>25</v>
      </c>
      <c r="C12">
        <f>10^(-13+(7.5/9)*9)</f>
        <v>3.1622776601683767E-6</v>
      </c>
      <c r="D12">
        <v>0.05</v>
      </c>
      <c r="E12">
        <f>0.05*16</f>
        <v>0.8</v>
      </c>
      <c r="F12" s="2">
        <f>(E12*1000-G12)/1000</f>
        <v>0.69716170210834549</v>
      </c>
      <c r="G12" s="3">
        <f>E12*C12/$C$15*1000</f>
        <v>102.83829789165453</v>
      </c>
      <c r="H12" t="s">
        <v>48</v>
      </c>
      <c r="I12" t="s">
        <v>49</v>
      </c>
    </row>
    <row r="13" spans="1:10" x14ac:dyDescent="0.2">
      <c r="B13" s="1"/>
      <c r="D13" s="2"/>
      <c r="E13" s="2"/>
      <c r="F13" s="2"/>
      <c r="G13" s="3"/>
    </row>
    <row r="14" spans="1:10" x14ac:dyDescent="0.2">
      <c r="C14" t="s">
        <v>79</v>
      </c>
      <c r="D14" t="s">
        <v>80</v>
      </c>
      <c r="E14" t="s">
        <v>10</v>
      </c>
      <c r="F14" t="s">
        <v>2</v>
      </c>
    </row>
    <row r="15" spans="1:10" x14ac:dyDescent="0.2">
      <c r="B15" t="s">
        <v>78</v>
      </c>
      <c r="C15">
        <f>24.6*10^-6</f>
        <v>2.4600000000000002E-5</v>
      </c>
      <c r="D15" s="3">
        <f>(G12+E16)*1.1</f>
        <v>135.54181073187195</v>
      </c>
      <c r="E15" t="s">
        <v>9</v>
      </c>
      <c r="F15" t="s">
        <v>9</v>
      </c>
    </row>
    <row r="16" spans="1:10" x14ac:dyDescent="0.2">
      <c r="B16" t="s">
        <v>4</v>
      </c>
      <c r="C16">
        <f>C15/10</f>
        <v>2.4600000000000002E-6</v>
      </c>
      <c r="D16" s="3">
        <f>(G10+G11+E17)*1.1</f>
        <v>203.81530046410879</v>
      </c>
      <c r="E16">
        <f>D16*C16/C15</f>
        <v>20.38153004641088</v>
      </c>
      <c r="F16" s="3">
        <f>D16-E16</f>
        <v>183.4337704176979</v>
      </c>
    </row>
    <row r="17" spans="2:7" x14ac:dyDescent="0.2">
      <c r="B17" t="s">
        <v>7</v>
      </c>
      <c r="C17">
        <f>C15/100</f>
        <v>2.4600000000000001E-7</v>
      </c>
      <c r="D17" s="3">
        <f>(G9+E18)*1.1</f>
        <v>66.458589014809874</v>
      </c>
      <c r="E17" s="3">
        <f>D17*C17/C16</f>
        <v>6.6458589014809863</v>
      </c>
      <c r="F17" s="3">
        <f>D17-E17</f>
        <v>59.81273011332889</v>
      </c>
    </row>
    <row r="18" spans="2:7" x14ac:dyDescent="0.2">
      <c r="B18" t="s">
        <v>8</v>
      </c>
      <c r="C18">
        <f>C15/1000</f>
        <v>2.4600000000000002E-8</v>
      </c>
      <c r="D18" s="3">
        <f>((SUM(G7)*15)+G8+E19)*1.1</f>
        <v>278.96573901120576</v>
      </c>
      <c r="E18" s="3">
        <f>D18*C18/C17</f>
        <v>27.896573901120576</v>
      </c>
      <c r="F18" s="3">
        <f>D18-E18</f>
        <v>251.06916511008518</v>
      </c>
    </row>
    <row r="19" spans="2:7" x14ac:dyDescent="0.2">
      <c r="B19" t="s">
        <v>44</v>
      </c>
      <c r="C19">
        <f>C15/10000</f>
        <v>2.4600000000000002E-9</v>
      </c>
      <c r="D19" s="3">
        <f>((SUM(G5:G6)*15)+E20)*1.1</f>
        <v>793.17816907954784</v>
      </c>
      <c r="E19" s="3">
        <f>D19*C19/C18</f>
        <v>79.317816907954779</v>
      </c>
      <c r="F19" s="3">
        <f>D19-E19</f>
        <v>713.86035217159304</v>
      </c>
    </row>
    <row r="20" spans="2:7" x14ac:dyDescent="0.2">
      <c r="B20" t="s">
        <v>47</v>
      </c>
      <c r="C20">
        <f>C15/100000</f>
        <v>2.4600000000000003E-10</v>
      </c>
      <c r="D20" s="3">
        <f>(SUM(G3:G4)*15)*1.1</f>
        <v>524.03736339253408</v>
      </c>
      <c r="E20" s="3">
        <f>D20*C20/C19</f>
        <v>52.403736339253406</v>
      </c>
      <c r="F20" s="3">
        <f>D20-E20</f>
        <v>471.63362705328069</v>
      </c>
    </row>
    <row r="22" spans="2:7" x14ac:dyDescent="0.2">
      <c r="C22" t="s">
        <v>32</v>
      </c>
    </row>
    <row r="23" spans="2:7" x14ac:dyDescent="0.2">
      <c r="C23">
        <f>SUM(F3:F7)*15.1+SUM(F8:F12)+SUM(F16:F20)/1000</f>
        <v>493.52329867589498</v>
      </c>
    </row>
    <row r="27" spans="2:7" x14ac:dyDescent="0.2">
      <c r="F27" s="3"/>
      <c r="G27" s="3"/>
    </row>
    <row r="44" spans="2:7" x14ac:dyDescent="0.2">
      <c r="B44" s="1"/>
      <c r="D44" s="2"/>
      <c r="E44" s="2"/>
      <c r="F44" s="2"/>
      <c r="G44" s="3"/>
    </row>
    <row r="45" spans="2:7" x14ac:dyDescent="0.2">
      <c r="B45" s="1"/>
      <c r="D45" s="2"/>
      <c r="E45" s="2"/>
      <c r="F45" s="2"/>
      <c r="G45" s="3"/>
    </row>
    <row r="46" spans="2:7" x14ac:dyDescent="0.2">
      <c r="B46" s="1"/>
      <c r="D46" s="2"/>
      <c r="E46" s="2"/>
      <c r="F46" s="2"/>
      <c r="G46" s="3"/>
    </row>
    <row r="47" spans="2:7" x14ac:dyDescent="0.2">
      <c r="B47" s="1"/>
      <c r="D47" s="2"/>
      <c r="E47" s="2"/>
      <c r="F47" s="2"/>
      <c r="G47" s="3"/>
    </row>
    <row r="48" spans="2:7" x14ac:dyDescent="0.2">
      <c r="B48" s="1"/>
      <c r="D48" s="2"/>
      <c r="E48" s="2"/>
      <c r="F48" s="2"/>
      <c r="G48" s="3"/>
    </row>
    <row r="49" spans="2:8" x14ac:dyDescent="0.2">
      <c r="B49" s="1"/>
      <c r="D49" s="2"/>
      <c r="E49" s="2"/>
      <c r="F49" s="2"/>
      <c r="G49" s="3"/>
    </row>
    <row r="50" spans="2:8" x14ac:dyDescent="0.2">
      <c r="B50" s="1"/>
      <c r="D50" s="2"/>
      <c r="E50" s="2"/>
      <c r="F50" s="2"/>
      <c r="G50" s="3"/>
    </row>
    <row r="51" spans="2:8" x14ac:dyDescent="0.2">
      <c r="D51" s="2"/>
      <c r="E51" s="2"/>
      <c r="F51" s="2"/>
      <c r="G51" s="3"/>
    </row>
    <row r="52" spans="2:8" x14ac:dyDescent="0.2">
      <c r="D52" s="2"/>
      <c r="E52" s="2"/>
      <c r="F52" s="2"/>
      <c r="G52" s="3"/>
    </row>
    <row r="56" spans="2:8" x14ac:dyDescent="0.2">
      <c r="D56" s="3"/>
      <c r="E56" s="3"/>
      <c r="F56" s="3"/>
      <c r="G56" s="3"/>
    </row>
    <row r="57" spans="2:8" x14ac:dyDescent="0.2">
      <c r="D57" s="3"/>
      <c r="E57" s="3"/>
      <c r="F57" s="3"/>
      <c r="G57" s="3"/>
    </row>
    <row r="59" spans="2:8" x14ac:dyDescent="0.2">
      <c r="B59" s="4"/>
      <c r="C59" s="4"/>
      <c r="D59" s="5"/>
      <c r="E59" s="5"/>
      <c r="F59" s="5"/>
      <c r="G59" s="6"/>
      <c r="H59" s="4"/>
    </row>
    <row r="61" spans="2:8" x14ac:dyDescent="0.2">
      <c r="F61" s="2"/>
    </row>
  </sheetData>
  <pageMargins left="0.7" right="0.7" top="0.75" bottom="0.75" header="0.3" footer="0.3"/>
  <pageSetup scale="50"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plate</vt:lpstr>
      <vt:lpstr>volume calcs</vt:lpstr>
      <vt:lpstr>protein dilutions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Tyler Starr</cp:lastModifiedBy>
  <cp:lastPrinted>2020-03-13T00:40:14Z</cp:lastPrinted>
  <dcterms:created xsi:type="dcterms:W3CDTF">2019-02-04T18:16:32Z</dcterms:created>
  <dcterms:modified xsi:type="dcterms:W3CDTF">2020-04-05T19:03:25Z</dcterms:modified>
</cp:coreProperties>
</file>