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BAAD1205-AB1F-495E-B1C0-007009E632B3}" xr6:coauthVersionLast="47" xr6:coauthVersionMax="47" xr10:uidLastSave="{00000000-0000-0000-0000-000000000000}"/>
  <bookViews>
    <workbookView xWindow="204" yWindow="180" windowWidth="22836" windowHeight="12780" activeTab="3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D4" i="2" s="1"/>
  <c r="F4" i="2" s="1"/>
  <c r="N23" i="2"/>
  <c r="B22" i="2"/>
  <c r="C22" i="2" s="1"/>
  <c r="D22" i="2" s="1"/>
  <c r="E22" i="2" s="1"/>
  <c r="F22" i="2" s="1"/>
  <c r="AV21" i="2"/>
  <c r="AT21" i="2"/>
  <c r="AO21" i="2"/>
  <c r="AO22" i="2" s="1"/>
  <c r="AJ21" i="2"/>
  <c r="AJ22" i="2" s="1"/>
  <c r="B21" i="2"/>
  <c r="C21" i="2" s="1"/>
  <c r="D21" i="2" s="1"/>
  <c r="E21" i="2" s="1"/>
  <c r="F21" i="2" s="1"/>
  <c r="B20" i="2"/>
  <c r="C20" i="2" s="1"/>
  <c r="B19" i="2"/>
  <c r="B18" i="2"/>
  <c r="B17" i="2"/>
  <c r="BD16" i="2"/>
  <c r="BA16" i="2"/>
  <c r="B16" i="2"/>
  <c r="BD15" i="2"/>
  <c r="BA15" i="2"/>
  <c r="BD14" i="2"/>
  <c r="BD20" i="2" s="1"/>
  <c r="BC14" i="2"/>
  <c r="BC20" i="2" s="1"/>
  <c r="BA14" i="2"/>
  <c r="BA20" i="2" s="1"/>
  <c r="E14" i="2"/>
  <c r="E3" i="2" s="1"/>
  <c r="E5" i="2" s="1"/>
  <c r="I27" i="1" s="1"/>
  <c r="D14" i="2"/>
  <c r="C14" i="2"/>
  <c r="C3" i="2" s="1"/>
  <c r="F13" i="2"/>
  <c r="F12" i="2" s="1"/>
  <c r="BD8" i="2"/>
  <c r="BC8" i="2"/>
  <c r="BC16" i="2" s="1"/>
  <c r="BB8" i="2"/>
  <c r="BA8" i="2"/>
  <c r="AV25" i="2" s="1"/>
  <c r="AZ8" i="2"/>
  <c r="AY8" i="2"/>
  <c r="AX8" i="2"/>
  <c r="AV22" i="2" s="1"/>
  <c r="AW8" i="2"/>
  <c r="E4" i="2"/>
  <c r="C4" i="2"/>
  <c r="C27" i="1" s="1"/>
  <c r="D3" i="2"/>
  <c r="D5" i="2" s="1"/>
  <c r="F27" i="1" s="1"/>
  <c r="J33" i="1"/>
  <c r="AF8" i="1" s="1"/>
  <c r="G33" i="1"/>
  <c r="AF7" i="1" s="1"/>
  <c r="D33" i="1"/>
  <c r="AF6" i="1" s="1"/>
  <c r="J32" i="1"/>
  <c r="G32" i="1"/>
  <c r="D32" i="1"/>
  <c r="J30" i="1"/>
  <c r="AB8" i="1" s="1"/>
  <c r="G30" i="1"/>
  <c r="D30" i="1"/>
  <c r="AB6" i="1" s="1"/>
  <c r="I29" i="1"/>
  <c r="F29" i="1"/>
  <c r="C29" i="1"/>
  <c r="J28" i="1"/>
  <c r="G28" i="1"/>
  <c r="Z7" i="1" s="1"/>
  <c r="D28" i="1"/>
  <c r="Z6" i="1" s="1"/>
  <c r="C19" i="1"/>
  <c r="C18" i="1"/>
  <c r="C17" i="1"/>
  <c r="C16" i="1"/>
  <c r="C15" i="1"/>
  <c r="C14" i="1"/>
  <c r="I13" i="1"/>
  <c r="C12" i="1"/>
  <c r="C11" i="1"/>
  <c r="C10" i="1"/>
  <c r="C9" i="1"/>
  <c r="AH8" i="1"/>
  <c r="AD8" i="1"/>
  <c r="Z8" i="1"/>
  <c r="AH7" i="1"/>
  <c r="AD7" i="1"/>
  <c r="AB7" i="1"/>
  <c r="AH6" i="1"/>
  <c r="AD6" i="1"/>
  <c r="AD21" i="2" l="1"/>
  <c r="AD20" i="2"/>
  <c r="AD19" i="2"/>
  <c r="AD18" i="2"/>
  <c r="AD17" i="2"/>
  <c r="AD16" i="2"/>
  <c r="AD15" i="2"/>
  <c r="AD13" i="2"/>
  <c r="AD11" i="2"/>
  <c r="AD22" i="2"/>
  <c r="AD14" i="2"/>
  <c r="AD12" i="2"/>
  <c r="AD10" i="2"/>
  <c r="BA10" i="2"/>
  <c r="D20" i="2"/>
  <c r="BB11" i="2" s="1"/>
  <c r="BC10" i="2"/>
  <c r="F3" i="2"/>
  <c r="C5" i="2"/>
  <c r="F5" i="2" s="1"/>
  <c r="C13" i="1" s="1"/>
  <c r="AC12" i="2"/>
  <c r="AY14" i="2" s="1"/>
  <c r="AC10" i="2"/>
  <c r="AW14" i="2" s="1"/>
  <c r="AC21" i="2"/>
  <c r="AC20" i="2"/>
  <c r="AC19" i="2"/>
  <c r="AC18" i="2"/>
  <c r="AC17" i="2"/>
  <c r="AC16" i="2"/>
  <c r="AC15" i="2"/>
  <c r="AC13" i="2"/>
  <c r="AZ14" i="2" s="1"/>
  <c r="AC11" i="2"/>
  <c r="AX14" i="2" s="1"/>
  <c r="AC22" i="2"/>
  <c r="AC14" i="2"/>
  <c r="AX15" i="2"/>
  <c r="AV23" i="2"/>
  <c r="BD10" i="2"/>
  <c r="BB14" i="2"/>
  <c r="AY15" i="2"/>
  <c r="AZ15" i="2"/>
  <c r="BA17" i="2"/>
  <c r="BA18" i="2"/>
  <c r="F11" i="2"/>
  <c r="AV24" i="2"/>
  <c r="BB15" i="2"/>
  <c r="BB16" i="2"/>
  <c r="F9" i="2"/>
  <c r="BC15" i="2"/>
  <c r="BC17" i="2"/>
  <c r="BC18" i="2"/>
  <c r="F10" i="2"/>
  <c r="BD17" i="2"/>
  <c r="BD18" i="2"/>
  <c r="AT22" i="2"/>
  <c r="AV26" i="2"/>
  <c r="BB10" i="2"/>
  <c r="AW15" i="2"/>
  <c r="AX18" i="2" l="1"/>
  <c r="AX17" i="2"/>
  <c r="AW18" i="2"/>
  <c r="AW17" i="2"/>
  <c r="AZ18" i="2"/>
  <c r="AZ17" i="2"/>
  <c r="BB20" i="2"/>
  <c r="BB18" i="2"/>
  <c r="BB17" i="2"/>
  <c r="C17" i="2"/>
  <c r="C16" i="2"/>
  <c r="BA11" i="2"/>
  <c r="BD11" i="2"/>
  <c r="E20" i="2"/>
  <c r="BC11" i="2"/>
  <c r="C19" i="2"/>
  <c r="AE16" i="2"/>
  <c r="AE21" i="2"/>
  <c r="AE20" i="2"/>
  <c r="AE19" i="2"/>
  <c r="AE18" i="2"/>
  <c r="AE17" i="2"/>
  <c r="AE15" i="2"/>
  <c r="AE13" i="2"/>
  <c r="AZ16" i="2" s="1"/>
  <c r="AE11" i="2"/>
  <c r="AX16" i="2" s="1"/>
  <c r="AE22" i="2"/>
  <c r="AE14" i="2"/>
  <c r="AE12" i="2"/>
  <c r="AY16" i="2" s="1"/>
  <c r="AE10" i="2"/>
  <c r="AW16" i="2" s="1"/>
  <c r="AY18" i="2"/>
  <c r="AY17" i="2"/>
  <c r="C18" i="2"/>
  <c r="AW10" i="2" l="1"/>
  <c r="D16" i="2"/>
  <c r="D19" i="2"/>
  <c r="AZ10" i="2"/>
  <c r="BA12" i="2"/>
  <c r="F20" i="2"/>
  <c r="BC12" i="2"/>
  <c r="BB12" i="2"/>
  <c r="BD12" i="2"/>
  <c r="D17" i="2"/>
  <c r="AX10" i="2"/>
  <c r="D18" i="2"/>
  <c r="AY10" i="2"/>
  <c r="BA13" i="2" l="1"/>
  <c r="BB13" i="2"/>
  <c r="BB19" i="2" s="1"/>
  <c r="AW26" i="2" s="1"/>
  <c r="BC13" i="2"/>
  <c r="BC19" i="2" s="1"/>
  <c r="BD13" i="2"/>
  <c r="BA19" i="2"/>
  <c r="AW25" i="2" s="1"/>
  <c r="E18" i="2"/>
  <c r="AY11" i="2"/>
  <c r="E19" i="2"/>
  <c r="AZ11" i="2"/>
  <c r="E17" i="2"/>
  <c r="AX11" i="2"/>
  <c r="AW11" i="2"/>
  <c r="E16" i="2"/>
  <c r="BD19" i="2"/>
  <c r="AY19" i="2" l="1"/>
  <c r="F18" i="2"/>
  <c r="AY13" i="2" s="1"/>
  <c r="AY12" i="2"/>
  <c r="F17" i="2"/>
  <c r="AX13" i="2" s="1"/>
  <c r="AX12" i="2"/>
  <c r="AX19" i="2" s="1"/>
  <c r="F19" i="2"/>
  <c r="AZ13" i="2" s="1"/>
  <c r="AZ12" i="2"/>
  <c r="AZ19" i="2" s="1"/>
  <c r="F16" i="2"/>
  <c r="AW13" i="2" s="1"/>
  <c r="AW12" i="2"/>
  <c r="AW19" i="2" s="1"/>
  <c r="AW24" i="2" l="1"/>
  <c r="AZ20" i="2"/>
  <c r="AW22" i="2"/>
  <c r="AX20" i="2"/>
  <c r="AW21" i="2"/>
  <c r="AW20" i="2"/>
  <c r="AW23" i="2"/>
  <c r="AY20" i="2"/>
</calcChain>
</file>

<file path=xl/sharedStrings.xml><?xml version="1.0" encoding="utf-8"?>
<sst xmlns="http://schemas.openxmlformats.org/spreadsheetml/2006/main" count="391" uniqueCount="128">
  <si>
    <t>UltimoJJ analysis report as on 13.03.2024</t>
  </si>
  <si>
    <t>Mill No. 3, Sadat Jute Industries Ltd.</t>
  </si>
  <si>
    <t>Daily Update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</si>
  <si>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</si>
  <si>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</si>
  <si>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</si>
  <si>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</si>
  <si>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</si>
  <si>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</si>
  <si>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</si>
  <si>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</si>
  <si>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</si>
  <si>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</si>
  <si>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Achieved production (kg)</t>
  </si>
  <si>
    <t>Hands per Ton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</si>
  <si>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</si>
  <si>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</si>
  <si>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</si>
  <si>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</si>
  <si>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</si>
  <si>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</si>
  <si>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</si>
  <si>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</si>
  <si>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78.70%</t>
  </si>
  <si>
    <t>79.03%</t>
  </si>
  <si>
    <t>55.88%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</si>
  <si>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</si>
  <si>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</si>
  <si>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</si>
  <si>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</si>
  <si>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</si>
  <si>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</si>
  <si>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</si>
  <si>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</si>
  <si>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</si>
  <si>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</si>
  <si>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</si>
  <si>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</si>
  <si>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</si>
  <si>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</si>
  <si>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</si>
  <si>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</si>
  <si>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</si>
  <si>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</si>
  <si>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</si>
  <si>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</si>
  <si>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</si>
  <si>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</si>
  <si>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</si>
  <si>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</si>
  <si>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</si>
  <si>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</si>
  <si>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</si>
  <si>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</si>
  <si>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</si>
  <si>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</si>
  <si>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</si>
  <si>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</si>
  <si>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</si>
  <si>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</si>
  <si>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</si>
  <si>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</si>
  <si>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</si>
  <si>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</si>
  <si>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</si>
  <si>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</si>
  <si>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</si>
  <si>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</si>
  <si>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</si>
  <si>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</si>
  <si>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</si>
  <si>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</si>
  <si>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</si>
  <si>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</si>
  <si>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</si>
  <si>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</si>
  <si>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</si>
  <si>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</si>
  <si>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</si>
  <si>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</si>
  <si>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</si>
  <si>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</si>
  <si>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</si>
  <si>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</si>
  <si>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</si>
  <si>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</si>
  <si>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19/03/2024 - S1</t>
  </si>
  <si>
    <t>19/03/2024 - S2</t>
  </si>
  <si>
    <t>19/03/2024 - S3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</si>
  <si>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</si>
  <si>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</si>
  <si>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</si>
  <si>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</si>
  <si>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</si>
  <si>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</si>
  <si>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</si>
  <si>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</si>
  <si>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</si>
  <si>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</si>
  <si>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</si>
  <si>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</si>
  <si>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S3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</si>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</sst>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1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43" fontId="8" fillId="0" borderId="1" xfId="2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6" fontId="8" fillId="0" borderId="1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3" fontId="12" fillId="0" borderId="1" xfId="2" applyFont="1" applyBorder="1" applyAlignment="1">
      <alignment horizontal="right" vertical="center"/>
    </xf>
    <xf numFmtId="43" fontId="14" fillId="0" borderId="1" xfId="2" applyFont="1" applyBorder="1" applyAlignment="1">
      <alignment horizontal="right" vertical="center"/>
    </xf>
    <xf numFmtId="2" fontId="12" fillId="0" borderId="1" xfId="2" applyNumberFormat="1" applyFont="1" applyBorder="1" applyAlignment="1">
      <alignment horizontal="right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165" fontId="14" fillId="0" borderId="1" xfId="2" applyNumberFormat="1" applyFont="1" applyBorder="1" applyAlignment="1">
      <alignment horizontal="right" vertical="center"/>
    </xf>
    <xf numFmtId="2" fontId="8" fillId="12" borderId="1" xfId="0" applyNumberFormat="1" applyFont="1" applyFill="1" applyBorder="1" applyAlignment="1">
      <alignment horizontal="center" vertical="center"/>
    </xf>
    <xf numFmtId="166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5" borderId="1" xfId="2" applyNumberFormat="1" applyFont="1" applyFill="1" applyBorder="1" applyAlignment="1">
      <alignment horizontal="center" vertical="center"/>
    </xf>
    <xf numFmtId="165" fontId="4" fillId="16" borderId="1" xfId="2" applyNumberFormat="1" applyFont="1" applyFill="1" applyBorder="1" applyAlignment="1">
      <alignment horizontal="center" vertical="center"/>
    </xf>
    <xf numFmtId="166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0" fillId="0" borderId="7" xfId="0" applyBorder="1"/>
    <xf numFmtId="0" fontId="17" fillId="10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6" fillId="4" borderId="7" xfId="0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118</c:v>
                </c:pt>
                <c:pt idx="1">
                  <c:v>84.521739130434781</c:v>
                </c:pt>
                <c:pt idx="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438E-8A60-2272404D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Stop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Trends!$F$4</c:f>
              <c:strCache>
                <c:ptCount val="1"/>
                <c:pt idx="0">
                  <c:v>21.17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Trends!$E$4:$E$21</c:f>
              <c:strCache>
                <c:ptCount val="18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S3</c:v>
                </c:pt>
                <c:pt idx="16">
                  <c:v>25/03/2024 - S3</c:v>
                </c:pt>
                <c:pt idx="17">
                  <c:v>25/03/2024 - S3</c:v>
                </c:pt>
              </c:strCache>
            </c:strRef>
          </c:cat>
          <c:val>
            <c:numRef>
              <c:f>Trends!$F$5:$F$21</c:f>
              <c:numCache>
                <c:formatCode>General</c:formatCode>
                <c:ptCount val="17"/>
                <c:pt idx="0">
                  <c:v>28.92</c:v>
                </c:pt>
                <c:pt idx="1">
                  <c:v>25.77</c:v>
                </c:pt>
                <c:pt idx="2">
                  <c:v>23.05</c:v>
                </c:pt>
                <c:pt idx="3">
                  <c:v>30.16</c:v>
                </c:pt>
                <c:pt idx="4">
                  <c:v>20.73</c:v>
                </c:pt>
                <c:pt idx="5">
                  <c:v>29.77</c:v>
                </c:pt>
                <c:pt idx="6">
                  <c:v>25.98</c:v>
                </c:pt>
                <c:pt idx="7">
                  <c:v>94.93</c:v>
                </c:pt>
                <c:pt idx="8">
                  <c:v>58.44</c:v>
                </c:pt>
                <c:pt idx="9">
                  <c:v>63.51</c:v>
                </c:pt>
                <c:pt idx="10">
                  <c:v>64.02</c:v>
                </c:pt>
                <c:pt idx="11">
                  <c:v>63.32</c:v>
                </c:pt>
                <c:pt idx="12">
                  <c:v>34.799999999999997</c:v>
                </c:pt>
                <c:pt idx="13">
                  <c:v>32.65</c:v>
                </c:pt>
                <c:pt idx="14">
                  <c:v>28.81</c:v>
                </c:pt>
                <c:pt idx="15">
                  <c:v>28.81</c:v>
                </c:pt>
                <c:pt idx="16">
                  <c:v>28.81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9-4ECA-97BC-2585697D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Idle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Trends!$I$4</c:f>
              <c:strCache>
                <c:ptCount val="1"/>
                <c:pt idx="0">
                  <c:v>2.64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Trends!$H$4:$H$21</c:f>
              <c:strCache>
                <c:ptCount val="18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6">
                  <c:v>25/03/2024 - S3</c:v>
                </c:pt>
                <c:pt idx="17">
                  <c:v>25/03/2024 - S3</c:v>
                </c:pt>
              </c:strCache>
            </c:strRef>
          </c:cat>
          <c:val>
            <c:numRef>
              <c:f>Trends!$I$5:$I$21</c:f>
              <c:numCache>
                <c:formatCode>General</c:formatCode>
                <c:ptCount val="17"/>
                <c:pt idx="0">
                  <c:v>3.92</c:v>
                </c:pt>
                <c:pt idx="1">
                  <c:v>2.95</c:v>
                </c:pt>
                <c:pt idx="2">
                  <c:v>4.28</c:v>
                </c:pt>
                <c:pt idx="3">
                  <c:v>4.38</c:v>
                </c:pt>
                <c:pt idx="4">
                  <c:v>4.3899999999999997</c:v>
                </c:pt>
                <c:pt idx="5">
                  <c:v>2.71</c:v>
                </c:pt>
                <c:pt idx="6">
                  <c:v>2.85</c:v>
                </c:pt>
                <c:pt idx="7">
                  <c:v>7.0000000000000007E-2</c:v>
                </c:pt>
                <c:pt idx="8">
                  <c:v>0.62</c:v>
                </c:pt>
                <c:pt idx="9">
                  <c:v>1.3</c:v>
                </c:pt>
                <c:pt idx="10">
                  <c:v>0.65</c:v>
                </c:pt>
                <c:pt idx="11">
                  <c:v>0.53</c:v>
                </c:pt>
                <c:pt idx="12">
                  <c:v>3.58</c:v>
                </c:pt>
                <c:pt idx="13">
                  <c:v>1.71</c:v>
                </c:pt>
                <c:pt idx="15">
                  <c:v>3.47</c:v>
                </c:pt>
                <c:pt idx="16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A-45ED-A9CD-4F08FB09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Eb/100spdle/hour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Trends!$L$4</c:f>
              <c:strCache>
                <c:ptCount val="1"/>
                <c:pt idx="0">
                  <c:v>22.74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Trends!$K$4:$K$21</c:f>
              <c:strCache>
                <c:ptCount val="18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7">
                  <c:v>25/03/2024 - S3</c:v>
                </c:pt>
              </c:strCache>
            </c:strRef>
          </c:cat>
          <c:val>
            <c:numRef>
              <c:f>Trends!$L$5:$L$21</c:f>
              <c:numCache>
                <c:formatCode>General</c:formatCode>
                <c:ptCount val="17"/>
                <c:pt idx="0">
                  <c:v>25.28</c:v>
                </c:pt>
                <c:pt idx="1">
                  <c:v>21.23</c:v>
                </c:pt>
                <c:pt idx="2">
                  <c:v>24.15</c:v>
                </c:pt>
                <c:pt idx="3">
                  <c:v>24.6</c:v>
                </c:pt>
                <c:pt idx="4">
                  <c:v>23.72</c:v>
                </c:pt>
                <c:pt idx="5">
                  <c:v>23.04</c:v>
                </c:pt>
                <c:pt idx="6">
                  <c:v>22.19</c:v>
                </c:pt>
                <c:pt idx="7">
                  <c:v>27.22</c:v>
                </c:pt>
                <c:pt idx="8">
                  <c:v>22.38</c:v>
                </c:pt>
                <c:pt idx="9">
                  <c:v>27.59</c:v>
                </c:pt>
                <c:pt idx="10">
                  <c:v>21.9</c:v>
                </c:pt>
                <c:pt idx="11">
                  <c:v>21.97</c:v>
                </c:pt>
                <c:pt idx="12">
                  <c:v>26.15</c:v>
                </c:pt>
                <c:pt idx="13">
                  <c:v>20.02</c:v>
                </c:pt>
                <c:pt idx="16">
                  <c:v>24.76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12C-8B39-DAA8B625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13.958333333333334</c:v>
                </c:pt>
                <c:pt idx="1">
                  <c:v>12.826086956521738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184-851C-DA36F2CA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3.083333333333333</c:v>
                </c:pt>
                <c:pt idx="1">
                  <c:v>2.8956521739130441</c:v>
                </c:pt>
                <c:pt idx="2" formatCode="_(* #,##0.0_);_(* \(#,##0.0\);_(* &quot;-&quot;??_);_(@_)">
                  <c:v>0.54444444444444451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2-43C7-B817-BD316D7B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253.91666666666666</c:v>
                </c:pt>
                <c:pt idx="1">
                  <c:v>242.95652173913044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A-4A79-A6FC-2DCA1879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66.529166666666669</c:v>
                </c:pt>
                <c:pt idx="1">
                  <c:v>82.208695652173915</c:v>
                </c:pt>
                <c:pt idx="2">
                  <c:v>4.6791666666666663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7A5-8153-B1DBA760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Breakage!$A$2:$A$33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10.63</c:v>
                </c:pt>
                <c:pt idx="3">
                  <c:v>77.81</c:v>
                </c:pt>
                <c:pt idx="4">
                  <c:v>21.86</c:v>
                </c:pt>
                <c:pt idx="5">
                  <c:v>57.09</c:v>
                </c:pt>
                <c:pt idx="6">
                  <c:v>41.3</c:v>
                </c:pt>
                <c:pt idx="7">
                  <c:v>80.31</c:v>
                </c:pt>
                <c:pt idx="8">
                  <c:v>72</c:v>
                </c:pt>
                <c:pt idx="9">
                  <c:v>42.31</c:v>
                </c:pt>
                <c:pt idx="10">
                  <c:v>0</c:v>
                </c:pt>
                <c:pt idx="11">
                  <c:v>15.57</c:v>
                </c:pt>
                <c:pt idx="12">
                  <c:v>25.03</c:v>
                </c:pt>
                <c:pt idx="13">
                  <c:v>53.15</c:v>
                </c:pt>
                <c:pt idx="14">
                  <c:v>47.57</c:v>
                </c:pt>
                <c:pt idx="15">
                  <c:v>53.04</c:v>
                </c:pt>
                <c:pt idx="16">
                  <c:v>46.22</c:v>
                </c:pt>
                <c:pt idx="17">
                  <c:v>64.42</c:v>
                </c:pt>
                <c:pt idx="18">
                  <c:v>66.599999999999994</c:v>
                </c:pt>
                <c:pt idx="19">
                  <c:v>0</c:v>
                </c:pt>
                <c:pt idx="20">
                  <c:v>35.22</c:v>
                </c:pt>
                <c:pt idx="21">
                  <c:v>66.95</c:v>
                </c:pt>
                <c:pt idx="22">
                  <c:v>55.13</c:v>
                </c:pt>
                <c:pt idx="23">
                  <c:v>25.11</c:v>
                </c:pt>
                <c:pt idx="24">
                  <c:v>46.65</c:v>
                </c:pt>
                <c:pt idx="25">
                  <c:v>24.35</c:v>
                </c:pt>
                <c:pt idx="26">
                  <c:v>0</c:v>
                </c:pt>
                <c:pt idx="27">
                  <c:v>32.79</c:v>
                </c:pt>
                <c:pt idx="28">
                  <c:v>67.349999999999994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2-461F-8F4A-A316A035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28.269919999999999</c:v>
                </c:pt>
                <c:pt idx="1">
                  <c:v>23.501880000000003</c:v>
                </c:pt>
                <c:pt idx="2">
                  <c:v>48.892800000000001</c:v>
                </c:pt>
                <c:pt idx="3">
                  <c:v>37.58</c:v>
                </c:pt>
                <c:pt idx="4">
                  <c:v>20.48</c:v>
                </c:pt>
                <c:pt idx="5">
                  <c:v>0</c:v>
                </c:pt>
                <c:pt idx="6">
                  <c:v>13.46</c:v>
                </c:pt>
                <c:pt idx="7">
                  <c:v>17.544239999999999</c:v>
                </c:pt>
                <c:pt idx="8">
                  <c:v>23.505600000000001</c:v>
                </c:pt>
                <c:pt idx="9">
                  <c:v>20.192159999999998</c:v>
                </c:pt>
                <c:pt idx="10">
                  <c:v>21.848879999999998</c:v>
                </c:pt>
                <c:pt idx="11">
                  <c:v>29.155439999999999</c:v>
                </c:pt>
                <c:pt idx="12">
                  <c:v>27.8</c:v>
                </c:pt>
                <c:pt idx="13">
                  <c:v>0</c:v>
                </c:pt>
                <c:pt idx="14">
                  <c:v>15.24</c:v>
                </c:pt>
                <c:pt idx="15">
                  <c:v>33.799999999999997</c:v>
                </c:pt>
                <c:pt idx="16">
                  <c:v>27.56</c:v>
                </c:pt>
                <c:pt idx="17">
                  <c:v>12.42</c:v>
                </c:pt>
                <c:pt idx="18">
                  <c:v>23.56</c:v>
                </c:pt>
                <c:pt idx="19">
                  <c:v>12.5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1-4D2F-8598-264716D4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57.09</c:v>
                </c:pt>
                <c:pt idx="1">
                  <c:v>41.3</c:v>
                </c:pt>
                <c:pt idx="2">
                  <c:v>80.31</c:v>
                </c:pt>
                <c:pt idx="3">
                  <c:v>72</c:v>
                </c:pt>
                <c:pt idx="4">
                  <c:v>42.31</c:v>
                </c:pt>
                <c:pt idx="5">
                  <c:v>0</c:v>
                </c:pt>
                <c:pt idx="6">
                  <c:v>15.57</c:v>
                </c:pt>
                <c:pt idx="7">
                  <c:v>25.03</c:v>
                </c:pt>
                <c:pt idx="8">
                  <c:v>53.15</c:v>
                </c:pt>
                <c:pt idx="9">
                  <c:v>47.57</c:v>
                </c:pt>
                <c:pt idx="10" formatCode="General">
                  <c:v>53.04</c:v>
                </c:pt>
                <c:pt idx="11">
                  <c:v>64.42</c:v>
                </c:pt>
                <c:pt idx="12">
                  <c:v>66.599999999999994</c:v>
                </c:pt>
                <c:pt idx="13">
                  <c:v>0</c:v>
                </c:pt>
                <c:pt idx="14">
                  <c:v>35.22</c:v>
                </c:pt>
                <c:pt idx="15">
                  <c:v>66.95</c:v>
                </c:pt>
                <c:pt idx="16">
                  <c:v>55.13</c:v>
                </c:pt>
                <c:pt idx="17">
                  <c:v>25.11</c:v>
                </c:pt>
                <c:pt idx="18">
                  <c:v>46.65</c:v>
                </c:pt>
                <c:pt idx="19">
                  <c:v>24.35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3-4912-AE50-F3B7BDFD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Trends!$C$4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Trends!$B$4:$B$21</c:f>
              <c:strCache>
                <c:ptCount val="18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S3</c:v>
                </c:pt>
                <c:pt idx="16">
                  <c:v>25/03/2024 - S3</c:v>
                </c:pt>
                <c:pt idx="17">
                  <c:v>25/03/2024 - S3</c:v>
                </c:pt>
              </c:strCache>
            </c:strRef>
          </c:cat>
          <c:val>
            <c:numRef>
              <c:f>Trends!$C$5:$C$21</c:f>
              <c:numCache>
                <c:formatCode>General</c:formatCode>
                <c:ptCount val="17"/>
                <c:pt idx="0">
                  <c:v>3.1</c:v>
                </c:pt>
                <c:pt idx="1">
                  <c:v>3.2</c:v>
                </c:pt>
                <c:pt idx="2">
                  <c:v>3.8</c:v>
                </c:pt>
                <c:pt idx="3">
                  <c:v>2.6</c:v>
                </c:pt>
                <c:pt idx="4">
                  <c:v>3.6</c:v>
                </c:pt>
                <c:pt idx="5">
                  <c:v>2.6</c:v>
                </c:pt>
                <c:pt idx="6">
                  <c:v>2.8</c:v>
                </c:pt>
                <c:pt idx="7">
                  <c:v>6.7</c:v>
                </c:pt>
                <c:pt idx="8">
                  <c:v>2.7</c:v>
                </c:pt>
                <c:pt idx="9">
                  <c:v>2.7</c:v>
                </c:pt>
                <c:pt idx="10">
                  <c:v>2.8</c:v>
                </c:pt>
                <c:pt idx="11">
                  <c:v>2.7</c:v>
                </c:pt>
                <c:pt idx="12">
                  <c:v>2.5</c:v>
                </c:pt>
                <c:pt idx="13">
                  <c:v>4.0999999999999996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40FC-A32B-2F3DC62A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0</xdr:colOff>
      <xdr:row>52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86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106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124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0</xdr:colOff>
      <xdr:row>6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10</xdr:col>
      <xdr:colOff>0</xdr:colOff>
      <xdr:row>18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0</xdr:colOff>
      <xdr:row>31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0</xdr:colOff>
      <xdr:row>45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showGridLines="0" zoomScale="72" zoomScaleNormal="55" workbookViewId="0">
      <selection activeCell="E126" sqref="E126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99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</row>
    <row r="3" spans="1:34" ht="21" customHeight="1" x14ac:dyDescent="0.45">
      <c r="B3" s="100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4" spans="1:34" ht="11.25" customHeight="1" x14ac:dyDescent="0.3"/>
    <row r="5" spans="1:34" ht="23.4" customHeight="1" x14ac:dyDescent="0.3">
      <c r="B5" s="96" t="s">
        <v>2</v>
      </c>
      <c r="C5" s="97"/>
      <c r="D5" s="97"/>
      <c r="E5" s="97"/>
      <c r="F5" s="97"/>
      <c r="G5" s="97"/>
      <c r="H5" s="97"/>
      <c r="I5" s="98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8"/>
    </row>
    <row r="6" spans="1:34" x14ac:dyDescent="0.3">
      <c r="Y6" t="s">
        <v>3</v>
      </c>
      <c r="Z6" s="20">
        <f>D28</f>
        <v>118</v>
      </c>
      <c r="AA6" t="s">
        <v>3</v>
      </c>
      <c r="AB6" s="20">
        <f>D30</f>
        <v>13.958333333333334</v>
      </c>
      <c r="AC6" t="s">
        <v>3</v>
      </c>
      <c r="AD6" s="95">
        <f>C31</f>
        <v>3.083333333333333</v>
      </c>
      <c r="AE6" t="s">
        <v>3</v>
      </c>
      <c r="AF6" s="20">
        <f>D33</f>
        <v>253.91666666666666</v>
      </c>
      <c r="AG6" t="s">
        <v>3</v>
      </c>
      <c r="AH6" s="20">
        <f>D32</f>
        <v>66.529166666666669</v>
      </c>
    </row>
    <row r="7" spans="1:34" ht="26.25" customHeight="1" x14ac:dyDescent="0.3">
      <c r="B7" s="102" t="s">
        <v>4</v>
      </c>
      <c r="C7" s="98"/>
      <c r="E7" s="103">
        <v>45363</v>
      </c>
      <c r="F7" s="98"/>
      <c r="H7" s="103">
        <v>45362</v>
      </c>
      <c r="I7" s="98"/>
      <c r="Y7" t="s">
        <v>5</v>
      </c>
      <c r="Z7" s="20">
        <f>G28</f>
        <v>84.521739130434781</v>
      </c>
      <c r="AA7" t="s">
        <v>5</v>
      </c>
      <c r="AB7" s="20">
        <f>G30</f>
        <v>12.826086956521738</v>
      </c>
      <c r="AC7" t="s">
        <v>5</v>
      </c>
      <c r="AD7" s="20">
        <f>F31</f>
        <v>2.8956521739130441</v>
      </c>
      <c r="AE7" t="s">
        <v>5</v>
      </c>
      <c r="AF7" s="20">
        <f>G33</f>
        <v>242.95652173913044</v>
      </c>
      <c r="AG7" t="s">
        <v>5</v>
      </c>
      <c r="AH7" s="20">
        <f>G32</f>
        <v>82.208695652173915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H8" s="13" t="s">
        <v>6</v>
      </c>
      <c r="I8" s="14" t="s">
        <v>7</v>
      </c>
      <c r="Y8" t="s">
        <v>8</v>
      </c>
      <c r="Z8" s="20">
        <f>J28</f>
        <v>1.25</v>
      </c>
      <c r="AA8" t="s">
        <v>8</v>
      </c>
      <c r="AB8" s="20">
        <f>J30</f>
        <v>0.27777777777777779</v>
      </c>
      <c r="AC8" t="s">
        <v>8</v>
      </c>
      <c r="AD8" s="95">
        <f>I31</f>
        <v>0.54444444444444451</v>
      </c>
      <c r="AE8" t="s">
        <v>8</v>
      </c>
      <c r="AF8" s="20">
        <f>J33</f>
        <v>4.5</v>
      </c>
      <c r="AG8" t="s">
        <v>8</v>
      </c>
      <c r="AH8" s="20">
        <f>J32</f>
        <v>4.6791666666666663</v>
      </c>
    </row>
    <row r="9" spans="1:34" ht="18" customHeight="1" x14ac:dyDescent="0.3">
      <c r="B9" s="15" t="s">
        <v>9</v>
      </c>
      <c r="C9" s="16">
        <f>AVERAGE(C23,F23,I23)</f>
        <v>21.666666666666668</v>
      </c>
      <c r="E9" s="15" t="s">
        <v>9</v>
      </c>
      <c r="F9" s="16">
        <v>25</v>
      </c>
      <c r="H9" s="15" t="s">
        <v>9</v>
      </c>
      <c r="I9" s="16">
        <v>24.666666666666671</v>
      </c>
    </row>
    <row r="10" spans="1:34" ht="18" customHeight="1" x14ac:dyDescent="0.3">
      <c r="A10" t="s">
        <v>10</v>
      </c>
      <c r="B10" s="15" t="s">
        <v>11</v>
      </c>
      <c r="C10" s="31">
        <f>AVERAGE(C25,F25,I25)</f>
        <v>18.031746031746028</v>
      </c>
      <c r="E10" s="15" t="s">
        <v>11</v>
      </c>
      <c r="F10" s="31">
        <v>16.64</v>
      </c>
      <c r="H10" s="15" t="s">
        <v>11</v>
      </c>
      <c r="I10" s="18">
        <v>16.356666666666669</v>
      </c>
    </row>
    <row r="11" spans="1:34" ht="18" customHeight="1" x14ac:dyDescent="0.3">
      <c r="B11" s="15" t="s">
        <v>12</v>
      </c>
      <c r="C11" s="21">
        <f>(C23*C24+F23*F24+I23*I24)/(C23+F23+I23)</f>
        <v>0.72497384615384619</v>
      </c>
      <c r="E11" s="15" t="s">
        <v>12</v>
      </c>
      <c r="F11" s="21">
        <v>0.8069333333333335</v>
      </c>
      <c r="H11" s="15" t="s">
        <v>12</v>
      </c>
      <c r="I11" s="21">
        <v>0.81760135135135137</v>
      </c>
    </row>
    <row r="12" spans="1:34" ht="18" customHeight="1" x14ac:dyDescent="0.3">
      <c r="B12" s="15" t="s">
        <v>13</v>
      </c>
      <c r="C12" s="32">
        <f>C26+F26+I26</f>
        <v>292.94000000000011</v>
      </c>
      <c r="E12" s="15" t="s">
        <v>13</v>
      </c>
      <c r="F12" s="32">
        <v>47154</v>
      </c>
      <c r="H12" s="15" t="s">
        <v>13</v>
      </c>
      <c r="I12" s="32">
        <v>48400</v>
      </c>
    </row>
    <row r="13" spans="1:34" ht="18" customHeight="1" x14ac:dyDescent="0.3">
      <c r="B13" s="15" t="s">
        <v>14</v>
      </c>
      <c r="C13" s="87">
        <f>'Daily Hands Allocation Summary'!F5</f>
        <v>17.57301544328088</v>
      </c>
      <c r="E13" s="15" t="s">
        <v>14</v>
      </c>
      <c r="F13" s="87">
        <v>18.810705348432791</v>
      </c>
      <c r="H13" s="15" t="s">
        <v>14</v>
      </c>
      <c r="I13" s="38">
        <f>875/(I12/1000)</f>
        <v>18.078512396694215</v>
      </c>
    </row>
    <row r="14" spans="1:34" ht="18" customHeight="1" x14ac:dyDescent="0.3">
      <c r="B14" s="15" t="s">
        <v>15</v>
      </c>
      <c r="C14" s="16">
        <f>C28+F28+I28</f>
        <v>4806</v>
      </c>
      <c r="E14" s="15" t="s">
        <v>15</v>
      </c>
      <c r="F14" s="16">
        <v>5272</v>
      </c>
      <c r="H14" s="15" t="s">
        <v>15</v>
      </c>
      <c r="I14" s="16">
        <v>4765</v>
      </c>
    </row>
    <row r="15" spans="1:34" ht="18" customHeight="1" x14ac:dyDescent="0.3">
      <c r="B15" s="15" t="s">
        <v>16</v>
      </c>
      <c r="C15" s="28">
        <f>C14*100/(C9*112*24)</f>
        <v>8.252060439560438</v>
      </c>
      <c r="E15" s="15" t="s">
        <v>16</v>
      </c>
      <c r="F15" s="28">
        <v>7.8452380952380949</v>
      </c>
      <c r="H15" s="15" t="s">
        <v>16</v>
      </c>
      <c r="I15" s="28">
        <v>7.1865950772200771</v>
      </c>
    </row>
    <row r="16" spans="1:34" ht="18" customHeight="1" x14ac:dyDescent="0.3">
      <c r="B16" s="15" t="s">
        <v>17</v>
      </c>
      <c r="C16" s="16">
        <f>C30+F30+I30</f>
        <v>635</v>
      </c>
      <c r="E16" s="15" t="s">
        <v>17</v>
      </c>
      <c r="F16" s="16">
        <v>906</v>
      </c>
      <c r="H16" s="15" t="s">
        <v>17</v>
      </c>
      <c r="I16" s="16">
        <v>896</v>
      </c>
    </row>
    <row r="17" spans="1:16" ht="18" customHeight="1" x14ac:dyDescent="0.3">
      <c r="B17" s="15" t="s">
        <v>18</v>
      </c>
      <c r="C17" s="17">
        <f>AVERAGE(C31,F31,I31)</f>
        <v>2.1744766505636073</v>
      </c>
      <c r="E17" s="15" t="s">
        <v>18</v>
      </c>
      <c r="F17" s="17">
        <v>3.0853333333333328</v>
      </c>
      <c r="H17" s="15" t="s">
        <v>18</v>
      </c>
      <c r="I17" s="17">
        <v>3.082666666666666</v>
      </c>
    </row>
    <row r="18" spans="1:16" ht="18" customHeight="1" x14ac:dyDescent="0.3">
      <c r="B18" s="15" t="s">
        <v>19</v>
      </c>
      <c r="C18" s="16">
        <f>C32+F32+I32</f>
        <v>3599.8</v>
      </c>
      <c r="E18" s="15" t="s">
        <v>19</v>
      </c>
      <c r="F18" s="16">
        <v>5819</v>
      </c>
      <c r="H18" s="15" t="s">
        <v>19</v>
      </c>
      <c r="I18" s="16">
        <v>5177</v>
      </c>
    </row>
    <row r="19" spans="1:16" ht="18" customHeight="1" x14ac:dyDescent="0.3">
      <c r="B19" s="15" t="s">
        <v>20</v>
      </c>
      <c r="C19" s="16">
        <f>C33+F33+I33</f>
        <v>11790</v>
      </c>
      <c r="E19" s="15" t="s">
        <v>20</v>
      </c>
      <c r="F19" s="16">
        <v>13584</v>
      </c>
      <c r="H19" s="15" t="s">
        <v>20</v>
      </c>
      <c r="I19" s="16">
        <v>13198</v>
      </c>
      <c r="K19" s="1"/>
      <c r="L19" s="1"/>
    </row>
    <row r="20" spans="1:16" ht="15.6" customHeight="1" x14ac:dyDescent="0.3">
      <c r="K20" s="1"/>
      <c r="L20" s="1"/>
    </row>
    <row r="21" spans="1:16" ht="18" customHeight="1" x14ac:dyDescent="0.3">
      <c r="B21" s="101" t="s">
        <v>3</v>
      </c>
      <c r="C21" s="98"/>
      <c r="D21" s="8"/>
      <c r="E21" s="101" t="s">
        <v>5</v>
      </c>
      <c r="F21" s="98"/>
      <c r="H21" s="101" t="s">
        <v>8</v>
      </c>
      <c r="I21" s="98"/>
      <c r="J21" s="8"/>
      <c r="K21" s="23"/>
      <c r="L21" s="24"/>
    </row>
    <row r="22" spans="1:16" ht="15.6" customHeight="1" x14ac:dyDescent="0.3">
      <c r="B22" s="6" t="s">
        <v>6</v>
      </c>
      <c r="C22" s="7" t="s">
        <v>7</v>
      </c>
      <c r="D22" s="8"/>
      <c r="E22" s="6" t="s">
        <v>6</v>
      </c>
      <c r="F22" s="7" t="s">
        <v>7</v>
      </c>
      <c r="H22" s="6" t="s">
        <v>6</v>
      </c>
      <c r="I22" s="7" t="s">
        <v>7</v>
      </c>
      <c r="J22" s="8"/>
      <c r="K22" s="23" t="s">
        <v>21</v>
      </c>
      <c r="L22" s="24">
        <v>18.07</v>
      </c>
      <c r="P22" s="8"/>
    </row>
    <row r="23" spans="1:16" ht="15.6" customHeight="1" x14ac:dyDescent="0.3">
      <c r="B23" s="4" t="s">
        <v>9</v>
      </c>
      <c r="C23" s="89">
        <v>24</v>
      </c>
      <c r="D23" s="8"/>
      <c r="E23" s="4" t="s">
        <v>9</v>
      </c>
      <c r="F23" s="12">
        <v>23</v>
      </c>
      <c r="H23" s="4" t="s">
        <v>9</v>
      </c>
      <c r="I23" s="12">
        <v>18</v>
      </c>
      <c r="J23" s="8"/>
      <c r="K23" s="23" t="s">
        <v>22</v>
      </c>
      <c r="L23" s="24">
        <v>17.04</v>
      </c>
      <c r="P23" s="8"/>
    </row>
    <row r="24" spans="1:16" ht="15.6" customHeight="1" x14ac:dyDescent="0.3">
      <c r="B24" s="4" t="s">
        <v>12</v>
      </c>
      <c r="C24" s="5" t="s">
        <v>23</v>
      </c>
      <c r="D24" s="8"/>
      <c r="E24" s="4" t="s">
        <v>12</v>
      </c>
      <c r="F24" s="5" t="s">
        <v>24</v>
      </c>
      <c r="G24" s="9"/>
      <c r="H24" s="4" t="s">
        <v>12</v>
      </c>
      <c r="I24" s="5" t="s">
        <v>25</v>
      </c>
      <c r="J24" s="8"/>
      <c r="K24" s="23" t="s">
        <v>26</v>
      </c>
      <c r="L24" s="24">
        <v>19.411999999999999</v>
      </c>
      <c r="P24" s="8"/>
    </row>
    <row r="25" spans="1:16" ht="15.6" customHeight="1" x14ac:dyDescent="0.3">
      <c r="B25" s="4" t="s">
        <v>27</v>
      </c>
      <c r="C25" s="35">
        <v>18</v>
      </c>
      <c r="D25" s="8"/>
      <c r="E25" s="4" t="s">
        <v>27</v>
      </c>
      <c r="F25" s="35">
        <v>18</v>
      </c>
      <c r="G25" s="9"/>
      <c r="H25" s="4" t="s">
        <v>27</v>
      </c>
      <c r="I25" s="35">
        <v>18.095238095238091</v>
      </c>
      <c r="J25" s="8"/>
      <c r="K25" s="23"/>
      <c r="L25" s="24"/>
      <c r="P25" s="8"/>
    </row>
    <row r="26" spans="1:16" ht="15.6" customHeight="1" x14ac:dyDescent="0.3">
      <c r="B26" s="4" t="s">
        <v>13</v>
      </c>
      <c r="C26" s="33">
        <v>0</v>
      </c>
      <c r="D26" s="8"/>
      <c r="E26" s="4" t="s">
        <v>13</v>
      </c>
      <c r="F26" s="33">
        <v>0</v>
      </c>
      <c r="G26" s="9"/>
      <c r="H26" s="4" t="s">
        <v>13</v>
      </c>
      <c r="I26" s="33">
        <v>292.94000000000011</v>
      </c>
      <c r="J26" s="8"/>
      <c r="K26" s="23"/>
      <c r="L26" s="24"/>
      <c r="P26" s="8"/>
    </row>
    <row r="27" spans="1:16" ht="15.6" customHeight="1" x14ac:dyDescent="0.3">
      <c r="B27" s="4" t="s">
        <v>14</v>
      </c>
      <c r="C27" s="37">
        <f>'Daily Hands Allocation Summary'!C4</f>
        <v>17.216999999999999</v>
      </c>
      <c r="D27" s="8"/>
      <c r="E27" s="4" t="s">
        <v>14</v>
      </c>
      <c r="F27" s="39">
        <f>'Daily Hands Allocation Summary'!D5</f>
        <v>18.266497308413474</v>
      </c>
      <c r="G27" s="9"/>
      <c r="H27" s="4" t="s">
        <v>14</v>
      </c>
      <c r="I27" s="39">
        <f>'Daily Hands Allocation Summary'!E5</f>
        <v>16.098596532609974</v>
      </c>
      <c r="J27" s="8"/>
      <c r="K27" s="23"/>
      <c r="L27" s="24"/>
      <c r="P27" s="8"/>
    </row>
    <row r="28" spans="1:16" ht="15.6" customHeight="1" x14ac:dyDescent="0.3">
      <c r="B28" s="4" t="s">
        <v>15</v>
      </c>
      <c r="C28" s="94">
        <v>2832</v>
      </c>
      <c r="D28" s="9">
        <f>C28/$C$23</f>
        <v>118</v>
      </c>
      <c r="E28" s="4" t="s">
        <v>15</v>
      </c>
      <c r="F28" s="12">
        <v>1944</v>
      </c>
      <c r="G28" s="9">
        <f>F28/$F$23</f>
        <v>84.521739130434781</v>
      </c>
      <c r="H28" s="4" t="s">
        <v>15</v>
      </c>
      <c r="I28" s="12">
        <v>30</v>
      </c>
      <c r="J28" s="9">
        <f>I28/$C$23</f>
        <v>1.25</v>
      </c>
      <c r="K28" s="23" t="s">
        <v>28</v>
      </c>
      <c r="L28" s="24">
        <v>24.02</v>
      </c>
      <c r="P28" s="8"/>
    </row>
    <row r="29" spans="1:16" ht="15.6" customHeight="1" x14ac:dyDescent="0.3">
      <c r="B29" s="4" t="s">
        <v>16</v>
      </c>
      <c r="C29" s="29">
        <f>C28*100/(C23*112*8)</f>
        <v>13.169642857142858</v>
      </c>
      <c r="D29" s="9"/>
      <c r="E29" s="4" t="s">
        <v>16</v>
      </c>
      <c r="F29" s="29">
        <f>F28*100/(F23*112*8)</f>
        <v>9.433229813664596</v>
      </c>
      <c r="G29" s="9"/>
      <c r="H29" s="4" t="s">
        <v>16</v>
      </c>
      <c r="I29" s="29">
        <f>I28*100/(I23*112*8)</f>
        <v>0.18601190476190477</v>
      </c>
      <c r="J29" s="9"/>
      <c r="K29" s="23"/>
      <c r="L29" s="24"/>
      <c r="P29" s="8"/>
    </row>
    <row r="30" spans="1:16" ht="15.6" customHeight="1" x14ac:dyDescent="0.3">
      <c r="B30" s="4" t="s">
        <v>17</v>
      </c>
      <c r="C30" s="91">
        <v>335</v>
      </c>
      <c r="D30" s="9">
        <f>C30/$C$23</f>
        <v>13.958333333333334</v>
      </c>
      <c r="E30" s="4" t="s">
        <v>17</v>
      </c>
      <c r="F30" s="12">
        <v>295</v>
      </c>
      <c r="G30" s="9">
        <f>F30/$F$23</f>
        <v>12.826086956521738</v>
      </c>
      <c r="H30" s="4" t="s">
        <v>17</v>
      </c>
      <c r="I30" s="12">
        <v>5</v>
      </c>
      <c r="J30" s="9">
        <f>I30/$I$23</f>
        <v>0.27777777777777779</v>
      </c>
      <c r="K30" s="25"/>
      <c r="L30" s="26"/>
      <c r="P30" s="8"/>
    </row>
    <row r="31" spans="1:16" ht="15.6" customHeight="1" x14ac:dyDescent="0.3">
      <c r="B31" s="4" t="s">
        <v>18</v>
      </c>
      <c r="C31" s="92">
        <v>3.083333333333333</v>
      </c>
      <c r="D31" s="9"/>
      <c r="E31" s="4" t="s">
        <v>18</v>
      </c>
      <c r="F31" s="11">
        <v>2.8956521739130441</v>
      </c>
      <c r="G31" s="9"/>
      <c r="H31" s="4" t="s">
        <v>18</v>
      </c>
      <c r="I31" s="11">
        <v>0.54444444444444451</v>
      </c>
      <c r="J31" s="9"/>
      <c r="K31" s="23"/>
      <c r="L31" s="26"/>
    </row>
    <row r="32" spans="1:16" ht="15.6" customHeight="1" x14ac:dyDescent="0.3">
      <c r="A32">
        <v>26</v>
      </c>
      <c r="B32" s="4" t="s">
        <v>19</v>
      </c>
      <c r="C32" s="93">
        <v>1596.7</v>
      </c>
      <c r="D32" s="9">
        <f>C32/$C$23</f>
        <v>66.529166666666669</v>
      </c>
      <c r="E32" s="4" t="s">
        <v>19</v>
      </c>
      <c r="F32" s="12">
        <v>1890.8</v>
      </c>
      <c r="G32" s="9">
        <f>F32/$F$23</f>
        <v>82.208695652173915</v>
      </c>
      <c r="H32" s="4" t="s">
        <v>19</v>
      </c>
      <c r="I32" s="12">
        <v>112.3</v>
      </c>
      <c r="J32" s="9">
        <f>I32/$C$23</f>
        <v>4.6791666666666663</v>
      </c>
      <c r="K32" s="23"/>
      <c r="L32" s="26"/>
    </row>
    <row r="33" spans="2:12" ht="15.6" customHeight="1" x14ac:dyDescent="0.3">
      <c r="B33" s="4" t="s">
        <v>20</v>
      </c>
      <c r="C33" s="90">
        <v>6094</v>
      </c>
      <c r="D33" s="9">
        <f>C33/$C$23</f>
        <v>253.91666666666666</v>
      </c>
      <c r="E33" s="4" t="s">
        <v>20</v>
      </c>
      <c r="F33" s="12">
        <v>5588</v>
      </c>
      <c r="G33" s="10">
        <f>F33/$F$23</f>
        <v>242.95652173913044</v>
      </c>
      <c r="H33" s="4" t="s">
        <v>20</v>
      </c>
      <c r="I33" s="12">
        <v>108</v>
      </c>
      <c r="J33" s="9">
        <f>I33/$C$23</f>
        <v>4.5</v>
      </c>
      <c r="K33" s="23"/>
      <c r="L33" s="26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29</v>
      </c>
    </row>
    <row r="68" spans="8:11" x14ac:dyDescent="0.3">
      <c r="H68" s="8"/>
      <c r="K68" s="27"/>
    </row>
    <row r="99" ht="21" customHeight="1" x14ac:dyDescent="0.3"/>
    <row r="115" spans="2:8" ht="15.6" customHeight="1" x14ac:dyDescent="0.3">
      <c r="C115" s="1"/>
      <c r="D115" s="1"/>
    </row>
    <row r="116" spans="2:8" ht="15.6" customHeight="1" x14ac:dyDescent="0.3">
      <c r="C116" s="1"/>
      <c r="D116" s="1"/>
    </row>
    <row r="117" spans="2:8" ht="15.6" customHeight="1" x14ac:dyDescent="0.3">
      <c r="B117" s="1"/>
      <c r="C117" s="1"/>
      <c r="D117" s="1"/>
    </row>
    <row r="118" spans="2:8" ht="15.6" customHeight="1" x14ac:dyDescent="0.3">
      <c r="B118" s="1"/>
      <c r="C118" s="1"/>
      <c r="D118" s="1"/>
      <c r="H118" s="51"/>
    </row>
    <row r="119" spans="2:8" ht="15.6" customHeight="1" x14ac:dyDescent="0.3">
      <c r="B119" s="1"/>
      <c r="C119" s="1"/>
      <c r="D119" s="1"/>
    </row>
    <row r="120" spans="2:8" ht="15.6" customHeight="1" x14ac:dyDescent="0.3">
      <c r="B120" s="1"/>
      <c r="C120" s="1"/>
      <c r="D120" s="1"/>
    </row>
    <row r="121" spans="2:8" ht="15.6" customHeight="1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5" customFormat="1" ht="40.5" customHeight="1" x14ac:dyDescent="0.3">
      <c r="A2" s="40"/>
      <c r="B2" s="41" t="s">
        <v>30</v>
      </c>
      <c r="C2" s="42" t="s">
        <v>31</v>
      </c>
      <c r="D2" s="42" t="s">
        <v>32</v>
      </c>
      <c r="E2" s="42" t="s">
        <v>33</v>
      </c>
      <c r="F2" s="42" t="s">
        <v>7</v>
      </c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7" s="45" customFormat="1" ht="40.5" customHeight="1" x14ac:dyDescent="0.3">
      <c r="A3" s="40"/>
      <c r="B3" s="46" t="s">
        <v>34</v>
      </c>
      <c r="C3" s="47">
        <f>C14+Q23+T23+W23+Z23+SUM(AH10:AH20)+SUM(AM10:AM20)+SUM(AR10:AR20)+SUM(I9:I11)</f>
        <v>316</v>
      </c>
      <c r="D3" s="47">
        <f>D14+R23+U23+X23+AA23+SUM(AI10:AI20)+SUM(AN10:AN20)+SUM(AS10:AS20)+SUM(J9:J11)</f>
        <v>302</v>
      </c>
      <c r="E3" s="47">
        <f>E14+S23+V23+Y23+AB23+SUM(AJ10:AJ20)+SUM(AO10:AO20)+SUM(AT10:AT20)+SUM(K9:K11)</f>
        <v>273</v>
      </c>
      <c r="F3" s="48">
        <f>SUM(C3:E3)</f>
        <v>891</v>
      </c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7" s="45" customFormat="1" ht="40.5" customHeight="1" x14ac:dyDescent="0.3">
      <c r="A4" s="40"/>
      <c r="B4" s="46" t="s">
        <v>35</v>
      </c>
      <c r="C4" s="49">
        <f>N23</f>
        <v>17.216999999999999</v>
      </c>
      <c r="D4" s="49">
        <f>O23</f>
        <v>16.533000000000001</v>
      </c>
      <c r="E4" s="49">
        <f>P23</f>
        <v>16.958000000000002</v>
      </c>
      <c r="F4" s="50">
        <f>SUM(C4:E4)</f>
        <v>50.707999999999998</v>
      </c>
      <c r="G4" s="4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 spans="1:57" s="45" customFormat="1" ht="40.5" customHeight="1" x14ac:dyDescent="0.3">
      <c r="A5" s="40"/>
      <c r="B5" s="46" t="s">
        <v>36</v>
      </c>
      <c r="C5" s="49">
        <f>IFERROR(C3/C4,0)</f>
        <v>18.353952488819193</v>
      </c>
      <c r="D5" s="49">
        <f>IFERROR(D3/D4,0)</f>
        <v>18.266497308413474</v>
      </c>
      <c r="E5" s="49">
        <f>IFERROR(E3/E4,0)</f>
        <v>16.098596532609974</v>
      </c>
      <c r="F5" s="50">
        <f>AVERAGE(C5:E5)</f>
        <v>17.57301544328088</v>
      </c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7" ht="23.2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3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1:57" ht="27" customHeight="1" x14ac:dyDescent="0.3">
      <c r="A7" s="51"/>
      <c r="B7" s="104" t="s">
        <v>37</v>
      </c>
      <c r="C7" s="97"/>
      <c r="D7" s="97"/>
      <c r="E7" s="97"/>
      <c r="F7" s="98"/>
      <c r="G7" s="51"/>
      <c r="H7" s="104" t="s">
        <v>38</v>
      </c>
      <c r="I7" s="97"/>
      <c r="J7" s="97"/>
      <c r="K7" s="98"/>
      <c r="L7" s="51"/>
      <c r="M7" s="104" t="s">
        <v>39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/>
      <c r="AU7" s="51"/>
      <c r="AV7" s="105" t="s">
        <v>40</v>
      </c>
      <c r="AW7" s="97"/>
      <c r="AX7" s="97"/>
      <c r="AY7" s="97"/>
      <c r="AZ7" s="97"/>
      <c r="BA7" s="97"/>
      <c r="BB7" s="97"/>
      <c r="BC7" s="97"/>
      <c r="BD7" s="98"/>
    </row>
    <row r="8" spans="1:57" s="56" customFormat="1" ht="30" customHeight="1" x14ac:dyDescent="0.3">
      <c r="A8" s="51"/>
      <c r="B8" s="41" t="s">
        <v>41</v>
      </c>
      <c r="C8" s="42" t="s">
        <v>31</v>
      </c>
      <c r="D8" s="42" t="s">
        <v>32</v>
      </c>
      <c r="E8" s="42" t="s">
        <v>33</v>
      </c>
      <c r="F8" s="42" t="s">
        <v>36</v>
      </c>
      <c r="G8" s="51"/>
      <c r="H8" s="41" t="s">
        <v>41</v>
      </c>
      <c r="I8" s="42" t="s">
        <v>31</v>
      </c>
      <c r="J8" s="42" t="s">
        <v>32</v>
      </c>
      <c r="K8" s="42" t="s">
        <v>33</v>
      </c>
      <c r="L8" s="51"/>
      <c r="M8" s="106" t="s">
        <v>42</v>
      </c>
      <c r="N8" s="108" t="s">
        <v>43</v>
      </c>
      <c r="O8" s="97"/>
      <c r="P8" s="98"/>
      <c r="Q8" s="109" t="s">
        <v>44</v>
      </c>
      <c r="R8" s="110"/>
      <c r="S8" s="111"/>
      <c r="T8" s="109" t="s">
        <v>45</v>
      </c>
      <c r="U8" s="110"/>
      <c r="V8" s="111"/>
      <c r="W8" s="109" t="s">
        <v>46</v>
      </c>
      <c r="X8" s="110"/>
      <c r="Y8" s="111"/>
      <c r="Z8" s="109" t="s">
        <v>47</v>
      </c>
      <c r="AA8" s="110"/>
      <c r="AB8" s="111"/>
      <c r="AC8" s="112" t="s">
        <v>48</v>
      </c>
      <c r="AD8" s="112" t="s">
        <v>49</v>
      </c>
      <c r="AE8" s="112" t="s">
        <v>50</v>
      </c>
      <c r="AF8" s="51"/>
      <c r="AG8" s="109" t="s">
        <v>51</v>
      </c>
      <c r="AH8" s="110"/>
      <c r="AI8" s="110"/>
      <c r="AJ8" s="111"/>
      <c r="AK8" s="51"/>
      <c r="AL8" s="109" t="s">
        <v>52</v>
      </c>
      <c r="AM8" s="110"/>
      <c r="AN8" s="110"/>
      <c r="AO8" s="111"/>
      <c r="AP8" s="51"/>
      <c r="AQ8" s="109" t="s">
        <v>53</v>
      </c>
      <c r="AR8" s="110"/>
      <c r="AS8" s="110"/>
      <c r="AT8" s="111"/>
      <c r="AU8" s="51"/>
      <c r="AV8" s="55" t="s">
        <v>42</v>
      </c>
      <c r="AW8" s="115" t="str">
        <f>$M$10</f>
        <v xml:space="preserve">      8 lbs/1 CRX</v>
      </c>
      <c r="AX8" s="115" t="str">
        <f>$M$11</f>
        <v xml:space="preserve">       14 lbs/1 CRX</v>
      </c>
      <c r="AY8" s="115" t="str">
        <f>$M$12</f>
        <v xml:space="preserve">        16lbs/1CRT</v>
      </c>
      <c r="AZ8" s="115" t="str">
        <f>$M$13</f>
        <v xml:space="preserve">22/1CRT </v>
      </c>
      <c r="BA8" s="115">
        <f>$M$14</f>
        <v>0</v>
      </c>
      <c r="BB8" s="113">
        <f>$M$15</f>
        <v>0</v>
      </c>
      <c r="BC8" s="113">
        <f>$M$16</f>
        <v>0</v>
      </c>
      <c r="BD8" s="115">
        <f>$M$17</f>
        <v>0</v>
      </c>
    </row>
    <row r="9" spans="1:57" s="56" customFormat="1" ht="30" customHeight="1" x14ac:dyDescent="0.3">
      <c r="A9" s="51"/>
      <c r="B9" s="57" t="s">
        <v>54</v>
      </c>
      <c r="C9" s="58">
        <v>19</v>
      </c>
      <c r="D9" s="58">
        <v>20</v>
      </c>
      <c r="E9" s="58">
        <v>20</v>
      </c>
      <c r="F9" s="59">
        <f>IFERROR(SUM(C9:E9)/SUM($N$23:$P$23)+$F$13,0)</f>
        <v>1.2867792064368542</v>
      </c>
      <c r="G9" s="51"/>
      <c r="H9" s="57" t="s">
        <v>55</v>
      </c>
      <c r="I9" s="60">
        <v>51</v>
      </c>
      <c r="J9" s="60">
        <v>38</v>
      </c>
      <c r="K9" s="60">
        <v>26</v>
      </c>
      <c r="L9" s="51"/>
      <c r="M9" s="107"/>
      <c r="N9" s="54" t="s">
        <v>31</v>
      </c>
      <c r="O9" s="54" t="s">
        <v>32</v>
      </c>
      <c r="P9" s="54" t="s">
        <v>33</v>
      </c>
      <c r="Q9" s="61" t="s">
        <v>31</v>
      </c>
      <c r="R9" s="61" t="s">
        <v>32</v>
      </c>
      <c r="S9" s="61" t="s">
        <v>33</v>
      </c>
      <c r="T9" s="61" t="s">
        <v>31</v>
      </c>
      <c r="U9" s="61" t="s">
        <v>32</v>
      </c>
      <c r="V9" s="61" t="s">
        <v>33</v>
      </c>
      <c r="W9" s="61" t="s">
        <v>31</v>
      </c>
      <c r="X9" s="61" t="s">
        <v>32</v>
      </c>
      <c r="Y9" s="61" t="s">
        <v>33</v>
      </c>
      <c r="Z9" s="61" t="s">
        <v>31</v>
      </c>
      <c r="AA9" s="61" t="s">
        <v>32</v>
      </c>
      <c r="AB9" s="61" t="s">
        <v>33</v>
      </c>
      <c r="AC9" s="107"/>
      <c r="AD9" s="107"/>
      <c r="AE9" s="107"/>
      <c r="AF9" s="51"/>
      <c r="AG9" s="62"/>
      <c r="AH9" s="61" t="s">
        <v>31</v>
      </c>
      <c r="AI9" s="61" t="s">
        <v>32</v>
      </c>
      <c r="AJ9" s="61" t="s">
        <v>33</v>
      </c>
      <c r="AK9" s="51"/>
      <c r="AL9" s="62"/>
      <c r="AM9" s="61" t="s">
        <v>31</v>
      </c>
      <c r="AN9" s="61" t="s">
        <v>32</v>
      </c>
      <c r="AO9" s="61" t="s">
        <v>33</v>
      </c>
      <c r="AP9" s="51"/>
      <c r="AQ9" s="62"/>
      <c r="AR9" s="61" t="s">
        <v>31</v>
      </c>
      <c r="AS9" s="61" t="s">
        <v>32</v>
      </c>
      <c r="AT9" s="61" t="s">
        <v>33</v>
      </c>
      <c r="AU9" s="51"/>
      <c r="AV9" s="63" t="s">
        <v>41</v>
      </c>
      <c r="AW9" s="107"/>
      <c r="AX9" s="107"/>
      <c r="AY9" s="107"/>
      <c r="AZ9" s="107"/>
      <c r="BA9" s="107"/>
      <c r="BB9" s="107"/>
      <c r="BC9" s="107"/>
      <c r="BD9" s="107"/>
    </row>
    <row r="10" spans="1:57" s="56" customFormat="1" ht="35.1" customHeight="1" x14ac:dyDescent="0.3">
      <c r="A10" s="51"/>
      <c r="B10" s="57" t="s">
        <v>56</v>
      </c>
      <c r="C10" s="58">
        <v>5</v>
      </c>
      <c r="D10" s="58">
        <v>5</v>
      </c>
      <c r="E10" s="58">
        <v>5</v>
      </c>
      <c r="F10" s="59">
        <f>IFERROR(SUM(C10:E10)/SUM($N$23:$P$23)+$F$13,0)</f>
        <v>0.41906602508479923</v>
      </c>
      <c r="G10" s="51"/>
      <c r="H10" s="57" t="s">
        <v>57</v>
      </c>
      <c r="I10" s="60">
        <v>5</v>
      </c>
      <c r="J10" s="60">
        <v>3</v>
      </c>
      <c r="K10" s="60">
        <v>3</v>
      </c>
      <c r="L10" s="51"/>
      <c r="M10" s="64" t="s">
        <v>58</v>
      </c>
      <c r="N10" s="65">
        <v>0.55600000000000005</v>
      </c>
      <c r="O10" s="65">
        <v>0.60399999999999998</v>
      </c>
      <c r="P10" s="65">
        <v>0.57699999999999996</v>
      </c>
      <c r="Q10" s="66">
        <v>3</v>
      </c>
      <c r="R10" s="66">
        <v>2</v>
      </c>
      <c r="S10" s="66">
        <v>2</v>
      </c>
      <c r="T10" s="66">
        <v>1</v>
      </c>
      <c r="U10" s="66">
        <v>1</v>
      </c>
      <c r="V10" s="66">
        <v>1</v>
      </c>
      <c r="W10" s="66">
        <v>5</v>
      </c>
      <c r="X10" s="66">
        <v>5</v>
      </c>
      <c r="Y10" s="67">
        <v>5</v>
      </c>
      <c r="Z10" s="66">
        <v>2</v>
      </c>
      <c r="AA10" s="66">
        <v>3</v>
      </c>
      <c r="AB10" s="67">
        <v>3</v>
      </c>
      <c r="AC10" s="59">
        <f t="shared" ref="AC10:AC22" si="0">IFERROR(SUM(Q10:V10)/SUM(N10:P10)+$AJ$22,0)</f>
        <v>6.7628108493802594</v>
      </c>
      <c r="AD10" s="59">
        <f t="shared" ref="AD10:AD22" si="1">IFERROR(SUM(W10:Y10)/SUM(N10:P10)+$AO$22,0)</f>
        <v>9.2863634697791522</v>
      </c>
      <c r="AE10" s="59">
        <f t="shared" ref="AE10:AE22" si="2">IFERROR(SUM(Z10:AB10)/SUM(N10:P10)+$AT$22,0)</f>
        <v>4.8817324690443193</v>
      </c>
      <c r="AF10" s="51"/>
      <c r="AG10" s="57" t="s">
        <v>59</v>
      </c>
      <c r="AH10" s="58">
        <v>1</v>
      </c>
      <c r="AI10" s="58">
        <v>1</v>
      </c>
      <c r="AJ10" s="58">
        <v>1</v>
      </c>
      <c r="AK10" s="51"/>
      <c r="AL10" s="57" t="s">
        <v>59</v>
      </c>
      <c r="AM10" s="58">
        <v>1</v>
      </c>
      <c r="AN10" s="68">
        <v>1</v>
      </c>
      <c r="AO10" s="68">
        <v>1</v>
      </c>
      <c r="AP10" s="51"/>
      <c r="AQ10" s="57" t="s">
        <v>59</v>
      </c>
      <c r="AR10" s="58">
        <v>1</v>
      </c>
      <c r="AS10" s="68">
        <v>1</v>
      </c>
      <c r="AT10" s="68">
        <v>1</v>
      </c>
      <c r="AU10" s="51"/>
      <c r="AV10" s="69" t="s">
        <v>54</v>
      </c>
      <c r="AW10" s="67">
        <f>IFERROR(VLOOKUP($AW$8,$B$16:$F$22,2,0),0)</f>
        <v>1.2867792064368542</v>
      </c>
      <c r="AX10" s="67">
        <f t="shared" ref="AX10:BD10" si="3">IFERROR(VLOOKUP(AX8,$B$16:$F$22,2,0),0)</f>
        <v>1.2867792064368542</v>
      </c>
      <c r="AY10" s="67">
        <f t="shared" si="3"/>
        <v>1.2867792064368542</v>
      </c>
      <c r="AZ10" s="67">
        <f t="shared" si="3"/>
        <v>1.2867792064368542</v>
      </c>
      <c r="BA10" s="67">
        <f t="shared" si="3"/>
        <v>0</v>
      </c>
      <c r="BB10" s="67">
        <f t="shared" si="3"/>
        <v>0</v>
      </c>
      <c r="BC10" s="67">
        <f t="shared" si="3"/>
        <v>0</v>
      </c>
      <c r="BD10" s="67">
        <f t="shared" si="3"/>
        <v>0</v>
      </c>
    </row>
    <row r="11" spans="1:57" s="56" customFormat="1" ht="35.1" customHeight="1" x14ac:dyDescent="0.3">
      <c r="A11" s="51"/>
      <c r="B11" s="57" t="s">
        <v>60</v>
      </c>
      <c r="C11" s="58">
        <v>8</v>
      </c>
      <c r="D11" s="58">
        <v>10</v>
      </c>
      <c r="E11" s="58">
        <v>10</v>
      </c>
      <c r="F11" s="59">
        <f>IFERROR(SUM(C11:E11)/SUM($N$23:$P$23)+$F$13,0)</f>
        <v>0.6754358286660882</v>
      </c>
      <c r="G11" s="51"/>
      <c r="H11" s="57" t="s">
        <v>61</v>
      </c>
      <c r="I11" s="60">
        <v>15</v>
      </c>
      <c r="J11" s="60">
        <v>15</v>
      </c>
      <c r="K11" s="60">
        <v>1</v>
      </c>
      <c r="L11" s="51"/>
      <c r="M11" s="64" t="s">
        <v>62</v>
      </c>
      <c r="N11" s="65">
        <v>1.33</v>
      </c>
      <c r="O11" s="65">
        <v>1.29</v>
      </c>
      <c r="P11" s="65">
        <v>1.2010000000000001</v>
      </c>
      <c r="Q11" s="66">
        <v>3</v>
      </c>
      <c r="R11" s="66">
        <v>2</v>
      </c>
      <c r="S11" s="66">
        <v>2</v>
      </c>
      <c r="T11" s="66">
        <v>2</v>
      </c>
      <c r="U11" s="66">
        <v>3</v>
      </c>
      <c r="V11" s="66">
        <v>3</v>
      </c>
      <c r="W11" s="66">
        <v>5</v>
      </c>
      <c r="X11" s="66">
        <v>5</v>
      </c>
      <c r="Y11" s="67">
        <v>5</v>
      </c>
      <c r="Z11" s="66">
        <v>3</v>
      </c>
      <c r="AA11" s="66">
        <v>3</v>
      </c>
      <c r="AB11" s="67">
        <v>3</v>
      </c>
      <c r="AC11" s="59">
        <f t="shared" si="0"/>
        <v>4.9314323675576137</v>
      </c>
      <c r="AD11" s="59">
        <f t="shared" si="1"/>
        <v>4.5764587933681371</v>
      </c>
      <c r="AE11" s="59">
        <f t="shared" si="2"/>
        <v>2.6314949021153837</v>
      </c>
      <c r="AF11" s="51"/>
      <c r="AG11" s="57" t="s">
        <v>63</v>
      </c>
      <c r="AH11" s="58">
        <v>3</v>
      </c>
      <c r="AI11" s="58">
        <v>2</v>
      </c>
      <c r="AJ11" s="58">
        <v>2</v>
      </c>
      <c r="AK11" s="51"/>
      <c r="AL11" s="57" t="s">
        <v>63</v>
      </c>
      <c r="AM11" s="58">
        <v>2</v>
      </c>
      <c r="AN11" s="58">
        <v>2</v>
      </c>
      <c r="AO11" s="58">
        <v>2</v>
      </c>
      <c r="AP11" s="51"/>
      <c r="AQ11" s="57" t="s">
        <v>63</v>
      </c>
      <c r="AR11" s="58">
        <v>1</v>
      </c>
      <c r="AS11" s="58">
        <v>1</v>
      </c>
      <c r="AT11" s="58"/>
      <c r="AU11" s="51"/>
      <c r="AV11" s="69" t="s">
        <v>56</v>
      </c>
      <c r="AW11" s="67">
        <f t="shared" ref="AW11:BD11" si="4">IFERROR(VLOOKUP(AW8,$B$16:$F$22,3,0),0)</f>
        <v>0.41906602508479923</v>
      </c>
      <c r="AX11" s="67">
        <f t="shared" si="4"/>
        <v>0.41906602508479923</v>
      </c>
      <c r="AY11" s="67">
        <f t="shared" si="4"/>
        <v>0.41906602508479923</v>
      </c>
      <c r="AZ11" s="67">
        <f t="shared" si="4"/>
        <v>0.41906602508479923</v>
      </c>
      <c r="BA11" s="67">
        <f t="shared" si="4"/>
        <v>0</v>
      </c>
      <c r="BB11" s="67">
        <f t="shared" si="4"/>
        <v>0</v>
      </c>
      <c r="BC11" s="67">
        <f t="shared" si="4"/>
        <v>0</v>
      </c>
      <c r="BD11" s="67">
        <f t="shared" si="4"/>
        <v>0</v>
      </c>
      <c r="BE11" s="70"/>
    </row>
    <row r="12" spans="1:57" s="53" customFormat="1" ht="35.1" customHeight="1" x14ac:dyDescent="0.3">
      <c r="A12" s="51"/>
      <c r="B12" s="57" t="s">
        <v>64</v>
      </c>
      <c r="C12" s="58">
        <v>32</v>
      </c>
      <c r="D12" s="58">
        <v>30</v>
      </c>
      <c r="E12" s="58">
        <v>30</v>
      </c>
      <c r="F12" s="59">
        <f>IFERROR(SUM(C12:E12)/SUM($N$23:$P$23)+$F$13,0)</f>
        <v>1.9375640924508954</v>
      </c>
      <c r="G12" s="51"/>
      <c r="H12" s="51"/>
      <c r="I12" s="51"/>
      <c r="J12" s="51"/>
      <c r="K12" s="51"/>
      <c r="L12" s="51"/>
      <c r="M12" s="64" t="s">
        <v>65</v>
      </c>
      <c r="N12" s="65">
        <v>9.7070000000000007</v>
      </c>
      <c r="O12" s="65">
        <v>9.69</v>
      </c>
      <c r="P12" s="65">
        <v>9.1690000000000005</v>
      </c>
      <c r="Q12" s="66">
        <v>10</v>
      </c>
      <c r="R12" s="66">
        <v>10</v>
      </c>
      <c r="S12" s="66">
        <v>10</v>
      </c>
      <c r="T12" s="66">
        <v>16</v>
      </c>
      <c r="U12" s="66">
        <v>15</v>
      </c>
      <c r="V12" s="66">
        <v>15</v>
      </c>
      <c r="W12" s="66">
        <v>36</v>
      </c>
      <c r="X12" s="66">
        <v>36</v>
      </c>
      <c r="Y12" s="67">
        <v>36</v>
      </c>
      <c r="Z12" s="66">
        <v>18</v>
      </c>
      <c r="AA12" s="66">
        <v>17</v>
      </c>
      <c r="AB12" s="66">
        <v>17</v>
      </c>
      <c r="AC12" s="59">
        <f t="shared" si="0"/>
        <v>3.6662639562477666</v>
      </c>
      <c r="AD12" s="59">
        <f t="shared" si="1"/>
        <v>4.4315032224979731</v>
      </c>
      <c r="AE12" s="59">
        <f t="shared" si="2"/>
        <v>2.0964364234174124</v>
      </c>
      <c r="AF12" s="51"/>
      <c r="AG12" s="46" t="s">
        <v>66</v>
      </c>
      <c r="AH12" s="58">
        <v>7</v>
      </c>
      <c r="AI12" s="58">
        <v>7</v>
      </c>
      <c r="AJ12" s="58">
        <v>7</v>
      </c>
      <c r="AK12" s="51"/>
      <c r="AL12" s="46" t="s">
        <v>67</v>
      </c>
      <c r="AM12" s="58">
        <v>5</v>
      </c>
      <c r="AN12" s="58">
        <v>5</v>
      </c>
      <c r="AO12" s="58">
        <v>5</v>
      </c>
      <c r="AP12" s="51"/>
      <c r="AQ12" s="46" t="s">
        <v>67</v>
      </c>
      <c r="AR12" s="58"/>
      <c r="AS12" s="58"/>
      <c r="AT12" s="58"/>
      <c r="AU12" s="51"/>
      <c r="AV12" s="69" t="s">
        <v>60</v>
      </c>
      <c r="AW12" s="67">
        <f t="shared" ref="AW12:BD12" si="5">IFERROR(VLOOKUP(AW8,$B$16:$F$22,4,0),0)</f>
        <v>0.6754358286660882</v>
      </c>
      <c r="AX12" s="67">
        <f t="shared" si="5"/>
        <v>0.6754358286660882</v>
      </c>
      <c r="AY12" s="67">
        <f t="shared" si="5"/>
        <v>0.6754358286660882</v>
      </c>
      <c r="AZ12" s="67">
        <f t="shared" si="5"/>
        <v>0.6754358286660882</v>
      </c>
      <c r="BA12" s="67">
        <f t="shared" si="5"/>
        <v>0</v>
      </c>
      <c r="BB12" s="67">
        <f t="shared" si="5"/>
        <v>0</v>
      </c>
      <c r="BC12" s="67">
        <f t="shared" si="5"/>
        <v>0</v>
      </c>
      <c r="BD12" s="67">
        <f t="shared" si="5"/>
        <v>0</v>
      </c>
    </row>
    <row r="13" spans="1:57" s="56" customFormat="1" ht="35.1" customHeight="1" x14ac:dyDescent="0.3">
      <c r="A13" s="51"/>
      <c r="B13" s="57" t="s">
        <v>68</v>
      </c>
      <c r="C13" s="58">
        <v>8</v>
      </c>
      <c r="D13" s="58">
        <v>9</v>
      </c>
      <c r="E13" s="58">
        <v>8</v>
      </c>
      <c r="F13" s="59">
        <f>IFERROR(SUM(C13:E13)/SUM($N$23:$P$23)/4,0)</f>
        <v>0.12325471326023507</v>
      </c>
      <c r="G13" s="51"/>
      <c r="H13" s="51"/>
      <c r="I13" s="51"/>
      <c r="J13" s="51"/>
      <c r="K13" s="51"/>
      <c r="L13" s="51"/>
      <c r="M13" s="64" t="s">
        <v>69</v>
      </c>
      <c r="N13" s="65">
        <v>5.6239999999999997</v>
      </c>
      <c r="O13" s="65">
        <v>4.9489999999999998</v>
      </c>
      <c r="P13" s="65">
        <v>6.0110000000000001</v>
      </c>
      <c r="Q13" s="66">
        <v>5</v>
      </c>
      <c r="R13" s="66">
        <v>6</v>
      </c>
      <c r="S13" s="66">
        <v>6</v>
      </c>
      <c r="T13" s="66">
        <v>7</v>
      </c>
      <c r="U13" s="66">
        <v>7</v>
      </c>
      <c r="V13" s="66">
        <v>7</v>
      </c>
      <c r="W13" s="66">
        <v>16</v>
      </c>
      <c r="X13" s="66">
        <v>16</v>
      </c>
      <c r="Y13" s="67">
        <v>16</v>
      </c>
      <c r="Z13" s="66">
        <v>7</v>
      </c>
      <c r="AA13" s="66">
        <v>8</v>
      </c>
      <c r="AB13" s="67">
        <v>8</v>
      </c>
      <c r="AC13" s="59">
        <f t="shared" si="0"/>
        <v>3.2971236314529153</v>
      </c>
      <c r="AD13" s="59">
        <f t="shared" si="1"/>
        <v>3.5451408918027529</v>
      </c>
      <c r="AE13" s="59">
        <f t="shared" si="2"/>
        <v>1.662969477143351</v>
      </c>
      <c r="AF13" s="51"/>
      <c r="AG13" s="46" t="s">
        <v>70</v>
      </c>
      <c r="AH13" s="58"/>
      <c r="AI13" s="58"/>
      <c r="AJ13" s="58"/>
      <c r="AK13" s="51"/>
      <c r="AL13" s="57" t="s">
        <v>71</v>
      </c>
      <c r="AM13" s="58">
        <v>2</v>
      </c>
      <c r="AN13" s="58">
        <v>2</v>
      </c>
      <c r="AO13" s="58">
        <v>2</v>
      </c>
      <c r="AP13" s="51"/>
      <c r="AQ13" s="57" t="s">
        <v>71</v>
      </c>
      <c r="AR13" s="58">
        <v>2</v>
      </c>
      <c r="AS13" s="58">
        <v>2</v>
      </c>
      <c r="AT13" s="58">
        <v>2</v>
      </c>
      <c r="AU13" s="51"/>
      <c r="AV13" s="69" t="s">
        <v>64</v>
      </c>
      <c r="AW13" s="67">
        <f t="shared" ref="AW13:BD13" si="6">IFERROR(VLOOKUP(AW8,$B$16:$F$22,5,0),0)</f>
        <v>1.9375640924508954</v>
      </c>
      <c r="AX13" s="67">
        <f t="shared" si="6"/>
        <v>1.9375640924508954</v>
      </c>
      <c r="AY13" s="67">
        <f t="shared" si="6"/>
        <v>1.9375640924508954</v>
      </c>
      <c r="AZ13" s="67">
        <f t="shared" si="6"/>
        <v>1.9375640924508954</v>
      </c>
      <c r="BA13" s="67">
        <f t="shared" si="6"/>
        <v>0</v>
      </c>
      <c r="BB13" s="67">
        <f t="shared" si="6"/>
        <v>0</v>
      </c>
      <c r="BC13" s="67">
        <f t="shared" si="6"/>
        <v>0</v>
      </c>
      <c r="BD13" s="67">
        <f t="shared" si="6"/>
        <v>0</v>
      </c>
    </row>
    <row r="14" spans="1:57" s="56" customFormat="1" ht="35.1" customHeight="1" x14ac:dyDescent="0.3">
      <c r="A14" s="51"/>
      <c r="B14" s="51"/>
      <c r="C14" s="71">
        <f>SUM(C9:C13)</f>
        <v>72</v>
      </c>
      <c r="D14" s="71">
        <f>SUM(D9:D13)</f>
        <v>74</v>
      </c>
      <c r="E14" s="71">
        <f>SUM(E9:E13)</f>
        <v>73</v>
      </c>
      <c r="F14" s="51"/>
      <c r="G14" s="51"/>
      <c r="H14" s="51"/>
      <c r="I14" s="51"/>
      <c r="J14" s="51"/>
      <c r="K14" s="51"/>
      <c r="L14" s="51"/>
      <c r="M14" s="64"/>
      <c r="N14" s="65"/>
      <c r="O14" s="65"/>
      <c r="P14" s="65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59">
        <f t="shared" si="0"/>
        <v>0</v>
      </c>
      <c r="AD14" s="59">
        <f t="shared" si="1"/>
        <v>0</v>
      </c>
      <c r="AE14" s="59">
        <f t="shared" si="2"/>
        <v>0</v>
      </c>
      <c r="AF14" s="51"/>
      <c r="AG14" s="57" t="s">
        <v>71</v>
      </c>
      <c r="AH14" s="58">
        <v>3</v>
      </c>
      <c r="AI14" s="58">
        <v>3</v>
      </c>
      <c r="AJ14" s="58">
        <v>3</v>
      </c>
      <c r="AK14" s="51"/>
      <c r="AL14" s="57" t="s">
        <v>72</v>
      </c>
      <c r="AM14" s="58">
        <v>1</v>
      </c>
      <c r="AN14" s="58">
        <v>1</v>
      </c>
      <c r="AO14" s="58">
        <v>1</v>
      </c>
      <c r="AP14" s="51"/>
      <c r="AQ14" s="57" t="s">
        <v>72</v>
      </c>
      <c r="AR14" s="58">
        <v>1</v>
      </c>
      <c r="AS14" s="58">
        <v>2</v>
      </c>
      <c r="AT14" s="58"/>
      <c r="AU14" s="51"/>
      <c r="AV14" s="69" t="s">
        <v>73</v>
      </c>
      <c r="AW14" s="67">
        <f t="shared" ref="AW14:BD14" si="7">IFERROR(VLOOKUP(AW8,$M$10:$AE$22,17,0),0)</f>
        <v>6.7628108493802594</v>
      </c>
      <c r="AX14" s="67">
        <f t="shared" si="7"/>
        <v>4.9314323675576137</v>
      </c>
      <c r="AY14" s="67">
        <f t="shared" si="7"/>
        <v>3.6662639562477666</v>
      </c>
      <c r="AZ14" s="67">
        <f t="shared" si="7"/>
        <v>3.2971236314529153</v>
      </c>
      <c r="BA14" s="67">
        <f t="shared" si="7"/>
        <v>0</v>
      </c>
      <c r="BB14" s="67">
        <f t="shared" si="7"/>
        <v>0</v>
      </c>
      <c r="BC14" s="67">
        <f t="shared" si="7"/>
        <v>0</v>
      </c>
      <c r="BD14" s="67">
        <f t="shared" si="7"/>
        <v>0</v>
      </c>
    </row>
    <row r="15" spans="1:57" s="56" customFormat="1" ht="35.1" customHeight="1" x14ac:dyDescent="0.3">
      <c r="A15" s="51"/>
      <c r="B15" s="42" t="s">
        <v>42</v>
      </c>
      <c r="C15" s="42" t="s">
        <v>54</v>
      </c>
      <c r="D15" s="42" t="s">
        <v>56</v>
      </c>
      <c r="E15" s="42" t="s">
        <v>60</v>
      </c>
      <c r="F15" s="42" t="s">
        <v>64</v>
      </c>
      <c r="G15" s="51"/>
      <c r="H15" s="51"/>
      <c r="I15" s="51"/>
      <c r="J15" s="51"/>
      <c r="K15" s="51"/>
      <c r="L15" s="51"/>
      <c r="M15" s="85"/>
      <c r="N15" s="72"/>
      <c r="O15" s="72"/>
      <c r="P15" s="72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59">
        <f t="shared" si="0"/>
        <v>0</v>
      </c>
      <c r="AD15" s="59">
        <f t="shared" si="1"/>
        <v>0</v>
      </c>
      <c r="AE15" s="59">
        <f t="shared" si="2"/>
        <v>0</v>
      </c>
      <c r="AF15" s="51"/>
      <c r="AG15" s="57" t="s">
        <v>72</v>
      </c>
      <c r="AH15" s="58">
        <v>4</v>
      </c>
      <c r="AI15" s="58">
        <v>3</v>
      </c>
      <c r="AJ15" s="58">
        <v>4</v>
      </c>
      <c r="AK15" s="51"/>
      <c r="AL15" s="58"/>
      <c r="AM15" s="58"/>
      <c r="AN15" s="58"/>
      <c r="AO15" s="58"/>
      <c r="AP15" s="51"/>
      <c r="AQ15" s="58"/>
      <c r="AR15" s="58"/>
      <c r="AS15" s="58"/>
      <c r="AT15" s="58"/>
      <c r="AU15" s="51"/>
      <c r="AV15" s="69" t="s">
        <v>74</v>
      </c>
      <c r="AW15" s="67">
        <f t="shared" ref="AW15:BD15" si="8">IFERROR(VLOOKUP(AW8,$M$10:$AE$22,18,0),0)</f>
        <v>9.2863634697791522</v>
      </c>
      <c r="AX15" s="67">
        <f t="shared" si="8"/>
        <v>4.5764587933681371</v>
      </c>
      <c r="AY15" s="67">
        <f t="shared" si="8"/>
        <v>4.4315032224979731</v>
      </c>
      <c r="AZ15" s="67">
        <f t="shared" si="8"/>
        <v>3.5451408918027529</v>
      </c>
      <c r="BA15" s="67">
        <f t="shared" si="8"/>
        <v>0</v>
      </c>
      <c r="BB15" s="67">
        <f t="shared" si="8"/>
        <v>0</v>
      </c>
      <c r="BC15" s="67">
        <f t="shared" si="8"/>
        <v>0</v>
      </c>
      <c r="BD15" s="67">
        <f t="shared" si="8"/>
        <v>0</v>
      </c>
    </row>
    <row r="16" spans="1:57" s="56" customFormat="1" ht="35.1" customHeight="1" x14ac:dyDescent="0.3">
      <c r="A16" s="51"/>
      <c r="B16" s="73" t="str">
        <f t="shared" ref="B16:B22" si="9">M10</f>
        <v xml:space="preserve">      8 lbs/1 CRX</v>
      </c>
      <c r="C16" s="88">
        <f t="shared" ref="C16:C22" si="10">IF(B16=0,0,$F$9)</f>
        <v>1.2867792064368542</v>
      </c>
      <c r="D16" s="88">
        <f t="shared" ref="D16:D22" si="11">IF(C16=0,0,$F$10)</f>
        <v>0.41906602508479923</v>
      </c>
      <c r="E16" s="88">
        <f t="shared" ref="E16:E22" si="12">IF(D16=0,0,$F$11)</f>
        <v>0.6754358286660882</v>
      </c>
      <c r="F16" s="88">
        <f t="shared" ref="F16:F22" si="13">IF(E16=0,0,$F$12)</f>
        <v>1.9375640924508954</v>
      </c>
      <c r="G16" s="51"/>
      <c r="H16" s="51"/>
      <c r="I16" s="51"/>
      <c r="J16" s="51"/>
      <c r="K16" s="51"/>
      <c r="L16" s="51"/>
      <c r="M16" s="64"/>
      <c r="N16" s="72"/>
      <c r="O16" s="72"/>
      <c r="P16" s="72"/>
      <c r="Q16" s="66"/>
      <c r="R16" s="66"/>
      <c r="S16" s="66"/>
      <c r="T16" s="66"/>
      <c r="U16" s="66"/>
      <c r="V16" s="66"/>
      <c r="W16" s="67"/>
      <c r="X16" s="66"/>
      <c r="Y16" s="66"/>
      <c r="Z16" s="66"/>
      <c r="AA16" s="66"/>
      <c r="AB16" s="66"/>
      <c r="AC16" s="59">
        <f t="shared" si="0"/>
        <v>0</v>
      </c>
      <c r="AD16" s="59">
        <f t="shared" si="1"/>
        <v>0</v>
      </c>
      <c r="AE16" s="59">
        <f t="shared" si="2"/>
        <v>0</v>
      </c>
      <c r="AF16" s="51"/>
      <c r="AG16" s="57"/>
      <c r="AH16" s="58"/>
      <c r="AI16" s="58"/>
      <c r="AJ16" s="58"/>
      <c r="AK16" s="51"/>
      <c r="AL16" s="58"/>
      <c r="AM16" s="58"/>
      <c r="AN16" s="58"/>
      <c r="AO16" s="58"/>
      <c r="AP16" s="51"/>
      <c r="AQ16" s="58"/>
      <c r="AR16" s="58"/>
      <c r="AS16" s="58"/>
      <c r="AT16" s="58"/>
      <c r="AU16" s="51"/>
      <c r="AV16" s="69" t="s">
        <v>75</v>
      </c>
      <c r="AW16" s="67">
        <f t="shared" ref="AW16:BD16" si="14">IFERROR(VLOOKUP(AW8,$M$10:$AE$22,19,0),0)</f>
        <v>4.8817324690443193</v>
      </c>
      <c r="AX16" s="67">
        <f t="shared" si="14"/>
        <v>2.6314949021153837</v>
      </c>
      <c r="AY16" s="67">
        <f t="shared" si="14"/>
        <v>2.0964364234174124</v>
      </c>
      <c r="AZ16" s="67">
        <f t="shared" si="14"/>
        <v>1.662969477143351</v>
      </c>
      <c r="BA16" s="67">
        <f t="shared" si="14"/>
        <v>0</v>
      </c>
      <c r="BB16" s="67">
        <f t="shared" si="14"/>
        <v>0</v>
      </c>
      <c r="BC16" s="67">
        <f t="shared" si="14"/>
        <v>0</v>
      </c>
      <c r="BD16" s="67">
        <f t="shared" si="14"/>
        <v>0</v>
      </c>
    </row>
    <row r="17" spans="1:56" s="56" customFormat="1" ht="35.1" customHeight="1" x14ac:dyDescent="0.3">
      <c r="A17" s="51"/>
      <c r="B17" s="73" t="str">
        <f t="shared" si="9"/>
        <v xml:space="preserve">       14 lbs/1 CRX</v>
      </c>
      <c r="C17" s="88">
        <f t="shared" si="10"/>
        <v>1.2867792064368542</v>
      </c>
      <c r="D17" s="88">
        <f t="shared" si="11"/>
        <v>0.41906602508479923</v>
      </c>
      <c r="E17" s="88">
        <f t="shared" si="12"/>
        <v>0.6754358286660882</v>
      </c>
      <c r="F17" s="88">
        <f t="shared" si="13"/>
        <v>1.9375640924508954</v>
      </c>
      <c r="G17" s="51"/>
      <c r="H17" s="51"/>
      <c r="I17" s="51"/>
      <c r="J17" s="51"/>
      <c r="K17" s="51"/>
      <c r="L17" s="51"/>
      <c r="M17" s="64"/>
      <c r="N17" s="74"/>
      <c r="O17" s="74"/>
      <c r="P17" s="74"/>
      <c r="Q17" s="58"/>
      <c r="R17" s="66"/>
      <c r="S17" s="66"/>
      <c r="T17" s="66"/>
      <c r="U17" s="66"/>
      <c r="V17" s="66"/>
      <c r="W17" s="67"/>
      <c r="X17" s="66"/>
      <c r="Y17" s="66"/>
      <c r="Z17" s="66"/>
      <c r="AA17" s="66"/>
      <c r="AB17" s="66"/>
      <c r="AC17" s="59">
        <f t="shared" si="0"/>
        <v>0</v>
      </c>
      <c r="AD17" s="59">
        <f t="shared" si="1"/>
        <v>0</v>
      </c>
      <c r="AE17" s="59">
        <f t="shared" si="2"/>
        <v>0</v>
      </c>
      <c r="AF17" s="51"/>
      <c r="AG17" s="75"/>
      <c r="AH17" s="58"/>
      <c r="AI17" s="58"/>
      <c r="AJ17" s="58"/>
      <c r="AK17" s="51"/>
      <c r="AL17" s="58"/>
      <c r="AM17" s="58"/>
      <c r="AN17" s="58"/>
      <c r="AO17" s="58"/>
      <c r="AP17" s="51"/>
      <c r="AQ17" s="58"/>
      <c r="AR17" s="58"/>
      <c r="AS17" s="58"/>
      <c r="AT17" s="58"/>
      <c r="AU17" s="51"/>
      <c r="AV17" s="69" t="s">
        <v>76</v>
      </c>
      <c r="AW17" s="67">
        <f t="shared" ref="AW17:BD17" si="15">IF(AW14=0,0,SUM($I$11:$K$11)/SUM($N$23:$P$23))</f>
        <v>0.61134337777076597</v>
      </c>
      <c r="AX17" s="67">
        <f t="shared" si="15"/>
        <v>0.61134337777076597</v>
      </c>
      <c r="AY17" s="67">
        <f t="shared" si="15"/>
        <v>0.61134337777076597</v>
      </c>
      <c r="AZ17" s="67">
        <f t="shared" si="15"/>
        <v>0.61134337777076597</v>
      </c>
      <c r="BA17" s="67">
        <f t="shared" si="15"/>
        <v>0</v>
      </c>
      <c r="BB17" s="67">
        <f t="shared" si="15"/>
        <v>0</v>
      </c>
      <c r="BC17" s="67">
        <f t="shared" si="15"/>
        <v>0</v>
      </c>
      <c r="BD17" s="67">
        <f t="shared" si="15"/>
        <v>0</v>
      </c>
    </row>
    <row r="18" spans="1:56" s="56" customFormat="1" ht="35.1" customHeight="1" x14ac:dyDescent="0.3">
      <c r="A18" s="51"/>
      <c r="B18" s="73" t="str">
        <f t="shared" si="9"/>
        <v xml:space="preserve">        16lbs/1CRT</v>
      </c>
      <c r="C18" s="88">
        <f t="shared" si="10"/>
        <v>1.2867792064368542</v>
      </c>
      <c r="D18" s="88">
        <f t="shared" si="11"/>
        <v>0.41906602508479923</v>
      </c>
      <c r="E18" s="88">
        <f t="shared" si="12"/>
        <v>0.6754358286660882</v>
      </c>
      <c r="F18" s="88">
        <f t="shared" si="13"/>
        <v>1.9375640924508954</v>
      </c>
      <c r="G18" s="51"/>
      <c r="H18" s="51"/>
      <c r="I18" s="51"/>
      <c r="J18" s="51"/>
      <c r="K18" s="51"/>
      <c r="L18" s="51"/>
      <c r="M18" s="58"/>
      <c r="N18" s="74"/>
      <c r="O18" s="74"/>
      <c r="P18" s="74"/>
      <c r="Q18" s="58"/>
      <c r="R18" s="67"/>
      <c r="S18" s="67"/>
      <c r="T18" s="67"/>
      <c r="U18" s="67"/>
      <c r="V18" s="67"/>
      <c r="W18" s="67"/>
      <c r="X18" s="67"/>
      <c r="Y18" s="66"/>
      <c r="Z18" s="66"/>
      <c r="AA18" s="66"/>
      <c r="AB18" s="66"/>
      <c r="AC18" s="59">
        <f t="shared" si="0"/>
        <v>0</v>
      </c>
      <c r="AD18" s="59">
        <f t="shared" si="1"/>
        <v>0</v>
      </c>
      <c r="AE18" s="59">
        <f t="shared" si="2"/>
        <v>0</v>
      </c>
      <c r="AF18" s="51"/>
      <c r="AG18" s="75"/>
      <c r="AH18" s="58"/>
      <c r="AI18" s="58"/>
      <c r="AJ18" s="58"/>
      <c r="AK18" s="51"/>
      <c r="AL18" s="58"/>
      <c r="AM18" s="58"/>
      <c r="AN18" s="58"/>
      <c r="AO18" s="58"/>
      <c r="AP18" s="51"/>
      <c r="AQ18" s="58"/>
      <c r="AR18" s="58"/>
      <c r="AS18" s="58"/>
      <c r="AT18" s="58"/>
      <c r="AU18" s="51"/>
      <c r="AV18" s="69" t="s">
        <v>77</v>
      </c>
      <c r="AW18" s="67">
        <f t="shared" ref="AW18:BD18" si="16">IF(AW14=0,0,SUM($I$9:$K$10)/SUM($N$23:$P$23))</f>
        <v>2.484815019326339</v>
      </c>
      <c r="AX18" s="67">
        <f t="shared" si="16"/>
        <v>2.484815019326339</v>
      </c>
      <c r="AY18" s="67">
        <f t="shared" si="16"/>
        <v>2.484815019326339</v>
      </c>
      <c r="AZ18" s="67">
        <f t="shared" si="16"/>
        <v>2.484815019326339</v>
      </c>
      <c r="BA18" s="67">
        <f t="shared" si="16"/>
        <v>0</v>
      </c>
      <c r="BB18" s="67">
        <f t="shared" si="16"/>
        <v>0</v>
      </c>
      <c r="BC18" s="67">
        <f t="shared" si="16"/>
        <v>0</v>
      </c>
      <c r="BD18" s="67">
        <f t="shared" si="16"/>
        <v>0</v>
      </c>
    </row>
    <row r="19" spans="1:56" s="56" customFormat="1" ht="35.1" customHeight="1" x14ac:dyDescent="0.3">
      <c r="A19" s="51"/>
      <c r="B19" s="73" t="str">
        <f t="shared" si="9"/>
        <v xml:space="preserve">22/1CRT </v>
      </c>
      <c r="C19" s="88">
        <f t="shared" si="10"/>
        <v>1.2867792064368542</v>
      </c>
      <c r="D19" s="88">
        <f t="shared" si="11"/>
        <v>0.41906602508479923</v>
      </c>
      <c r="E19" s="88">
        <f t="shared" si="12"/>
        <v>0.6754358286660882</v>
      </c>
      <c r="F19" s="88">
        <f t="shared" si="13"/>
        <v>1.9375640924508954</v>
      </c>
      <c r="G19" s="51"/>
      <c r="H19" s="51"/>
      <c r="I19" s="51"/>
      <c r="J19" s="51"/>
      <c r="K19" s="51"/>
      <c r="L19" s="51"/>
      <c r="M19" s="58"/>
      <c r="N19" s="74"/>
      <c r="O19" s="74"/>
      <c r="P19" s="74"/>
      <c r="Q19" s="58"/>
      <c r="R19" s="67"/>
      <c r="S19" s="67"/>
      <c r="T19" s="67"/>
      <c r="U19" s="67"/>
      <c r="V19" s="67"/>
      <c r="W19" s="67"/>
      <c r="X19" s="67"/>
      <c r="Y19" s="66"/>
      <c r="Z19" s="66"/>
      <c r="AA19" s="66"/>
      <c r="AB19" s="66"/>
      <c r="AC19" s="59">
        <f t="shared" si="0"/>
        <v>0</v>
      </c>
      <c r="AD19" s="59">
        <f t="shared" si="1"/>
        <v>0</v>
      </c>
      <c r="AE19" s="59">
        <f t="shared" si="2"/>
        <v>0</v>
      </c>
      <c r="AF19" s="51"/>
      <c r="AG19" s="75"/>
      <c r="AH19" s="58"/>
      <c r="AI19" s="58"/>
      <c r="AJ19" s="58"/>
      <c r="AK19" s="51"/>
      <c r="AL19" s="58"/>
      <c r="AM19" s="58"/>
      <c r="AN19" s="58"/>
      <c r="AO19" s="58"/>
      <c r="AP19" s="51"/>
      <c r="AQ19" s="58"/>
      <c r="AR19" s="58"/>
      <c r="AS19" s="58"/>
      <c r="AT19" s="58"/>
      <c r="AU19" s="51"/>
      <c r="AV19" s="76" t="s">
        <v>36</v>
      </c>
      <c r="AW19" s="77">
        <f t="shared" ref="AW19:BD19" si="17">SUM(AW10:AW18)</f>
        <v>28.345910337939472</v>
      </c>
      <c r="AX19" s="77">
        <f t="shared" si="17"/>
        <v>19.55438961277688</v>
      </c>
      <c r="AY19" s="77">
        <f t="shared" si="17"/>
        <v>17.609207151898893</v>
      </c>
      <c r="AZ19" s="77">
        <f t="shared" si="17"/>
        <v>15.920237550134761</v>
      </c>
      <c r="BA19" s="77">
        <f t="shared" si="17"/>
        <v>0</v>
      </c>
      <c r="BB19" s="77">
        <f t="shared" si="17"/>
        <v>0</v>
      </c>
      <c r="BC19" s="77">
        <f t="shared" si="17"/>
        <v>0</v>
      </c>
      <c r="BD19" s="77">
        <f t="shared" si="17"/>
        <v>0</v>
      </c>
    </row>
    <row r="20" spans="1:56" s="56" customFormat="1" ht="35.1" customHeight="1" x14ac:dyDescent="0.3">
      <c r="A20" s="51"/>
      <c r="B20" s="73">
        <f t="shared" si="9"/>
        <v>0</v>
      </c>
      <c r="C20" s="88">
        <f t="shared" si="10"/>
        <v>0</v>
      </c>
      <c r="D20" s="88">
        <f t="shared" si="11"/>
        <v>0</v>
      </c>
      <c r="E20" s="88">
        <f t="shared" si="12"/>
        <v>0</v>
      </c>
      <c r="F20" s="88">
        <f t="shared" si="13"/>
        <v>0</v>
      </c>
      <c r="G20" s="51"/>
      <c r="H20" s="51"/>
      <c r="I20" s="51"/>
      <c r="J20" s="51"/>
      <c r="K20" s="51"/>
      <c r="L20" s="51"/>
      <c r="M20" s="58"/>
      <c r="N20" s="74"/>
      <c r="O20" s="74"/>
      <c r="P20" s="74"/>
      <c r="Q20" s="58"/>
      <c r="R20" s="67"/>
      <c r="S20" s="67"/>
      <c r="T20" s="67"/>
      <c r="U20" s="67"/>
      <c r="V20" s="67"/>
      <c r="W20" s="67"/>
      <c r="X20" s="67"/>
      <c r="Y20" s="66"/>
      <c r="Z20" s="66"/>
      <c r="AA20" s="66"/>
      <c r="AB20" s="66"/>
      <c r="AC20" s="59">
        <f t="shared" si="0"/>
        <v>0</v>
      </c>
      <c r="AD20" s="59">
        <f t="shared" si="1"/>
        <v>0</v>
      </c>
      <c r="AE20" s="59">
        <f t="shared" si="2"/>
        <v>0</v>
      </c>
      <c r="AF20" s="51"/>
      <c r="AG20" s="75"/>
      <c r="AH20" s="58"/>
      <c r="AI20" s="58"/>
      <c r="AJ20" s="58"/>
      <c r="AK20" s="51"/>
      <c r="AL20" s="58"/>
      <c r="AM20" s="58"/>
      <c r="AN20" s="58"/>
      <c r="AO20" s="58"/>
      <c r="AP20" s="51"/>
      <c r="AQ20" s="58"/>
      <c r="AR20" s="58"/>
      <c r="AS20" s="58"/>
      <c r="AT20" s="58"/>
      <c r="AU20" s="51"/>
      <c r="AV20" s="76" t="s">
        <v>78</v>
      </c>
      <c r="AW20" s="78">
        <f>(IF(AW14=0,0,(SUM(N10:P10)*AW19)))</f>
        <v>49.236846257000863</v>
      </c>
      <c r="AX20" s="78">
        <f>(IF(AX14=0,0,(SUM(N11:P11)*AX19)))</f>
        <v>74.717322710420461</v>
      </c>
      <c r="AY20" s="78">
        <f>(IF(AY14=0,0,(SUM(N12:P12)*AY19)))</f>
        <v>503.02461150114374</v>
      </c>
      <c r="AZ20" s="78">
        <f>(IF(AZ14=0,0,(SUM(N13:P13)*AZ19)))</f>
        <v>264.02121953143489</v>
      </c>
      <c r="BA20" s="78">
        <f>(IF(BA14=0,0,(SUM(N14:P14)*BA19)))</f>
        <v>0</v>
      </c>
      <c r="BB20" s="78">
        <f>(IF(BB14=0,0,(SUM(N15:P15)*BB19)))</f>
        <v>0</v>
      </c>
      <c r="BC20" s="78">
        <f>(IF(BC14=0,0,(SUM(N16:P16)*BC19)))</f>
        <v>0</v>
      </c>
      <c r="BD20" s="78">
        <f>(IF(BD14=0,0,(SUM(N17:P17)*BD19)))</f>
        <v>0</v>
      </c>
    </row>
    <row r="21" spans="1:56" s="56" customFormat="1" ht="35.1" customHeight="1" x14ac:dyDescent="0.3">
      <c r="A21" s="51"/>
      <c r="B21" s="73">
        <f t="shared" si="9"/>
        <v>0</v>
      </c>
      <c r="C21" s="88">
        <f t="shared" si="10"/>
        <v>0</v>
      </c>
      <c r="D21" s="88">
        <f t="shared" si="11"/>
        <v>0</v>
      </c>
      <c r="E21" s="88">
        <f t="shared" si="12"/>
        <v>0</v>
      </c>
      <c r="F21" s="88">
        <f t="shared" si="13"/>
        <v>0</v>
      </c>
      <c r="G21" s="51"/>
      <c r="H21" s="51"/>
      <c r="I21" s="51"/>
      <c r="J21" s="51"/>
      <c r="K21" s="51"/>
      <c r="L21" s="51"/>
      <c r="M21" s="58"/>
      <c r="N21" s="74"/>
      <c r="O21" s="74"/>
      <c r="P21" s="74"/>
      <c r="Q21" s="58"/>
      <c r="R21" s="67"/>
      <c r="S21" s="67"/>
      <c r="T21" s="67"/>
      <c r="U21" s="67"/>
      <c r="V21" s="67"/>
      <c r="W21" s="67"/>
      <c r="X21" s="67"/>
      <c r="Y21" s="66"/>
      <c r="Z21" s="66"/>
      <c r="AA21" s="66"/>
      <c r="AB21" s="66"/>
      <c r="AC21" s="59">
        <f t="shared" si="0"/>
        <v>0</v>
      </c>
      <c r="AD21" s="59">
        <f t="shared" si="1"/>
        <v>0</v>
      </c>
      <c r="AE21" s="59">
        <f t="shared" si="2"/>
        <v>0</v>
      </c>
      <c r="AF21" s="51"/>
      <c r="AG21" s="114" t="s">
        <v>7</v>
      </c>
      <c r="AH21" s="97"/>
      <c r="AI21" s="98"/>
      <c r="AJ21" s="79">
        <f>SUM(AH10:AJ20)</f>
        <v>51</v>
      </c>
      <c r="AK21" s="51"/>
      <c r="AL21" s="114" t="s">
        <v>7</v>
      </c>
      <c r="AM21" s="97"/>
      <c r="AN21" s="98"/>
      <c r="AO21" s="79">
        <f>SUM(AM10:AO20)</f>
        <v>33</v>
      </c>
      <c r="AP21" s="51"/>
      <c r="AQ21" s="114" t="s">
        <v>7</v>
      </c>
      <c r="AR21" s="97"/>
      <c r="AS21" s="98"/>
      <c r="AT21" s="79">
        <f>SUM(AR10:AT20)</f>
        <v>14</v>
      </c>
      <c r="AU21" s="51"/>
      <c r="AV21" s="51" t="str">
        <f>AW8</f>
        <v xml:space="preserve">      8 lbs/1 CRX</v>
      </c>
      <c r="AW21" s="83">
        <f>AW19</f>
        <v>28.345910337939472</v>
      </c>
      <c r="AX21" s="51"/>
      <c r="AY21" s="51"/>
      <c r="AZ21" s="51"/>
      <c r="BA21" s="51"/>
      <c r="BB21" s="51"/>
      <c r="BC21" s="51"/>
    </row>
    <row r="22" spans="1:56" s="56" customFormat="1" ht="35.1" customHeight="1" x14ac:dyDescent="0.3">
      <c r="A22" s="51"/>
      <c r="B22" s="73">
        <f t="shared" si="9"/>
        <v>0</v>
      </c>
      <c r="C22" s="88">
        <f t="shared" si="10"/>
        <v>0</v>
      </c>
      <c r="D22" s="88">
        <f t="shared" si="11"/>
        <v>0</v>
      </c>
      <c r="E22" s="88">
        <f t="shared" si="12"/>
        <v>0</v>
      </c>
      <c r="F22" s="88">
        <f t="shared" si="13"/>
        <v>0</v>
      </c>
      <c r="G22" s="51"/>
      <c r="H22" s="51"/>
      <c r="I22" s="51"/>
      <c r="J22" s="51"/>
      <c r="K22" s="51"/>
      <c r="L22" s="51"/>
      <c r="M22" s="58"/>
      <c r="N22" s="74"/>
      <c r="O22" s="74"/>
      <c r="P22" s="74"/>
      <c r="Q22" s="58"/>
      <c r="R22" s="67"/>
      <c r="S22" s="67"/>
      <c r="T22" s="67"/>
      <c r="U22" s="67"/>
      <c r="V22" s="67"/>
      <c r="W22" s="67"/>
      <c r="X22" s="67"/>
      <c r="Y22" s="66"/>
      <c r="Z22" s="66"/>
      <c r="AA22" s="66"/>
      <c r="AB22" s="66"/>
      <c r="AC22" s="59">
        <f t="shared" si="0"/>
        <v>0</v>
      </c>
      <c r="AD22" s="59">
        <f t="shared" si="1"/>
        <v>0</v>
      </c>
      <c r="AE22" s="59">
        <f t="shared" si="2"/>
        <v>0</v>
      </c>
      <c r="AF22" s="51"/>
      <c r="AG22" s="114" t="s">
        <v>79</v>
      </c>
      <c r="AH22" s="97"/>
      <c r="AI22" s="98"/>
      <c r="AJ22" s="80">
        <f>IFERROR($AJ$21/SUM($N$23:$P$23),0)</f>
        <v>1.0057584602035181</v>
      </c>
      <c r="AK22" s="51"/>
      <c r="AL22" s="114" t="s">
        <v>79</v>
      </c>
      <c r="AM22" s="97"/>
      <c r="AN22" s="98"/>
      <c r="AO22" s="80">
        <f>IFERROR($AO$21/SUM($N$23:$P$23),0)</f>
        <v>0.65078488601404116</v>
      </c>
      <c r="AP22" s="51"/>
      <c r="AQ22" s="114" t="s">
        <v>79</v>
      </c>
      <c r="AR22" s="97"/>
      <c r="AS22" s="98"/>
      <c r="AT22" s="80">
        <f>IFERROR($AT$21/SUM($N$23:$P$23),0)</f>
        <v>0.27609055770292656</v>
      </c>
      <c r="AU22" s="51"/>
      <c r="AV22" s="51" t="str">
        <f>AX8</f>
        <v xml:space="preserve">       14 lbs/1 CRX</v>
      </c>
      <c r="AW22" s="83">
        <f>AX19</f>
        <v>19.55438961277688</v>
      </c>
      <c r="AX22" s="51"/>
      <c r="AY22" s="51"/>
      <c r="AZ22" s="51"/>
      <c r="BA22" s="51"/>
      <c r="BB22" s="51"/>
      <c r="BC22" s="51"/>
    </row>
    <row r="23" spans="1:56" ht="35.1" customHeigh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81">
        <f t="shared" ref="N23:AB23" si="18">SUM(N10:N22)</f>
        <v>17.216999999999999</v>
      </c>
      <c r="O23" s="81">
        <f t="shared" si="18"/>
        <v>16.533000000000001</v>
      </c>
      <c r="P23" s="81">
        <f t="shared" si="18"/>
        <v>16.958000000000002</v>
      </c>
      <c r="Q23" s="82">
        <f t="shared" si="18"/>
        <v>21</v>
      </c>
      <c r="R23" s="82">
        <f t="shared" si="18"/>
        <v>20</v>
      </c>
      <c r="S23" s="82">
        <f t="shared" si="18"/>
        <v>20</v>
      </c>
      <c r="T23" s="82">
        <f t="shared" si="18"/>
        <v>26</v>
      </c>
      <c r="U23" s="82">
        <f t="shared" si="18"/>
        <v>26</v>
      </c>
      <c r="V23" s="82">
        <f t="shared" si="18"/>
        <v>26</v>
      </c>
      <c r="W23" s="82">
        <f t="shared" si="18"/>
        <v>62</v>
      </c>
      <c r="X23" s="82">
        <f t="shared" si="18"/>
        <v>62</v>
      </c>
      <c r="Y23" s="82">
        <f t="shared" si="18"/>
        <v>62</v>
      </c>
      <c r="Z23" s="82">
        <f t="shared" si="18"/>
        <v>30</v>
      </c>
      <c r="AA23" s="82">
        <f t="shared" si="18"/>
        <v>31</v>
      </c>
      <c r="AB23" s="82">
        <f t="shared" si="18"/>
        <v>31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 t="str">
        <f>AY8</f>
        <v xml:space="preserve">        16lbs/1CRT</v>
      </c>
      <c r="AW23" s="83">
        <f>AY19</f>
        <v>17.609207151898893</v>
      </c>
      <c r="AX23" s="51"/>
      <c r="AY23" s="51"/>
      <c r="AZ23" s="51"/>
      <c r="BA23" s="51"/>
      <c r="BB23" s="51"/>
      <c r="BC23" s="51"/>
      <c r="BD23" s="51"/>
    </row>
    <row r="24" spans="1:56" ht="35.1" customHeight="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 t="str">
        <f>AZ8</f>
        <v xml:space="preserve">22/1CRT </v>
      </c>
      <c r="AW24" s="83">
        <f>AZ19</f>
        <v>15.920237550134761</v>
      </c>
      <c r="AX24" s="51"/>
      <c r="AY24" s="51"/>
      <c r="AZ24" s="51"/>
      <c r="BA24" s="51"/>
      <c r="BB24" s="51"/>
      <c r="BC24" s="51"/>
      <c r="BD24" s="51"/>
    </row>
    <row r="25" spans="1:56" ht="35.1" customHeight="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>
        <f>BA8</f>
        <v>0</v>
      </c>
      <c r="AW25" s="83">
        <f>BA19</f>
        <v>0</v>
      </c>
      <c r="AX25" s="51"/>
      <c r="AY25" s="51"/>
      <c r="AZ25" s="51"/>
      <c r="BA25" s="51"/>
      <c r="BB25" s="51"/>
      <c r="BC25" s="51"/>
      <c r="BD25" s="51"/>
    </row>
    <row r="26" spans="1:56" ht="35.1" customHeight="1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86">
        <f>BB8</f>
        <v>0</v>
      </c>
      <c r="AW26" s="83">
        <f>BB19</f>
        <v>0</v>
      </c>
      <c r="AX26" s="51"/>
      <c r="AY26" s="51"/>
      <c r="AZ26" s="51"/>
      <c r="BA26" s="51"/>
      <c r="BB26" s="51"/>
      <c r="BC26" s="51"/>
      <c r="BD26" s="51"/>
    </row>
    <row r="27" spans="1:56" ht="35.1" customHeigh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</row>
    <row r="28" spans="1:56" ht="35.1" customHeight="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</row>
    <row r="29" spans="1:56" ht="35.1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</row>
    <row r="30" spans="1:56" ht="35.1" customHeight="1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</row>
    <row r="31" spans="1:56" ht="35.1" customHeigh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</row>
    <row r="32" spans="1:56" ht="35.1" customHeight="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</row>
    <row r="33" spans="1:56" ht="35.1" customHeigh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</row>
    <row r="34" spans="1:56" ht="35.1" customHeight="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</row>
    <row r="35" spans="1:56" ht="35.1" customHeight="1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</row>
    <row r="36" spans="1:56" ht="35.1" customHeight="1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</row>
    <row r="37" spans="1:56" ht="35.1" customHeight="1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</row>
    <row r="38" spans="1:56" ht="35.1" customHeight="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</row>
    <row r="39" spans="1:56" ht="35.1" customHeight="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</row>
    <row r="40" spans="1:56" ht="35.1" customHeight="1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</row>
    <row r="41" spans="1:56" ht="35.1" customHeight="1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</row>
    <row r="42" spans="1:56" ht="35.1" customHeight="1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</row>
    <row r="43" spans="1:56" ht="35.1" customHeigh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</row>
    <row r="44" spans="1:56" ht="35.1" customHeight="1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</row>
    <row r="45" spans="1:56" ht="35.1" customHeight="1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</row>
    <row r="46" spans="1:56" ht="35.1" customHeight="1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</row>
    <row r="47" spans="1:56" ht="35.1" customHeight="1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56" ht="35.1" customHeight="1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ht="35.1" customHeight="1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ht="35.1" customHeight="1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ht="35.1" customHeight="1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ht="35.1" customHeight="1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ht="35.1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ht="35.1" customHeight="1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</row>
    <row r="55" spans="1:47" ht="35.1" customHeight="1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</row>
    <row r="56" spans="1:47" ht="35.1" customHeight="1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</row>
    <row r="57" spans="1:47" ht="35.1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</row>
    <row r="58" spans="1:47" ht="35.1" customHeight="1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</row>
    <row r="59" spans="1:47" ht="35.1" customHeigh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</row>
    <row r="60" spans="1:47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</row>
    <row r="61" spans="1:47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</row>
    <row r="62" spans="1:47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</row>
    <row r="63" spans="1:47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</row>
    <row r="64" spans="1:47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</row>
    <row r="65" spans="1:46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</row>
    <row r="66" spans="1:46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</row>
    <row r="67" spans="1:46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</row>
    <row r="68" spans="1:46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</row>
    <row r="69" spans="1:46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</row>
    <row r="70" spans="1:46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</row>
    <row r="71" spans="1:46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</row>
    <row r="72" spans="1:46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</row>
    <row r="73" spans="1:46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</row>
    <row r="74" spans="1:46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</row>
    <row r="75" spans="1:46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</row>
    <row r="76" spans="1:46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</row>
    <row r="77" spans="1:46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</row>
    <row r="78" spans="1:46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</row>
    <row r="79" spans="1:46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</row>
    <row r="80" spans="1:46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</row>
    <row r="81" spans="1:46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</row>
    <row r="82" spans="1:46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</row>
    <row r="83" spans="1:46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</row>
    <row r="84" spans="1:46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</row>
    <row r="85" spans="1:46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6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</row>
    <row r="87" spans="1:46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</row>
    <row r="88" spans="1:46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</row>
    <row r="89" spans="1:46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</row>
    <row r="90" spans="1:46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</row>
    <row r="91" spans="1:46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</row>
    <row r="92" spans="1:46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</row>
    <row r="93" spans="1:46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</row>
    <row r="94" spans="1:46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</row>
    <row r="95" spans="1:46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</row>
    <row r="96" spans="1:46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</row>
    <row r="97" spans="1:46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</row>
    <row r="98" spans="1:46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</row>
    <row r="99" spans="1:46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</row>
    <row r="100" spans="1:46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</row>
    <row r="101" spans="1:46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</row>
    <row r="102" spans="1:46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</row>
    <row r="103" spans="1:46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</row>
    <row r="104" spans="1:46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</row>
    <row r="105" spans="1:46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</row>
    <row r="106" spans="1:46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spans="1:46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</row>
    <row r="108" spans="1:46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</row>
    <row r="109" spans="1:46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</row>
    <row r="110" spans="1:46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</row>
    <row r="111" spans="1:46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</row>
    <row r="112" spans="1:46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</row>
    <row r="113" spans="1:46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</row>
    <row r="114" spans="1:46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</row>
    <row r="115" spans="1:46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</row>
    <row r="116" spans="1:46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</row>
    <row r="117" spans="1:46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</row>
    <row r="118" spans="1:46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</row>
    <row r="119" spans="1:46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</row>
    <row r="120" spans="1:46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</row>
    <row r="121" spans="1:46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</row>
    <row r="122" spans="1:46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</row>
    <row r="123" spans="1:46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</row>
    <row r="124" spans="1:46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</row>
    <row r="125" spans="1:46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</row>
    <row r="126" spans="1:46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</row>
    <row r="127" spans="1:46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</row>
    <row r="128" spans="1:46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</row>
    <row r="129" spans="1:46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</row>
    <row r="130" spans="1:46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</row>
    <row r="131" spans="1:46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</row>
    <row r="132" spans="1:46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</row>
    <row r="133" spans="1:46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</row>
    <row r="134" spans="1:46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</row>
    <row r="135" spans="1:46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</row>
    <row r="136" spans="1:46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</row>
    <row r="137" spans="1:46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</row>
    <row r="138" spans="1:46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</row>
    <row r="139" spans="1:46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</row>
    <row r="140" spans="1:46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</row>
    <row r="141" spans="1:46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</row>
    <row r="142" spans="1:46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</row>
    <row r="143" spans="1:46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</row>
    <row r="144" spans="1:46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</row>
    <row r="145" spans="1:46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</row>
    <row r="146" spans="1:46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</row>
    <row r="147" spans="1:46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</row>
    <row r="148" spans="1:46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</row>
    <row r="149" spans="1:46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</row>
    <row r="150" spans="1:46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</row>
    <row r="151" spans="1:46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</row>
    <row r="152" spans="1:46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</row>
    <row r="153" spans="1:46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</row>
    <row r="154" spans="1:46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</row>
    <row r="155" spans="1:46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</row>
    <row r="156" spans="1:46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</row>
    <row r="157" spans="1:46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</row>
    <row r="158" spans="1:46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</row>
    <row r="159" spans="1:46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</row>
    <row r="160" spans="1:46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</row>
    <row r="161" spans="1:46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</row>
    <row r="162" spans="1:46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</row>
    <row r="163" spans="1:46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</row>
    <row r="164" spans="1:46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</row>
    <row r="165" spans="1:46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</row>
    <row r="166" spans="1:46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</row>
    <row r="167" spans="1:4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</row>
    <row r="168" spans="1:4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</row>
    <row r="169" spans="1:4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</row>
    <row r="170" spans="1:4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</row>
    <row r="171" spans="1:4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</row>
    <row r="172" spans="1:46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</row>
    <row r="173" spans="1:46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</row>
    <row r="174" spans="1:46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</row>
    <row r="175" spans="1:46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</row>
    <row r="176" spans="1:46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</row>
    <row r="177" spans="1:4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</row>
    <row r="178" spans="1:4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</row>
    <row r="179" spans="1:4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</row>
    <row r="180" spans="1:46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</row>
    <row r="181" spans="1:46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</row>
    <row r="182" spans="1:46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</row>
    <row r="183" spans="1:46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</row>
    <row r="184" spans="1:46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</row>
    <row r="185" spans="1:46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</row>
    <row r="186" spans="1:46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</row>
    <row r="187" spans="1:46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</row>
    <row r="188" spans="1:46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</row>
    <row r="189" spans="1:46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</row>
    <row r="190" spans="1:46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</row>
    <row r="191" spans="1:46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</row>
    <row r="192" spans="1:46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</row>
    <row r="193" spans="1:46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</row>
    <row r="194" spans="1:46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</row>
    <row r="195" spans="1:46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</row>
    <row r="196" spans="1:46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</row>
    <row r="197" spans="1:46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</row>
    <row r="198" spans="1:46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</row>
    <row r="199" spans="1:46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</row>
    <row r="200" spans="1:46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</row>
    <row r="201" spans="1:46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</row>
    <row r="202" spans="1:46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</row>
    <row r="203" spans="1:46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</row>
    <row r="204" spans="1:46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</row>
    <row r="205" spans="1:46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</row>
    <row r="206" spans="1:46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</row>
    <row r="207" spans="1:46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</row>
    <row r="208" spans="1:46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</row>
    <row r="209" spans="1:46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</row>
    <row r="210" spans="1:46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</row>
    <row r="211" spans="1:46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</row>
    <row r="212" spans="1:46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</row>
    <row r="213" spans="1:46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</row>
    <row r="214" spans="1:46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</row>
    <row r="215" spans="1:46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</row>
    <row r="216" spans="1:46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</row>
    <row r="217" spans="1:46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</row>
    <row r="218" spans="1:46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</row>
    <row r="219" spans="1:46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</row>
    <row r="220" spans="1:46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</row>
    <row r="221" spans="1:46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</row>
    <row r="222" spans="1:46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</row>
    <row r="223" spans="1:46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</row>
    <row r="224" spans="1:46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</row>
    <row r="225" spans="1:46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</row>
    <row r="226" spans="1:46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</row>
    <row r="227" spans="1:46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</row>
    <row r="228" spans="1:46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</row>
    <row r="229" spans="1:46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</row>
    <row r="230" spans="1:46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</row>
    <row r="231" spans="1:46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</row>
    <row r="232" spans="1:46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</row>
    <row r="233" spans="1:46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</row>
    <row r="234" spans="1:46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</row>
    <row r="235" spans="1:46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</row>
    <row r="236" spans="1:46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</row>
    <row r="237" spans="1:46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</row>
    <row r="238" spans="1:46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</row>
    <row r="239" spans="1:46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</row>
    <row r="240" spans="1:46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</row>
    <row r="241" spans="1:46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</row>
    <row r="242" spans="1:46" x14ac:dyDescent="0.3">
      <c r="A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</row>
    <row r="243" spans="1:46" x14ac:dyDescent="0.3">
      <c r="A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</row>
  </sheetData>
  <mergeCells count="30">
    <mergeCell ref="BD8:BD9"/>
    <mergeCell ref="AG21:AI21"/>
    <mergeCell ref="AL21:AN21"/>
    <mergeCell ref="AQ21:AS21"/>
    <mergeCell ref="AY8:AY9"/>
    <mergeCell ref="AZ8:AZ9"/>
    <mergeCell ref="BA8:BA9"/>
    <mergeCell ref="BB8:BB9"/>
    <mergeCell ref="AG22:AI22"/>
    <mergeCell ref="AL22:AN22"/>
    <mergeCell ref="AQ22:AS22"/>
    <mergeCell ref="AW8:AW9"/>
    <mergeCell ref="AX8:AX9"/>
    <mergeCell ref="AQ8:AT8"/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1"/>
  <sheetViews>
    <sheetView topLeftCell="A15" workbookViewId="0">
      <selection activeCell="C27" sqref="C27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16" t="s">
        <v>80</v>
      </c>
      <c r="C2" s="98"/>
      <c r="E2" s="116" t="s">
        <v>81</v>
      </c>
      <c r="F2" s="98"/>
      <c r="H2" s="116" t="s">
        <v>82</v>
      </c>
      <c r="I2" s="98"/>
      <c r="K2" s="116" t="s">
        <v>83</v>
      </c>
      <c r="L2" s="98"/>
    </row>
    <row r="3" spans="2:13" ht="15.6" customHeight="1" x14ac:dyDescent="0.3">
      <c r="B3" s="22" t="s">
        <v>84</v>
      </c>
      <c r="C3" s="7" t="s">
        <v>85</v>
      </c>
      <c r="E3" s="22" t="s">
        <v>84</v>
      </c>
      <c r="F3" s="7" t="s">
        <v>85</v>
      </c>
      <c r="H3" s="22" t="s">
        <v>84</v>
      </c>
      <c r="I3" s="7" t="s">
        <v>82</v>
      </c>
      <c r="K3" s="22" t="s">
        <v>84</v>
      </c>
      <c r="L3" s="116" t="s">
        <v>83</v>
      </c>
      <c r="M3" s="98"/>
    </row>
    <row r="4" spans="2:13" x14ac:dyDescent="0.3">
      <c r="B4" t="s">
        <v>86</v>
      </c>
      <c r="C4">
        <v>5</v>
      </c>
      <c r="E4" t="s">
        <v>86</v>
      </c>
      <c r="F4">
        <v>21.17</v>
      </c>
      <c r="H4" t="s">
        <v>86</v>
      </c>
      <c r="I4">
        <v>2.64</v>
      </c>
      <c r="K4" t="s">
        <v>86</v>
      </c>
      <c r="L4">
        <v>22.74</v>
      </c>
    </row>
    <row r="5" spans="2:13" x14ac:dyDescent="0.3">
      <c r="B5" t="s">
        <v>87</v>
      </c>
      <c r="C5">
        <v>3.1</v>
      </c>
      <c r="E5" t="s">
        <v>87</v>
      </c>
      <c r="F5">
        <v>28.92</v>
      </c>
      <c r="H5" t="s">
        <v>87</v>
      </c>
      <c r="I5">
        <v>3.92</v>
      </c>
      <c r="K5" t="s">
        <v>87</v>
      </c>
      <c r="L5">
        <v>25.28</v>
      </c>
    </row>
    <row r="6" spans="2:13" x14ac:dyDescent="0.3">
      <c r="B6" t="s">
        <v>88</v>
      </c>
      <c r="C6">
        <v>3.2</v>
      </c>
      <c r="E6" t="s">
        <v>88</v>
      </c>
      <c r="F6">
        <v>25.77</v>
      </c>
      <c r="H6" t="s">
        <v>88</v>
      </c>
      <c r="I6">
        <v>2.95</v>
      </c>
      <c r="K6" t="s">
        <v>88</v>
      </c>
      <c r="L6">
        <v>21.23</v>
      </c>
    </row>
    <row r="7" spans="2:13" x14ac:dyDescent="0.3">
      <c r="B7" t="s">
        <v>89</v>
      </c>
      <c r="C7">
        <v>3.8</v>
      </c>
      <c r="E7" t="s">
        <v>89</v>
      </c>
      <c r="F7">
        <v>23.05</v>
      </c>
      <c r="H7" t="s">
        <v>89</v>
      </c>
      <c r="I7">
        <v>4.28</v>
      </c>
      <c r="K7" t="s">
        <v>89</v>
      </c>
      <c r="L7">
        <v>24.15</v>
      </c>
    </row>
    <row r="8" spans="2:13" x14ac:dyDescent="0.3">
      <c r="B8" t="s">
        <v>90</v>
      </c>
      <c r="C8">
        <v>2.6</v>
      </c>
      <c r="E8" t="s">
        <v>90</v>
      </c>
      <c r="F8">
        <v>30.16</v>
      </c>
      <c r="H8" t="s">
        <v>90</v>
      </c>
      <c r="I8">
        <v>4.38</v>
      </c>
      <c r="K8" t="s">
        <v>90</v>
      </c>
      <c r="L8">
        <v>24.6</v>
      </c>
    </row>
    <row r="9" spans="2:13" x14ac:dyDescent="0.3">
      <c r="B9" t="s">
        <v>91</v>
      </c>
      <c r="C9">
        <v>3.6</v>
      </c>
      <c r="E9" t="s">
        <v>91</v>
      </c>
      <c r="F9">
        <v>20.73</v>
      </c>
      <c r="H9" t="s">
        <v>91</v>
      </c>
      <c r="I9">
        <v>4.3899999999999997</v>
      </c>
      <c r="K9" t="s">
        <v>91</v>
      </c>
      <c r="L9">
        <v>23.72</v>
      </c>
    </row>
    <row r="10" spans="2:13" x14ac:dyDescent="0.3">
      <c r="B10" t="s">
        <v>92</v>
      </c>
      <c r="C10">
        <v>2.6</v>
      </c>
      <c r="E10" t="s">
        <v>92</v>
      </c>
      <c r="F10">
        <v>29.77</v>
      </c>
      <c r="H10" t="s">
        <v>92</v>
      </c>
      <c r="I10">
        <v>2.71</v>
      </c>
      <c r="K10" t="s">
        <v>92</v>
      </c>
      <c r="L10">
        <v>23.04</v>
      </c>
    </row>
    <row r="11" spans="2:13" x14ac:dyDescent="0.3">
      <c r="B11" t="s">
        <v>93</v>
      </c>
      <c r="C11">
        <v>2.8</v>
      </c>
      <c r="E11" t="s">
        <v>93</v>
      </c>
      <c r="F11">
        <v>25.98</v>
      </c>
      <c r="H11" t="s">
        <v>93</v>
      </c>
      <c r="I11">
        <v>2.85</v>
      </c>
      <c r="K11" t="s">
        <v>93</v>
      </c>
      <c r="L11">
        <v>22.19</v>
      </c>
    </row>
    <row r="12" spans="2:13" x14ac:dyDescent="0.3">
      <c r="B12" t="s">
        <v>94</v>
      </c>
      <c r="C12">
        <v>6.7</v>
      </c>
      <c r="E12" t="s">
        <v>94</v>
      </c>
      <c r="F12">
        <v>94.93</v>
      </c>
      <c r="H12" t="s">
        <v>94</v>
      </c>
      <c r="I12">
        <v>7.0000000000000007E-2</v>
      </c>
      <c r="K12" t="s">
        <v>94</v>
      </c>
      <c r="L12">
        <v>27.22</v>
      </c>
    </row>
    <row r="13" spans="2:13" x14ac:dyDescent="0.3">
      <c r="B13" t="s">
        <v>95</v>
      </c>
      <c r="C13">
        <v>2.7</v>
      </c>
      <c r="E13" t="s">
        <v>95</v>
      </c>
      <c r="F13">
        <v>58.44</v>
      </c>
      <c r="H13" t="s">
        <v>95</v>
      </c>
      <c r="I13">
        <v>0.62</v>
      </c>
      <c r="K13" t="s">
        <v>95</v>
      </c>
      <c r="L13">
        <v>22.38</v>
      </c>
    </row>
    <row r="14" spans="2:13" x14ac:dyDescent="0.3">
      <c r="B14" t="s">
        <v>96</v>
      </c>
      <c r="C14">
        <v>2.7</v>
      </c>
      <c r="E14" t="s">
        <v>96</v>
      </c>
      <c r="F14">
        <v>63.51</v>
      </c>
      <c r="H14" t="s">
        <v>96</v>
      </c>
      <c r="I14">
        <v>1.3</v>
      </c>
      <c r="K14" t="s">
        <v>96</v>
      </c>
      <c r="L14">
        <v>27.59</v>
      </c>
    </row>
    <row r="15" spans="2:13" x14ac:dyDescent="0.3">
      <c r="B15" t="s">
        <v>97</v>
      </c>
      <c r="C15">
        <v>2.8</v>
      </c>
      <c r="E15" t="s">
        <v>97</v>
      </c>
      <c r="F15">
        <v>64.02</v>
      </c>
      <c r="H15" t="s">
        <v>97</v>
      </c>
      <c r="I15">
        <v>0.65</v>
      </c>
      <c r="K15" t="s">
        <v>97</v>
      </c>
      <c r="L15">
        <v>21.9</v>
      </c>
    </row>
    <row r="16" spans="2:13" x14ac:dyDescent="0.3">
      <c r="B16" t="s">
        <v>98</v>
      </c>
      <c r="C16">
        <v>2.7</v>
      </c>
      <c r="E16" t="s">
        <v>98</v>
      </c>
      <c r="F16">
        <v>63.32</v>
      </c>
      <c r="H16" t="s">
        <v>98</v>
      </c>
      <c r="I16">
        <v>0.53</v>
      </c>
      <c r="K16" t="s">
        <v>98</v>
      </c>
      <c r="L16">
        <v>21.97</v>
      </c>
    </row>
    <row r="17" spans="2:12" x14ac:dyDescent="0.3">
      <c r="B17" t="s">
        <v>99</v>
      </c>
      <c r="C17">
        <v>2.5</v>
      </c>
      <c r="E17" t="s">
        <v>99</v>
      </c>
      <c r="F17">
        <v>34.799999999999997</v>
      </c>
      <c r="H17" t="s">
        <v>99</v>
      </c>
      <c r="I17">
        <v>3.58</v>
      </c>
      <c r="K17" t="s">
        <v>99</v>
      </c>
      <c r="L17">
        <v>26.15</v>
      </c>
    </row>
    <row r="18" spans="2:12" x14ac:dyDescent="0.3">
      <c r="B18" t="s">
        <v>100</v>
      </c>
      <c r="C18">
        <v>4.0999999999999996</v>
      </c>
      <c r="E18" t="s">
        <v>100</v>
      </c>
      <c r="F18">
        <v>32.65</v>
      </c>
      <c r="H18" t="s">
        <v>100</v>
      </c>
      <c r="I18">
        <v>1.71</v>
      </c>
      <c r="K18" t="s">
        <v>100</v>
      </c>
      <c r="L18">
        <v>20.02</v>
      </c>
    </row>
    <row r="19" spans="2:12" x14ac:dyDescent="0.3">
      <c r="B19" t="s">
        <v>101</v>
      </c>
      <c r="C19">
        <v>3.5</v>
      </c>
      <c r="E19" t="s">
        <v>101</v>
      </c>
      <c r="F19">
        <v>28.81</v>
      </c>
    </row>
    <row r="20" spans="2:12" x14ac:dyDescent="0.3">
      <c r="B20" t="s">
        <v>101</v>
      </c>
      <c r="C20">
        <v>3.5</v>
      </c>
      <c r="E20" t="s">
        <v>101</v>
      </c>
      <c r="F20">
        <v>28.81</v>
      </c>
      <c r="H20" t="s">
        <v>101</v>
      </c>
      <c r="I20">
        <v>3.47</v>
      </c>
    </row>
    <row r="21" spans="2:12" x14ac:dyDescent="0.3">
      <c r="B21" t="s">
        <v>101</v>
      </c>
      <c r="C21">
        <v>3.5</v>
      </c>
      <c r="E21" t="s">
        <v>101</v>
      </c>
      <c r="F21">
        <v>28.81</v>
      </c>
      <c r="H21" t="s">
        <v>101</v>
      </c>
      <c r="I21">
        <v>3.47</v>
      </c>
      <c r="K21" t="s">
        <v>101</v>
      </c>
      <c r="L21">
        <v>24.76</v>
      </c>
    </row>
  </sheetData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showGridLines="0" tabSelected="1" workbookViewId="0">
      <selection activeCell="L3" sqref="L3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102</v>
      </c>
      <c r="B1" t="s">
        <v>103</v>
      </c>
      <c r="C1" t="s">
        <v>104</v>
      </c>
    </row>
    <row r="2" spans="1:3" x14ac:dyDescent="0.3">
      <c r="A2">
        <v>1</v>
      </c>
      <c r="B2">
        <v>0</v>
      </c>
      <c r="C2">
        <v>0</v>
      </c>
    </row>
    <row r="3" spans="1:3" ht="31.2" customHeight="1" x14ac:dyDescent="0.3">
      <c r="A3">
        <v>2</v>
      </c>
      <c r="B3">
        <v>0</v>
      </c>
      <c r="C3">
        <v>0</v>
      </c>
    </row>
    <row r="4" spans="1:3" ht="15.6" customHeight="1" x14ac:dyDescent="0.3">
      <c r="A4">
        <v>3</v>
      </c>
      <c r="B4">
        <v>0</v>
      </c>
      <c r="C4">
        <v>0</v>
      </c>
    </row>
    <row r="5" spans="1:3" ht="15.6" customHeight="1" x14ac:dyDescent="0.3">
      <c r="A5">
        <v>4</v>
      </c>
      <c r="B5">
        <v>0</v>
      </c>
      <c r="C5">
        <v>10.63</v>
      </c>
    </row>
    <row r="6" spans="1:3" ht="15.6" customHeight="1" x14ac:dyDescent="0.3">
      <c r="A6">
        <v>5</v>
      </c>
      <c r="B6">
        <v>10</v>
      </c>
      <c r="C6">
        <v>77.81</v>
      </c>
    </row>
    <row r="7" spans="1:3" ht="15.6" customHeight="1" x14ac:dyDescent="0.3">
      <c r="A7">
        <v>6</v>
      </c>
      <c r="B7">
        <v>6</v>
      </c>
      <c r="C7">
        <v>21.86</v>
      </c>
    </row>
    <row r="8" spans="1:3" ht="15.6" customHeight="1" x14ac:dyDescent="0.3">
      <c r="A8">
        <v>7</v>
      </c>
      <c r="B8">
        <v>38</v>
      </c>
      <c r="C8">
        <v>57.09</v>
      </c>
    </row>
    <row r="9" spans="1:3" ht="15.6" customHeight="1" x14ac:dyDescent="0.3">
      <c r="A9">
        <v>8</v>
      </c>
      <c r="B9">
        <v>2</v>
      </c>
      <c r="C9">
        <v>41.3</v>
      </c>
    </row>
    <row r="10" spans="1:3" ht="15.6" customHeight="1" x14ac:dyDescent="0.3">
      <c r="A10">
        <v>9</v>
      </c>
      <c r="B10">
        <v>10</v>
      </c>
      <c r="C10">
        <v>80.31</v>
      </c>
    </row>
    <row r="11" spans="1:3" ht="15.6" customHeight="1" x14ac:dyDescent="0.3">
      <c r="A11">
        <v>10</v>
      </c>
      <c r="B11">
        <v>18</v>
      </c>
      <c r="C11">
        <v>72</v>
      </c>
    </row>
    <row r="12" spans="1:3" ht="15.6" customHeight="1" x14ac:dyDescent="0.3">
      <c r="A12">
        <v>11</v>
      </c>
      <c r="B12">
        <v>4</v>
      </c>
      <c r="C12">
        <v>42.31</v>
      </c>
    </row>
    <row r="13" spans="1:3" ht="15.6" customHeight="1" x14ac:dyDescent="0.3">
      <c r="A13">
        <v>12</v>
      </c>
      <c r="B13">
        <v>0</v>
      </c>
      <c r="C13">
        <v>0</v>
      </c>
    </row>
    <row r="14" spans="1:3" ht="15.6" customHeight="1" x14ac:dyDescent="0.3">
      <c r="A14">
        <v>13</v>
      </c>
      <c r="B14">
        <v>4</v>
      </c>
      <c r="C14">
        <v>15.57</v>
      </c>
    </row>
    <row r="15" spans="1:3" ht="15.6" customHeight="1" x14ac:dyDescent="0.3">
      <c r="A15">
        <v>14</v>
      </c>
      <c r="B15">
        <v>16</v>
      </c>
      <c r="C15">
        <v>25.03</v>
      </c>
    </row>
    <row r="16" spans="1:3" ht="15.6" customHeight="1" x14ac:dyDescent="0.3">
      <c r="A16">
        <v>15</v>
      </c>
      <c r="B16">
        <v>2</v>
      </c>
      <c r="C16">
        <v>53.15</v>
      </c>
    </row>
    <row r="17" spans="1:3" ht="15.6" customHeight="1" x14ac:dyDescent="0.3">
      <c r="A17">
        <v>16</v>
      </c>
      <c r="B17">
        <v>2</v>
      </c>
      <c r="C17">
        <v>47.57</v>
      </c>
    </row>
    <row r="18" spans="1:3" ht="15.6" customHeight="1" x14ac:dyDescent="0.3">
      <c r="A18">
        <v>17</v>
      </c>
      <c r="B18">
        <v>6</v>
      </c>
      <c r="C18">
        <v>53.04</v>
      </c>
    </row>
    <row r="19" spans="1:3" ht="15.6" customHeight="1" x14ac:dyDescent="0.3">
      <c r="A19">
        <v>18</v>
      </c>
      <c r="B19">
        <v>12</v>
      </c>
      <c r="C19">
        <v>46.22</v>
      </c>
    </row>
    <row r="20" spans="1:3" ht="15.6" customHeight="1" x14ac:dyDescent="0.3">
      <c r="A20">
        <v>19</v>
      </c>
      <c r="B20">
        <v>36</v>
      </c>
      <c r="C20">
        <v>64.42</v>
      </c>
    </row>
    <row r="21" spans="1:3" ht="15.6" customHeight="1" x14ac:dyDescent="0.3">
      <c r="A21">
        <v>20</v>
      </c>
      <c r="B21">
        <v>16</v>
      </c>
      <c r="C21">
        <v>66.599999999999994</v>
      </c>
    </row>
    <row r="22" spans="1:3" ht="15.6" customHeight="1" x14ac:dyDescent="0.3">
      <c r="A22">
        <v>21</v>
      </c>
      <c r="B22">
        <v>0</v>
      </c>
      <c r="C22">
        <v>0</v>
      </c>
    </row>
    <row r="23" spans="1:3" ht="15.6" customHeight="1" x14ac:dyDescent="0.3">
      <c r="A23">
        <v>22</v>
      </c>
      <c r="B23">
        <v>12</v>
      </c>
      <c r="C23">
        <v>35.22</v>
      </c>
    </row>
    <row r="24" spans="1:3" ht="15.6" customHeight="1" x14ac:dyDescent="0.3">
      <c r="A24">
        <v>23</v>
      </c>
      <c r="B24">
        <v>4</v>
      </c>
      <c r="C24">
        <v>66.95</v>
      </c>
    </row>
    <row r="25" spans="1:3" ht="15.6" customHeight="1" x14ac:dyDescent="0.3">
      <c r="A25">
        <v>24</v>
      </c>
      <c r="B25">
        <v>24</v>
      </c>
      <c r="C25">
        <v>55.13</v>
      </c>
    </row>
    <row r="26" spans="1:3" ht="15.6" customHeight="1" x14ac:dyDescent="0.3">
      <c r="A26">
        <v>25</v>
      </c>
      <c r="B26">
        <v>4</v>
      </c>
      <c r="C26">
        <v>25.11</v>
      </c>
    </row>
    <row r="27" spans="1:3" ht="15.6" customHeight="1" x14ac:dyDescent="0.3">
      <c r="A27">
        <v>26</v>
      </c>
      <c r="B27">
        <v>4</v>
      </c>
      <c r="C27">
        <v>46.65</v>
      </c>
    </row>
    <row r="28" spans="1:3" ht="15.6" customHeight="1" x14ac:dyDescent="0.3">
      <c r="A28">
        <v>27</v>
      </c>
      <c r="B28">
        <v>4</v>
      </c>
      <c r="C28">
        <v>24.35</v>
      </c>
    </row>
    <row r="29" spans="1:3" ht="15.6" customHeight="1" x14ac:dyDescent="0.3">
      <c r="A29">
        <v>28</v>
      </c>
      <c r="B29">
        <v>0</v>
      </c>
      <c r="C29">
        <v>0</v>
      </c>
    </row>
    <row r="30" spans="1:3" ht="15.6" customHeight="1" x14ac:dyDescent="0.3">
      <c r="A30">
        <v>29</v>
      </c>
      <c r="B30">
        <v>6</v>
      </c>
      <c r="C30">
        <v>32.79</v>
      </c>
    </row>
    <row r="31" spans="1:3" ht="15.6" customHeight="1" x14ac:dyDescent="0.3">
      <c r="A31">
        <v>30</v>
      </c>
      <c r="B31">
        <v>10</v>
      </c>
      <c r="C31">
        <v>67.349999999999994</v>
      </c>
    </row>
    <row r="32" spans="1:3" ht="15.6" customHeight="1" x14ac:dyDescent="0.3">
      <c r="A32">
        <v>31</v>
      </c>
      <c r="B32">
        <v>0</v>
      </c>
      <c r="C32">
        <v>0</v>
      </c>
    </row>
    <row r="33" spans="1:3" ht="15.6" customHeight="1" x14ac:dyDescent="0.3">
      <c r="A33">
        <v>32</v>
      </c>
      <c r="B33">
        <v>0</v>
      </c>
      <c r="C33">
        <v>0</v>
      </c>
    </row>
    <row r="34" spans="1:3" ht="15.6" customHeight="1" x14ac:dyDescent="0.3"/>
    <row r="35" spans="1:3" ht="15.6" customHeight="1" x14ac:dyDescent="0.3"/>
  </sheetData>
  <autoFilter ref="A1:C34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102</v>
      </c>
      <c r="C2" s="2" t="s">
        <v>105</v>
      </c>
      <c r="D2" s="2"/>
      <c r="E2" s="2" t="s">
        <v>104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103</v>
      </c>
      <c r="O2" s="2" t="s">
        <v>114</v>
      </c>
      <c r="P2" s="2" t="s">
        <v>115</v>
      </c>
      <c r="Q2" s="2" t="s">
        <v>116</v>
      </c>
      <c r="R2" s="2" t="s">
        <v>117</v>
      </c>
    </row>
    <row r="3" spans="2:18" ht="20.25" customHeight="1" x14ac:dyDescent="0.3">
      <c r="B3" s="3">
        <v>1</v>
      </c>
      <c r="C3" s="3" t="s">
        <v>118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4">
        <v>4000</v>
      </c>
    </row>
    <row r="4" spans="2:18" ht="20.25" hidden="1" customHeight="1" x14ac:dyDescent="0.3">
      <c r="B4" s="3">
        <v>2</v>
      </c>
      <c r="C4" s="3" t="s">
        <v>119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4">
        <v>4000</v>
      </c>
    </row>
    <row r="5" spans="2:18" ht="20.25" hidden="1" customHeight="1" x14ac:dyDescent="0.3">
      <c r="B5" s="3">
        <v>3</v>
      </c>
      <c r="C5" s="3" t="s">
        <v>119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4">
        <v>4000</v>
      </c>
    </row>
    <row r="6" spans="2:18" ht="20.25" hidden="1" customHeight="1" x14ac:dyDescent="0.3">
      <c r="B6" s="3">
        <v>4</v>
      </c>
      <c r="C6" s="3" t="s">
        <v>119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120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4">
        <v>4000</v>
      </c>
    </row>
    <row r="8" spans="2:18" ht="20.25" customHeight="1" x14ac:dyDescent="0.3">
      <c r="B8" s="3">
        <v>6</v>
      </c>
      <c r="C8" s="3" t="s">
        <v>120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4">
        <v>4000</v>
      </c>
    </row>
    <row r="9" spans="2:18" ht="20.25" hidden="1" customHeight="1" x14ac:dyDescent="0.3">
      <c r="B9" s="3">
        <v>7</v>
      </c>
      <c r="C9" s="3" t="s">
        <v>120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4">
        <v>4000</v>
      </c>
    </row>
    <row r="10" spans="2:18" ht="20.25" hidden="1" customHeight="1" x14ac:dyDescent="0.3">
      <c r="B10" s="3">
        <v>8</v>
      </c>
      <c r="C10" s="3" t="s">
        <v>120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4">
        <v>3900</v>
      </c>
    </row>
    <row r="11" spans="2:18" ht="20.25" customHeight="1" x14ac:dyDescent="0.3">
      <c r="B11" s="3">
        <v>9</v>
      </c>
      <c r="C11" s="3" t="s">
        <v>121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4">
        <v>3700</v>
      </c>
    </row>
    <row r="12" spans="2:18" ht="20.25" customHeight="1" x14ac:dyDescent="0.3">
      <c r="B12" s="3">
        <v>10</v>
      </c>
      <c r="C12" s="3" t="s">
        <v>121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4">
        <v>3700</v>
      </c>
    </row>
    <row r="13" spans="2:18" ht="20.25" customHeight="1" x14ac:dyDescent="0.3">
      <c r="B13" s="3">
        <v>11</v>
      </c>
      <c r="C13" s="3" t="s">
        <v>121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4">
        <v>3700</v>
      </c>
    </row>
    <row r="14" spans="2:18" ht="20.25" customHeight="1" x14ac:dyDescent="0.3">
      <c r="B14" s="3">
        <v>12</v>
      </c>
      <c r="C14" s="3" t="s">
        <v>121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4">
        <v>3700</v>
      </c>
    </row>
    <row r="15" spans="2:18" ht="20.25" customHeight="1" x14ac:dyDescent="0.3">
      <c r="B15" s="3">
        <v>13</v>
      </c>
      <c r="C15" s="3" t="s">
        <v>122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4">
        <v>3500</v>
      </c>
    </row>
    <row r="16" spans="2:18" ht="20.25" customHeight="1" x14ac:dyDescent="0.3">
      <c r="B16" s="3">
        <v>14</v>
      </c>
      <c r="C16" s="3" t="s">
        <v>122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4">
        <v>3500</v>
      </c>
    </row>
    <row r="17" spans="2:18" ht="20.25" customHeight="1" x14ac:dyDescent="0.3">
      <c r="B17" s="3">
        <v>15</v>
      </c>
      <c r="C17" s="3" t="s">
        <v>122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4">
        <v>3500</v>
      </c>
    </row>
    <row r="18" spans="2:18" ht="20.25" customHeight="1" x14ac:dyDescent="0.3">
      <c r="B18" s="3">
        <v>16</v>
      </c>
      <c r="C18" s="3" t="s">
        <v>122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4">
        <v>3500</v>
      </c>
    </row>
    <row r="19" spans="2:18" ht="20.25" customHeight="1" x14ac:dyDescent="0.3">
      <c r="B19" s="3">
        <v>17</v>
      </c>
      <c r="C19" s="3" t="s">
        <v>122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4">
        <v>3500</v>
      </c>
    </row>
    <row r="20" spans="2:18" ht="20.25" customHeight="1" x14ac:dyDescent="0.3">
      <c r="B20" s="3">
        <v>18</v>
      </c>
      <c r="C20" s="3" t="s">
        <v>122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4">
        <v>3500</v>
      </c>
    </row>
    <row r="21" spans="2:18" ht="20.25" customHeight="1" x14ac:dyDescent="0.3">
      <c r="B21" s="3">
        <v>19</v>
      </c>
      <c r="C21" s="3" t="s">
        <v>121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4">
        <v>3600</v>
      </c>
    </row>
    <row r="22" spans="2:18" ht="20.25" customHeight="1" x14ac:dyDescent="0.3">
      <c r="B22" s="3">
        <v>20</v>
      </c>
      <c r="C22" s="3" t="s">
        <v>121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4">
        <v>3600</v>
      </c>
    </row>
    <row r="23" spans="2:18" ht="20.25" customHeight="1" x14ac:dyDescent="0.3">
      <c r="B23" s="3">
        <v>21</v>
      </c>
      <c r="C23" s="3" t="s">
        <v>121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4">
        <v>3600</v>
      </c>
    </row>
    <row r="24" spans="2:18" ht="20.25" customHeight="1" x14ac:dyDescent="0.3">
      <c r="B24" s="3">
        <v>22</v>
      </c>
      <c r="C24" s="3" t="s">
        <v>121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4">
        <v>3600</v>
      </c>
    </row>
    <row r="25" spans="2:18" ht="20.25" customHeight="1" x14ac:dyDescent="0.3">
      <c r="B25" s="3">
        <v>23</v>
      </c>
      <c r="C25" s="3" t="s">
        <v>121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4">
        <v>3600</v>
      </c>
    </row>
    <row r="26" spans="2:18" ht="20.25" customHeight="1" x14ac:dyDescent="0.3">
      <c r="B26" s="3">
        <v>24</v>
      </c>
      <c r="C26" s="3" t="s">
        <v>121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4">
        <v>3600</v>
      </c>
    </row>
    <row r="27" spans="2:18" ht="20.25" customHeight="1" x14ac:dyDescent="0.3">
      <c r="B27" s="3">
        <v>25</v>
      </c>
      <c r="C27" s="3" t="s">
        <v>121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4">
        <v>3600</v>
      </c>
    </row>
    <row r="28" spans="2:18" ht="20.25" customHeight="1" x14ac:dyDescent="0.3">
      <c r="B28" s="3">
        <v>26</v>
      </c>
      <c r="C28" s="3" t="s">
        <v>121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4">
        <v>3600</v>
      </c>
    </row>
    <row r="29" spans="2:18" ht="20.25" customHeight="1" x14ac:dyDescent="0.3">
      <c r="B29" s="3">
        <v>27</v>
      </c>
      <c r="C29" s="3" t="s">
        <v>121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4">
        <v>3650</v>
      </c>
    </row>
    <row r="30" spans="2:18" ht="20.25" customHeight="1" x14ac:dyDescent="0.3">
      <c r="B30" s="3">
        <v>28</v>
      </c>
      <c r="C30" s="3" t="s">
        <v>121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4">
        <v>3600</v>
      </c>
    </row>
    <row r="31" spans="2:18" ht="20.25" customHeight="1" x14ac:dyDescent="0.3">
      <c r="B31" s="3" t="s">
        <v>123</v>
      </c>
      <c r="C31" s="3" t="s">
        <v>121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4">
        <v>3800</v>
      </c>
    </row>
    <row r="32" spans="2:18" ht="20.25" customHeight="1" x14ac:dyDescent="0.3">
      <c r="B32" s="3">
        <v>30</v>
      </c>
      <c r="C32" s="3" t="s">
        <v>121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4">
        <v>3800</v>
      </c>
    </row>
    <row r="33" spans="2:18" ht="20.25" customHeight="1" x14ac:dyDescent="0.3">
      <c r="B33" s="3">
        <v>31</v>
      </c>
      <c r="C33" s="3" t="s">
        <v>124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4">
        <v>3800</v>
      </c>
    </row>
    <row r="34" spans="2:18" ht="20.25" hidden="1" customHeight="1" x14ac:dyDescent="0.3">
      <c r="B34" s="3">
        <v>32</v>
      </c>
      <c r="C34" s="3" t="s">
        <v>124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4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I14" sqref="I14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102</v>
      </c>
      <c r="C2" s="2" t="s">
        <v>105</v>
      </c>
      <c r="D2" s="2">
        <v>0</v>
      </c>
      <c r="E2" s="2" t="s">
        <v>125</v>
      </c>
      <c r="F2" s="2" t="s">
        <v>113</v>
      </c>
      <c r="G2" s="2" t="s">
        <v>115</v>
      </c>
      <c r="H2" s="2">
        <v>0</v>
      </c>
      <c r="I2" s="2" t="s">
        <v>126</v>
      </c>
      <c r="J2" s="2" t="s">
        <v>127</v>
      </c>
    </row>
    <row r="3" spans="2:13" ht="15.6" hidden="1" customHeight="1" x14ac:dyDescent="0.3">
      <c r="B3" s="3">
        <v>1</v>
      </c>
      <c r="C3" s="3" t="s">
        <v>118</v>
      </c>
      <c r="D3" s="34">
        <v>0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6">
        <f t="shared" ref="J3:J34" si="0">H3*I3</f>
        <v>0</v>
      </c>
    </row>
    <row r="4" spans="2:13" ht="15.6" hidden="1" customHeight="1" x14ac:dyDescent="0.3">
      <c r="B4" s="3">
        <v>2</v>
      </c>
      <c r="C4" s="3" t="s">
        <v>119</v>
      </c>
      <c r="D4" s="34">
        <v>0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6">
        <f t="shared" si="0"/>
        <v>0</v>
      </c>
    </row>
    <row r="5" spans="2:13" ht="15.6" hidden="1" customHeight="1" x14ac:dyDescent="0.3">
      <c r="B5" s="3">
        <v>3</v>
      </c>
      <c r="C5" s="3" t="s">
        <v>119</v>
      </c>
      <c r="D5" s="34">
        <v>10.63</v>
      </c>
      <c r="E5" s="3">
        <v>0</v>
      </c>
      <c r="F5" s="3">
        <v>1429.4</v>
      </c>
      <c r="G5" s="3">
        <v>0</v>
      </c>
      <c r="H5" s="3">
        <v>4.0999999999999996</v>
      </c>
      <c r="I5" s="3">
        <v>1.389</v>
      </c>
      <c r="J5" s="36">
        <f t="shared" si="0"/>
        <v>5.6948999999999996</v>
      </c>
    </row>
    <row r="6" spans="2:13" ht="15.6" hidden="1" customHeight="1" x14ac:dyDescent="0.3">
      <c r="B6" s="3">
        <v>4</v>
      </c>
      <c r="C6" s="3" t="s">
        <v>119</v>
      </c>
      <c r="D6" s="34">
        <v>77.81</v>
      </c>
      <c r="E6" s="3">
        <v>0</v>
      </c>
      <c r="F6" s="3">
        <v>1427.8</v>
      </c>
      <c r="G6" s="3">
        <v>0</v>
      </c>
      <c r="H6" s="3">
        <v>32.74</v>
      </c>
      <c r="I6" s="3">
        <v>1.9530000000000001</v>
      </c>
      <c r="J6" s="36">
        <f t="shared" si="0"/>
        <v>63.941220000000008</v>
      </c>
    </row>
    <row r="7" spans="2:13" ht="15.6" hidden="1" customHeight="1" x14ac:dyDescent="0.3">
      <c r="B7" s="3">
        <v>5</v>
      </c>
      <c r="C7" s="3" t="s">
        <v>120</v>
      </c>
      <c r="D7" s="34">
        <v>21.86</v>
      </c>
      <c r="E7" s="3">
        <v>0.12</v>
      </c>
      <c r="F7" s="3">
        <v>222.2</v>
      </c>
      <c r="G7" s="3">
        <v>30</v>
      </c>
      <c r="H7" s="3">
        <v>8.52</v>
      </c>
      <c r="I7" s="3">
        <v>1.204</v>
      </c>
      <c r="J7" s="36">
        <f t="shared" si="0"/>
        <v>10.25808</v>
      </c>
    </row>
    <row r="8" spans="2:13" ht="15.6" customHeight="1" x14ac:dyDescent="0.3">
      <c r="B8" s="3">
        <v>6</v>
      </c>
      <c r="C8" s="3" t="s">
        <v>120</v>
      </c>
      <c r="D8" s="34">
        <v>57.09</v>
      </c>
      <c r="E8" s="3">
        <v>0.12</v>
      </c>
      <c r="F8" s="3">
        <v>159.19999999999999</v>
      </c>
      <c r="G8" s="3">
        <v>29</v>
      </c>
      <c r="H8" s="3">
        <v>23.48</v>
      </c>
      <c r="I8" s="3">
        <v>1.204</v>
      </c>
      <c r="J8" s="36">
        <f t="shared" si="0"/>
        <v>28.269919999999999</v>
      </c>
    </row>
    <row r="9" spans="2:13" ht="15.6" customHeight="1" x14ac:dyDescent="0.3">
      <c r="B9" s="3">
        <v>7</v>
      </c>
      <c r="C9" s="3" t="s">
        <v>120</v>
      </c>
      <c r="D9" s="34">
        <v>41.3</v>
      </c>
      <c r="E9" s="3">
        <v>0.22</v>
      </c>
      <c r="F9" s="3">
        <v>1407.5</v>
      </c>
      <c r="G9" s="3">
        <v>3</v>
      </c>
      <c r="H9" s="3">
        <v>16.920000000000002</v>
      </c>
      <c r="I9" s="3">
        <v>1.389</v>
      </c>
      <c r="J9" s="36">
        <f t="shared" si="0"/>
        <v>23.501880000000003</v>
      </c>
    </row>
    <row r="10" spans="2:13" ht="15.6" customHeight="1" x14ac:dyDescent="0.3">
      <c r="B10" s="3">
        <v>8</v>
      </c>
      <c r="C10" s="3" t="s">
        <v>120</v>
      </c>
      <c r="D10" s="34">
        <v>80.31</v>
      </c>
      <c r="E10" s="3">
        <v>0.18</v>
      </c>
      <c r="F10" s="3">
        <v>985.6</v>
      </c>
      <c r="G10" s="3">
        <v>12</v>
      </c>
      <c r="H10" s="3">
        <v>35.200000000000003</v>
      </c>
      <c r="I10" s="3">
        <v>1.389</v>
      </c>
      <c r="J10" s="36">
        <f t="shared" si="0"/>
        <v>48.892800000000001</v>
      </c>
    </row>
    <row r="11" spans="2:13" ht="15.6" customHeight="1" x14ac:dyDescent="0.3">
      <c r="B11" s="3">
        <v>9</v>
      </c>
      <c r="C11" s="3" t="s">
        <v>121</v>
      </c>
      <c r="D11" s="34">
        <v>72</v>
      </c>
      <c r="E11" s="3">
        <v>0.16</v>
      </c>
      <c r="F11" s="3">
        <v>209.7</v>
      </c>
      <c r="G11" s="3">
        <v>33</v>
      </c>
      <c r="H11" s="3">
        <v>37.58</v>
      </c>
      <c r="I11" s="3">
        <v>1</v>
      </c>
      <c r="J11" s="36">
        <f t="shared" si="0"/>
        <v>37.58</v>
      </c>
    </row>
    <row r="12" spans="2:13" ht="15.6" customHeight="1" x14ac:dyDescent="0.3">
      <c r="B12" s="3">
        <v>10</v>
      </c>
      <c r="C12" s="3" t="s">
        <v>121</v>
      </c>
      <c r="D12" s="34">
        <v>42.31</v>
      </c>
      <c r="E12" s="3">
        <v>0.15</v>
      </c>
      <c r="F12" s="3">
        <v>168.8</v>
      </c>
      <c r="G12" s="3">
        <v>34</v>
      </c>
      <c r="H12" s="3">
        <v>20.48</v>
      </c>
      <c r="I12" s="3">
        <v>1</v>
      </c>
      <c r="J12" s="36">
        <f t="shared" si="0"/>
        <v>20.48</v>
      </c>
    </row>
    <row r="13" spans="2:13" ht="15.6" customHeight="1" x14ac:dyDescent="0.3">
      <c r="B13" s="3">
        <v>11</v>
      </c>
      <c r="C13" s="3" t="s">
        <v>121</v>
      </c>
      <c r="D13" s="34">
        <v>0</v>
      </c>
      <c r="E13" s="3">
        <v>0.15</v>
      </c>
      <c r="F13" s="3">
        <v>191.2</v>
      </c>
      <c r="G13" s="3">
        <v>33</v>
      </c>
      <c r="H13" s="3">
        <v>0</v>
      </c>
      <c r="I13" s="3">
        <v>1</v>
      </c>
      <c r="J13" s="36">
        <f t="shared" si="0"/>
        <v>0</v>
      </c>
    </row>
    <row r="14" spans="2:13" ht="15.6" customHeight="1" x14ac:dyDescent="0.3">
      <c r="B14" s="3">
        <v>12</v>
      </c>
      <c r="C14" s="3" t="s">
        <v>121</v>
      </c>
      <c r="D14" s="34">
        <v>15.57</v>
      </c>
      <c r="E14" s="3">
        <v>0.15</v>
      </c>
      <c r="F14" s="3">
        <v>209.5</v>
      </c>
      <c r="G14" s="3">
        <v>34</v>
      </c>
      <c r="H14" s="3">
        <v>13.46</v>
      </c>
      <c r="I14" s="3">
        <v>1</v>
      </c>
      <c r="J14" s="36">
        <f t="shared" si="0"/>
        <v>13.46</v>
      </c>
      <c r="M14" s="30"/>
    </row>
    <row r="15" spans="2:13" ht="15.6" customHeight="1" x14ac:dyDescent="0.3">
      <c r="B15" s="3">
        <v>13</v>
      </c>
      <c r="C15" s="3" t="s">
        <v>122</v>
      </c>
      <c r="D15" s="34">
        <v>25.03</v>
      </c>
      <c r="E15" s="3">
        <v>0.1</v>
      </c>
      <c r="F15" s="3">
        <v>266.7</v>
      </c>
      <c r="G15" s="3">
        <v>55</v>
      </c>
      <c r="H15" s="3">
        <v>24.78</v>
      </c>
      <c r="I15" s="3">
        <v>0.70799999999999996</v>
      </c>
      <c r="J15" s="36">
        <f t="shared" si="0"/>
        <v>17.544239999999999</v>
      </c>
    </row>
    <row r="16" spans="2:13" ht="15.6" customHeight="1" x14ac:dyDescent="0.3">
      <c r="B16" s="3">
        <v>14</v>
      </c>
      <c r="C16" s="3" t="s">
        <v>122</v>
      </c>
      <c r="D16" s="34">
        <v>53.15</v>
      </c>
      <c r="E16" s="3">
        <v>0.09</v>
      </c>
      <c r="F16" s="3">
        <v>256.7</v>
      </c>
      <c r="G16" s="3">
        <v>49</v>
      </c>
      <c r="H16" s="3">
        <v>33.200000000000003</v>
      </c>
      <c r="I16" s="3">
        <v>0.70799999999999996</v>
      </c>
      <c r="J16" s="36">
        <f t="shared" si="0"/>
        <v>23.505600000000001</v>
      </c>
    </row>
    <row r="17" spans="2:10" ht="15.6" customHeight="1" x14ac:dyDescent="0.3">
      <c r="B17" s="3">
        <v>15</v>
      </c>
      <c r="C17" s="3" t="s">
        <v>122</v>
      </c>
      <c r="D17" s="34">
        <v>47.57</v>
      </c>
      <c r="E17" s="3">
        <v>0.09</v>
      </c>
      <c r="F17" s="3">
        <v>219.6</v>
      </c>
      <c r="G17" s="3">
        <v>57</v>
      </c>
      <c r="H17" s="3">
        <v>28.52</v>
      </c>
      <c r="I17" s="3">
        <v>0.70799999999999996</v>
      </c>
      <c r="J17" s="36">
        <f t="shared" si="0"/>
        <v>20.192159999999998</v>
      </c>
    </row>
    <row r="18" spans="2:10" ht="15.6" customHeight="1" x14ac:dyDescent="0.3">
      <c r="B18" s="3">
        <v>16</v>
      </c>
      <c r="C18" s="3" t="s">
        <v>122</v>
      </c>
      <c r="D18" s="3">
        <v>53.04</v>
      </c>
      <c r="E18" s="3">
        <v>0.1</v>
      </c>
      <c r="F18" s="3">
        <v>246.3</v>
      </c>
      <c r="G18" s="3">
        <v>54</v>
      </c>
      <c r="H18" s="3">
        <v>30.86</v>
      </c>
      <c r="I18" s="3">
        <v>0.70799999999999996</v>
      </c>
      <c r="J18" s="36">
        <f t="shared" si="0"/>
        <v>21.848879999999998</v>
      </c>
    </row>
    <row r="19" spans="2:10" ht="15.6" hidden="1" customHeight="1" x14ac:dyDescent="0.3">
      <c r="B19" s="3">
        <v>17</v>
      </c>
      <c r="C19" s="3" t="s">
        <v>122</v>
      </c>
      <c r="D19" s="34">
        <v>46.22</v>
      </c>
      <c r="E19" s="3">
        <v>0.1</v>
      </c>
      <c r="F19" s="3">
        <v>535.79999999999995</v>
      </c>
      <c r="G19" s="3">
        <v>42</v>
      </c>
      <c r="H19" s="3">
        <v>27.68</v>
      </c>
      <c r="I19" s="3">
        <v>0.70799999999999996</v>
      </c>
      <c r="J19" s="36">
        <f t="shared" si="0"/>
        <v>19.597439999999999</v>
      </c>
    </row>
    <row r="20" spans="2:10" ht="15.6" customHeight="1" x14ac:dyDescent="0.3">
      <c r="B20" s="3">
        <v>18</v>
      </c>
      <c r="C20" s="3" t="s">
        <v>122</v>
      </c>
      <c r="D20" s="34">
        <v>64.42</v>
      </c>
      <c r="E20" s="3">
        <v>0.1</v>
      </c>
      <c r="F20" s="3">
        <v>279.7</v>
      </c>
      <c r="G20" s="3">
        <v>56</v>
      </c>
      <c r="H20" s="3">
        <v>41.18</v>
      </c>
      <c r="I20" s="3">
        <v>0.70799999999999996</v>
      </c>
      <c r="J20" s="36">
        <f t="shared" si="0"/>
        <v>29.155439999999999</v>
      </c>
    </row>
    <row r="21" spans="2:10" ht="15.6" customHeight="1" x14ac:dyDescent="0.3">
      <c r="B21" s="3">
        <v>19</v>
      </c>
      <c r="C21" s="3" t="s">
        <v>121</v>
      </c>
      <c r="D21" s="34">
        <v>66.599999999999994</v>
      </c>
      <c r="E21" s="3">
        <v>0.14000000000000001</v>
      </c>
      <c r="F21" s="3">
        <v>170.6</v>
      </c>
      <c r="G21" s="3">
        <v>37</v>
      </c>
      <c r="H21" s="3">
        <v>27.8</v>
      </c>
      <c r="I21" s="3">
        <v>1</v>
      </c>
      <c r="J21" s="36">
        <f t="shared" si="0"/>
        <v>27.8</v>
      </c>
    </row>
    <row r="22" spans="2:10" ht="15.6" customHeight="1" x14ac:dyDescent="0.3">
      <c r="B22" s="3">
        <v>20</v>
      </c>
      <c r="C22" s="3" t="s">
        <v>121</v>
      </c>
      <c r="D22" s="34">
        <v>0</v>
      </c>
      <c r="E22" s="3">
        <v>0.14000000000000001</v>
      </c>
      <c r="F22" s="3">
        <v>151</v>
      </c>
      <c r="G22" s="3">
        <v>37</v>
      </c>
      <c r="H22" s="3">
        <v>0</v>
      </c>
      <c r="I22" s="3">
        <v>1</v>
      </c>
      <c r="J22" s="36">
        <f t="shared" si="0"/>
        <v>0</v>
      </c>
    </row>
    <row r="23" spans="2:10" ht="15.6" customHeight="1" x14ac:dyDescent="0.3">
      <c r="B23" s="3">
        <v>21</v>
      </c>
      <c r="C23" s="3" t="s">
        <v>121</v>
      </c>
      <c r="D23" s="34">
        <v>35.22</v>
      </c>
      <c r="E23" s="3">
        <v>0.14000000000000001</v>
      </c>
      <c r="F23" s="3">
        <v>216.1</v>
      </c>
      <c r="G23" s="3">
        <v>24</v>
      </c>
      <c r="H23" s="3">
        <v>15.24</v>
      </c>
      <c r="I23" s="3">
        <v>1</v>
      </c>
      <c r="J23" s="36">
        <f t="shared" si="0"/>
        <v>15.24</v>
      </c>
    </row>
    <row r="24" spans="2:10" ht="15.6" customHeight="1" x14ac:dyDescent="0.3">
      <c r="B24" s="3">
        <v>22</v>
      </c>
      <c r="C24" s="3" t="s">
        <v>121</v>
      </c>
      <c r="D24" s="34">
        <v>66.95</v>
      </c>
      <c r="E24" s="3">
        <v>0.13</v>
      </c>
      <c r="F24" s="3">
        <v>159.69999999999999</v>
      </c>
      <c r="G24" s="3">
        <v>37</v>
      </c>
      <c r="H24" s="3">
        <v>33.799999999999997</v>
      </c>
      <c r="I24" s="3">
        <v>1</v>
      </c>
      <c r="J24" s="36">
        <f t="shared" si="0"/>
        <v>33.799999999999997</v>
      </c>
    </row>
    <row r="25" spans="2:10" ht="15.6" customHeight="1" x14ac:dyDescent="0.3">
      <c r="B25" s="3">
        <v>23</v>
      </c>
      <c r="C25" s="3" t="s">
        <v>121</v>
      </c>
      <c r="D25" s="34">
        <v>55.13</v>
      </c>
      <c r="E25" s="3">
        <v>0.14000000000000001</v>
      </c>
      <c r="F25" s="3">
        <v>184.5</v>
      </c>
      <c r="G25" s="3">
        <v>36</v>
      </c>
      <c r="H25" s="3">
        <v>27.56</v>
      </c>
      <c r="I25" s="3">
        <v>1</v>
      </c>
      <c r="J25" s="36">
        <f t="shared" si="0"/>
        <v>27.56</v>
      </c>
    </row>
    <row r="26" spans="2:10" ht="15.6" customHeight="1" x14ac:dyDescent="0.3">
      <c r="B26" s="3">
        <v>24</v>
      </c>
      <c r="C26" s="3" t="s">
        <v>121</v>
      </c>
      <c r="D26" s="34">
        <v>25.11</v>
      </c>
      <c r="E26" s="3">
        <v>0.13</v>
      </c>
      <c r="F26" s="3">
        <v>148.5</v>
      </c>
      <c r="G26" s="3">
        <v>38</v>
      </c>
      <c r="H26" s="3">
        <v>12.42</v>
      </c>
      <c r="I26" s="3">
        <v>1</v>
      </c>
      <c r="J26" s="36">
        <f t="shared" si="0"/>
        <v>12.42</v>
      </c>
    </row>
    <row r="27" spans="2:10" ht="15.6" customHeight="1" x14ac:dyDescent="0.3">
      <c r="B27" s="3">
        <v>25</v>
      </c>
      <c r="C27" s="3" t="s">
        <v>121</v>
      </c>
      <c r="D27" s="34">
        <v>46.65</v>
      </c>
      <c r="E27" s="3">
        <v>0.14000000000000001</v>
      </c>
      <c r="F27" s="3">
        <v>185.8</v>
      </c>
      <c r="G27" s="3">
        <v>36</v>
      </c>
      <c r="H27" s="3">
        <v>23.56</v>
      </c>
      <c r="I27" s="3">
        <v>1</v>
      </c>
      <c r="J27" s="36">
        <f t="shared" si="0"/>
        <v>23.56</v>
      </c>
    </row>
    <row r="28" spans="2:10" ht="15.6" customHeight="1" x14ac:dyDescent="0.3">
      <c r="B28" s="3">
        <v>26</v>
      </c>
      <c r="C28" s="3" t="s">
        <v>121</v>
      </c>
      <c r="D28" s="34">
        <v>24.35</v>
      </c>
      <c r="E28" s="3">
        <v>0.14000000000000001</v>
      </c>
      <c r="F28" s="3">
        <v>782.2</v>
      </c>
      <c r="G28" s="3">
        <v>20</v>
      </c>
      <c r="H28" s="3">
        <v>12.5</v>
      </c>
      <c r="I28" s="3">
        <v>1</v>
      </c>
      <c r="J28" s="36">
        <f t="shared" si="0"/>
        <v>12.5</v>
      </c>
    </row>
    <row r="29" spans="2:10" ht="15.6" customHeight="1" x14ac:dyDescent="0.3">
      <c r="B29" s="3">
        <v>27</v>
      </c>
      <c r="C29" s="3" t="s">
        <v>121</v>
      </c>
      <c r="D29" s="34">
        <v>0</v>
      </c>
      <c r="E29" s="3">
        <v>0.15</v>
      </c>
      <c r="F29" s="3">
        <v>218.8</v>
      </c>
      <c r="G29" s="3">
        <v>34</v>
      </c>
      <c r="H29" s="3">
        <v>0</v>
      </c>
      <c r="I29" s="3">
        <v>1</v>
      </c>
      <c r="J29" s="36">
        <f t="shared" si="0"/>
        <v>0</v>
      </c>
    </row>
    <row r="30" spans="2:10" ht="15.6" hidden="1" customHeight="1" x14ac:dyDescent="0.3">
      <c r="B30" s="3">
        <v>28</v>
      </c>
      <c r="C30" s="3" t="s">
        <v>121</v>
      </c>
      <c r="D30" s="34">
        <v>32.79</v>
      </c>
      <c r="E30" s="3">
        <v>0.15</v>
      </c>
      <c r="F30" s="3">
        <v>193.2</v>
      </c>
      <c r="G30" s="3">
        <v>33</v>
      </c>
      <c r="H30" s="3">
        <v>17.579999999999998</v>
      </c>
      <c r="I30" s="3">
        <v>1</v>
      </c>
      <c r="J30" s="36">
        <f t="shared" si="0"/>
        <v>17.579999999999998</v>
      </c>
    </row>
    <row r="31" spans="2:10" ht="15.6" hidden="1" customHeight="1" x14ac:dyDescent="0.3">
      <c r="B31" s="3" t="s">
        <v>123</v>
      </c>
      <c r="C31" s="3" t="s">
        <v>121</v>
      </c>
      <c r="D31" s="34">
        <v>67.349999999999994</v>
      </c>
      <c r="E31" s="3">
        <v>0.16</v>
      </c>
      <c r="F31" s="3">
        <v>217.8</v>
      </c>
      <c r="G31" s="3">
        <v>25</v>
      </c>
      <c r="H31" s="3">
        <v>36.72</v>
      </c>
      <c r="I31" s="3">
        <v>1</v>
      </c>
      <c r="J31" s="36">
        <f t="shared" si="0"/>
        <v>36.72</v>
      </c>
    </row>
    <row r="32" spans="2:10" ht="15.6" hidden="1" customHeight="1" x14ac:dyDescent="0.3">
      <c r="B32" s="3">
        <v>30</v>
      </c>
      <c r="C32" s="3" t="s">
        <v>121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6">
        <f t="shared" si="0"/>
        <v>0</v>
      </c>
    </row>
    <row r="33" spans="2:10" ht="15.6" hidden="1" customHeight="1" x14ac:dyDescent="0.3">
      <c r="B33" s="3">
        <v>31</v>
      </c>
      <c r="C33" s="3" t="s">
        <v>124</v>
      </c>
      <c r="D33" s="34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6">
        <f t="shared" si="0"/>
        <v>0</v>
      </c>
    </row>
    <row r="34" spans="2:10" ht="15.6" customHeight="1" x14ac:dyDescent="0.3">
      <c r="B34" s="3">
        <v>32</v>
      </c>
      <c r="C34" s="3" t="s">
        <v>124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6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2024-03-27T05:58:55Z</dcterms:modified>
</cp:coreProperties>
</file>