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<sst xmlns="http://schemas.openxmlformats.org/spreadsheetml/2006/main" count="308" uniqueCount="81">
  <si>
    <t>Tesla Valuation</t>
  </si>
  <si>
    <t>Part 6: Sens Analysis</t>
  </si>
  <si>
    <t>Model assumptions based on anaylst reports</t>
  </si>
  <si>
    <t>Upside YOY Revenue Growth</t>
  </si>
  <si>
    <t>if revenue grows, as per sensitivity analysis</t>
  </si>
  <si>
    <t>Downside YOY Revenue Growth</t>
  </si>
  <si>
    <t>Base Case YOY Revenue Growth</t>
  </si>
  <si>
    <t>Total Cost of Revenue (% of Rev)</t>
  </si>
  <si>
    <t>R&amp;D YOY Growth</t>
  </si>
  <si>
    <t>SG&amp;A YOY Growth</t>
  </si>
  <si>
    <t>Depreciation (% of Rev)</t>
  </si>
  <si>
    <t>CapEx (% of Depr)</t>
  </si>
  <si>
    <t>Sens CoR</t>
  </si>
  <si>
    <t>Total Revenue in 2023 (in millions)</t>
  </si>
  <si>
    <t>Total R&amp;D in 2023 (in millions)</t>
  </si>
  <si>
    <t>Total SG&amp;A in 2023 (in millions)</t>
  </si>
  <si>
    <t>Cost of Capital (Discount Rate)</t>
  </si>
  <si>
    <t>Long run growth rate</t>
  </si>
  <si>
    <t>tax rate</t>
  </si>
  <si>
    <t>All dollar figures are in millions</t>
  </si>
  <si>
    <t xml:space="preserve">Total Revenue </t>
  </si>
  <si>
    <t>Cost of Revenue</t>
  </si>
  <si>
    <t>R&amp;D</t>
  </si>
  <si>
    <t>SG&amp;A</t>
  </si>
  <si>
    <t>EBITDA</t>
  </si>
  <si>
    <t>Depreciation</t>
  </si>
  <si>
    <t>EBIT</t>
  </si>
  <si>
    <t>Capital Expenditure</t>
  </si>
  <si>
    <t>Taxes</t>
  </si>
  <si>
    <t>Incremental Earnings</t>
  </si>
  <si>
    <t>OCF= (EBIT + DEP) - TAXES</t>
  </si>
  <si>
    <t>-Capital Expenditure (net cap spending)</t>
  </si>
  <si>
    <t>Free Cash flow</t>
  </si>
  <si>
    <t>(terminal val)</t>
  </si>
  <si>
    <t>Terminal value</t>
  </si>
  <si>
    <t>2031 end</t>
  </si>
  <si>
    <t>Final FV</t>
  </si>
  <si>
    <t>(sum of end 2031 and terminal val)</t>
  </si>
  <si>
    <t>Part 3</t>
  </si>
  <si>
    <t xml:space="preserve">Terminal Value </t>
  </si>
  <si>
    <t>Part 2</t>
  </si>
  <si>
    <t>NPV at discout rate of 12%</t>
  </si>
  <si>
    <t>PV of sum of end 2031 and terminal value</t>
  </si>
  <si>
    <t>Part 4</t>
  </si>
  <si>
    <t>PV of the Free Cash Flows</t>
  </si>
  <si>
    <t>Sum of CF (estimated total enterprise value of Tesla)</t>
  </si>
  <si>
    <t>Enterprise Value = Equity + Debt -(Cash and marketable securities)</t>
  </si>
  <si>
    <t>Part 5</t>
  </si>
  <si>
    <t>Cash (milion)</t>
  </si>
  <si>
    <t>Debt</t>
  </si>
  <si>
    <t>Equity</t>
  </si>
  <si>
    <t># Shares outstanding</t>
  </si>
  <si>
    <t>Equity Price per share of Tesla</t>
  </si>
  <si>
    <t xml:space="preserve">                                                     </t>
  </si>
  <si>
    <t>MARKET VALUE PER SHARE</t>
  </si>
  <si>
    <t>Part 6</t>
  </si>
  <si>
    <t xml:space="preserve">DOWNSIDE </t>
  </si>
  <si>
    <t>Revenue</t>
  </si>
  <si>
    <t>Part 6, Sensitivity Analysis Continued</t>
  </si>
  <si>
    <t>If R&amp;D grows at 16% from 2027 onwards</t>
  </si>
  <si>
    <t>-Taxes</t>
  </si>
  <si>
    <t xml:space="preserve">Terminal value </t>
  </si>
  <si>
    <t>New R&amp;D YOY Growth</t>
  </si>
  <si>
    <t>Free cash Flow</t>
  </si>
  <si>
    <t>NPV</t>
  </si>
  <si>
    <t>EV</t>
  </si>
  <si>
    <t>UPSIDE</t>
  </si>
  <si>
    <t>Part 6 continues, column U</t>
  </si>
  <si>
    <t>Part 7</t>
  </si>
  <si>
    <t>NEW Base Case YOY Revenue Growth</t>
  </si>
  <si>
    <t>AND If rev grows as per sens cor</t>
  </si>
  <si>
    <t>... part 7</t>
  </si>
  <si>
    <t>CAGR</t>
  </si>
  <si>
    <t>Part 8</t>
  </si>
  <si>
    <t>Multiple</t>
  </si>
  <si>
    <t>2024 EBITDA</t>
  </si>
  <si>
    <t>EV/EBITDA  Auto</t>
  </si>
  <si>
    <t>EV/EBITDA  CDG</t>
  </si>
  <si>
    <t>Auto multiple</t>
  </si>
  <si>
    <t>CDG multiple</t>
  </si>
  <si>
    <t>enterprise value= equity + debt -(cash and marketable securities)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</si>
</sst>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25">
    <font>
      <sz val="10.0"/>
      <color rgb="FF000000"/>
      <name val="Arial"/>
      <scheme val="minor"/>
    </font>
    <font>
      <b/>
      <sz val="13.0"/>
      <color rgb="FF000000"/>
      <name val="Arial"/>
      <scheme val="minor"/>
    </font>
    <font>
      <b/>
      <sz val="13.0"/>
      <color theme="1"/>
      <name val="Arial"/>
      <scheme val="minor"/>
    </font>
    <font>
      <b/>
      <sz val="11.0"/>
      <color rgb="FF000000"/>
      <name val="Arial"/>
      <scheme val="minor"/>
    </font>
    <font>
      <sz val="11.0"/>
      <color rgb="FF000000"/>
      <name val="Arial"/>
      <scheme val="minor"/>
    </font>
    <font>
      <sz val="11.0"/>
      <color theme="1"/>
      <name val="Arial"/>
      <scheme val="minor"/>
    </font>
    <font>
      <b/>
      <sz val="11.0"/>
      <color theme="1"/>
      <name val="Arial"/>
      <scheme val="minor"/>
    </font>
    <font>
      <b/>
      <u/>
      <sz val="11.0"/>
      <color rgb="FF000000"/>
      <name val="Arial"/>
      <scheme val="minor"/>
    </font>
    <font>
      <b/>
      <u/>
      <sz val="11.0"/>
      <color rgb="FF000000"/>
      <name val="Arial"/>
      <scheme val="minor"/>
    </font>
    <font>
      <u/>
      <sz val="11.0"/>
      <color theme="1"/>
      <name val="Arial"/>
      <scheme val="minor"/>
    </font>
    <font>
      <b/>
      <u/>
      <sz val="11.0"/>
      <color rgb="FF000000"/>
      <name val="Arial"/>
      <scheme val="minor"/>
    </font>
    <font>
      <b/>
      <u/>
      <sz val="11.0"/>
      <color rgb="FF000000"/>
      <name val="Arial"/>
      <scheme val="minor"/>
    </font>
    <font>
      <b/>
      <u/>
      <sz val="11.0"/>
      <color theme="1"/>
      <name val="Arial"/>
      <scheme val="minor"/>
    </font>
    <font>
      <b/>
      <u/>
      <sz val="11.0"/>
      <color theme="1"/>
      <name val="Arial"/>
      <scheme val="minor"/>
    </font>
    <font>
      <b/>
      <u/>
      <sz val="11.0"/>
      <color rgb="FF000000"/>
      <name val="Arial"/>
      <scheme val="minor"/>
    </font>
    <font>
      <b/>
      <u/>
      <sz val="11.0"/>
      <color theme="1"/>
      <name val="Arial"/>
      <scheme val="minor"/>
    </font>
    <font>
      <b/>
      <u/>
      <sz val="11.0"/>
      <color rgb="FF000000"/>
      <name val="Arial"/>
      <scheme val="minor"/>
    </font>
    <font>
      <b/>
      <u/>
      <sz val="11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&quot;Google Sans Mono&quot;"/>
    </font>
    <font>
      <u/>
      <sz val="11.0"/>
      <color theme="1"/>
      <name val="Arial"/>
      <scheme val="minor"/>
    </font>
    <font>
      <b/>
      <u/>
      <sz val="11.0"/>
      <color theme="1"/>
      <name val="Arial"/>
      <scheme val="minor"/>
    </font>
    <font>
      <sz val="11.0"/>
      <color theme="1"/>
      <name val="Arial"/>
    </font>
    <font>
      <u/>
      <sz val="11.0"/>
      <color theme="1"/>
      <name val="Arial"/>
      <scheme val="minor"/>
    </font>
    <font>
      <b/>
      <u/>
      <sz val="11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22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top style="thin">
        <color rgb="FF000000"/>
      </top>
    </border>
    <border>
      <top style="medium">
        <color rgb="FF000000"/>
      </top>
    </border>
    <border>
      <top style="thick">
        <color rgb="FF000000"/>
      </top>
      <bottom style="thick">
        <color rgb="FF000000"/>
      </bottom>
    </border>
    <border>
      <top style="medium">
        <color rgb="FF000000"/>
      </top>
      <bottom style="medium">
        <color rgb="FF000000"/>
      </bottom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top style="thin">
        <color rgb="FF000000"/>
      </top>
      <bottom style="thin">
        <color rgb="FF000000"/>
      </bottom>
    </border>
    <border>
      <left style="thick">
        <color rgb="FF434343"/>
      </lef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5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center"/>
    </xf>
    <xf borderId="0" fillId="2" fontId="1" numFmtId="0" xfId="0" applyAlignment="1" applyFont="1">
      <alignment vertical="center"/>
    </xf>
    <xf borderId="0" fillId="2" fontId="2" numFmtId="0" xfId="0" applyAlignment="1" applyFont="1">
      <alignment vertical="center"/>
    </xf>
    <xf borderId="0" fillId="2" fontId="2" numFmtId="0" xfId="0" applyAlignment="1" applyFont="1">
      <alignment horizontal="center" readingOrder="0" vertical="center"/>
    </xf>
    <xf borderId="0" fillId="3" fontId="3" numFmtId="0" xfId="0" applyAlignment="1" applyFill="1" applyFont="1">
      <alignment readingOrder="0" vertical="center"/>
    </xf>
    <xf borderId="0" fillId="3" fontId="3" numFmtId="0" xfId="0" applyAlignment="1" applyFont="1">
      <alignment vertical="center"/>
    </xf>
    <xf borderId="0" fillId="0" fontId="4" numFmtId="0" xfId="0" applyAlignment="1" applyFont="1">
      <alignment vertical="center"/>
    </xf>
    <xf borderId="0" fillId="0" fontId="5" numFmtId="0" xfId="0" applyAlignment="1" applyFont="1">
      <alignment vertical="center"/>
    </xf>
    <xf borderId="0" fillId="4" fontId="6" numFmtId="0" xfId="0" applyAlignment="1" applyFill="1" applyFont="1">
      <alignment horizontal="center" readingOrder="0" vertical="center"/>
    </xf>
    <xf borderId="0" fillId="4" fontId="5" numFmtId="0" xfId="0" applyAlignment="1" applyFont="1">
      <alignment vertical="center"/>
    </xf>
    <xf borderId="0" fillId="4" fontId="3" numFmtId="0" xfId="0" applyAlignment="1" applyFont="1">
      <alignment readingOrder="0" vertical="center"/>
    </xf>
    <xf borderId="0" fillId="4" fontId="3" numFmtId="0" xfId="0" applyAlignment="1" applyFont="1">
      <alignment vertical="center"/>
    </xf>
    <xf borderId="0" fillId="4" fontId="4" numFmtId="0" xfId="0" applyAlignment="1" applyFont="1">
      <alignment vertical="center"/>
    </xf>
    <xf borderId="1" fillId="5" fontId="6" numFmtId="0" xfId="0" applyAlignment="1" applyBorder="1" applyFill="1" applyFont="1">
      <alignment horizontal="center" readingOrder="0" vertical="center"/>
    </xf>
    <xf borderId="2" fillId="0" fontId="5" numFmtId="0" xfId="0" applyAlignment="1" applyBorder="1" applyFont="1">
      <alignment vertical="center"/>
    </xf>
    <xf borderId="2" fillId="3" fontId="3" numFmtId="0" xfId="0" applyAlignment="1" applyBorder="1" applyFont="1">
      <alignment readingOrder="0" vertical="center"/>
    </xf>
    <xf borderId="2" fillId="3" fontId="3" numFmtId="0" xfId="0" applyAlignment="1" applyBorder="1" applyFont="1">
      <alignment vertical="center"/>
    </xf>
    <xf borderId="2" fillId="0" fontId="4" numFmtId="0" xfId="0" applyAlignment="1" applyBorder="1" applyFont="1">
      <alignment vertical="center"/>
    </xf>
    <xf borderId="3" fillId="0" fontId="4" numFmtId="0" xfId="0" applyAlignment="1" applyBorder="1" applyFont="1">
      <alignment vertical="center"/>
    </xf>
    <xf borderId="0" fillId="3" fontId="7" numFmtId="0" xfId="0" applyAlignment="1" applyFont="1">
      <alignment readingOrder="0" vertical="center"/>
    </xf>
    <xf borderId="0" fillId="3" fontId="4" numFmtId="0" xfId="0" applyAlignment="1" applyFont="1">
      <alignment vertical="center"/>
    </xf>
    <xf borderId="0" fillId="3" fontId="8" numFmtId="0" xfId="0" applyAlignment="1" applyFont="1">
      <alignment horizontal="right" readingOrder="0" vertical="center"/>
    </xf>
    <xf borderId="4" fillId="0" fontId="5" numFmtId="0" xfId="0" applyAlignment="1" applyBorder="1" applyFont="1">
      <alignment readingOrder="0" vertical="center"/>
    </xf>
    <xf borderId="5" fillId="0" fontId="4" numFmtId="0" xfId="0" applyAlignment="1" applyBorder="1" applyFont="1">
      <alignment vertical="center"/>
    </xf>
    <xf borderId="0" fillId="3" fontId="4" numFmtId="0" xfId="0" applyAlignment="1" applyFont="1">
      <alignment readingOrder="0" vertical="center"/>
    </xf>
    <xf borderId="0" fillId="3" fontId="4" numFmtId="9" xfId="0" applyAlignment="1" applyFont="1" applyNumberFormat="1">
      <alignment horizontal="right" readingOrder="0" vertical="center"/>
    </xf>
    <xf borderId="4" fillId="0" fontId="9" numFmtId="0" xfId="0" applyAlignment="1" applyBorder="1" applyFont="1">
      <alignment readingOrder="0" vertical="center"/>
    </xf>
    <xf borderId="4" fillId="0" fontId="5" numFmtId="0" xfId="0" applyAlignment="1" applyBorder="1" applyFont="1">
      <alignment vertical="center"/>
    </xf>
    <xf borderId="0" fillId="3" fontId="4" numFmtId="10" xfId="0" applyAlignment="1" applyFont="1" applyNumberFormat="1">
      <alignment horizontal="right" readingOrder="0" vertical="center"/>
    </xf>
    <xf borderId="0" fillId="3" fontId="4" numFmtId="0" xfId="0" applyAlignment="1" applyFont="1">
      <alignment horizontal="right" readingOrder="0" vertical="center"/>
    </xf>
    <xf borderId="0" fillId="0" fontId="4" numFmtId="0" xfId="0" applyAlignment="1" applyFont="1">
      <alignment readingOrder="0" vertical="center"/>
    </xf>
    <xf borderId="0" fillId="0" fontId="4" numFmtId="9" xfId="0" applyAlignment="1" applyFont="1" applyNumberFormat="1">
      <alignment readingOrder="0" vertical="center"/>
    </xf>
    <xf borderId="5" fillId="0" fontId="5" numFmtId="0" xfId="0" applyAlignment="1" applyBorder="1" applyFont="1">
      <alignment vertical="center"/>
    </xf>
    <xf borderId="0" fillId="0" fontId="10" numFmtId="0" xfId="0" applyAlignment="1" applyFont="1">
      <alignment vertical="center"/>
    </xf>
    <xf borderId="0" fillId="0" fontId="11" numFmtId="0" xfId="0" applyAlignment="1" applyFont="1">
      <alignment horizontal="center" readingOrder="0" vertical="center"/>
    </xf>
    <xf borderId="0" fillId="0" fontId="12" numFmtId="0" xfId="0" applyAlignment="1" applyFont="1">
      <alignment horizontal="right" vertical="center"/>
    </xf>
    <xf borderId="4" fillId="0" fontId="13" numFmtId="0" xfId="0" applyAlignment="1" applyBorder="1" applyFont="1">
      <alignment horizontal="right" vertical="center"/>
    </xf>
    <xf borderId="0" fillId="0" fontId="14" numFmtId="0" xfId="0" applyAlignment="1" applyFont="1">
      <alignment horizontal="right" readingOrder="0" vertical="center"/>
    </xf>
    <xf borderId="5" fillId="0" fontId="15" numFmtId="0" xfId="0" applyAlignment="1" applyBorder="1" applyFont="1">
      <alignment horizontal="right" vertical="center"/>
    </xf>
    <xf borderId="0" fillId="0" fontId="3" numFmtId="0" xfId="0" applyAlignment="1" applyFont="1">
      <alignment readingOrder="0" vertical="center"/>
    </xf>
    <xf borderId="0" fillId="0" fontId="3" numFmtId="164" xfId="0" applyAlignment="1" applyFont="1" applyNumberFormat="1">
      <alignment vertical="center"/>
    </xf>
    <xf borderId="0" fillId="0" fontId="5" numFmtId="0" xfId="0" applyAlignment="1" applyFont="1">
      <alignment horizontal="right" vertical="center"/>
    </xf>
    <xf borderId="4" fillId="0" fontId="5" numFmtId="0" xfId="0" applyAlignment="1" applyBorder="1" applyFont="1">
      <alignment horizontal="right" vertical="center"/>
    </xf>
    <xf borderId="0" fillId="0" fontId="4" numFmtId="164" xfId="0" applyAlignment="1" applyFont="1" applyNumberFormat="1">
      <alignment vertical="center"/>
    </xf>
    <xf borderId="5" fillId="0" fontId="5" numFmtId="0" xfId="0" applyAlignment="1" applyBorder="1" applyFont="1">
      <alignment horizontal="right" vertical="center"/>
    </xf>
    <xf borderId="0" fillId="0" fontId="4" numFmtId="164" xfId="0" applyAlignment="1" applyFont="1" applyNumberFormat="1">
      <alignment readingOrder="0" vertical="center"/>
    </xf>
    <xf borderId="6" fillId="0" fontId="3" numFmtId="164" xfId="0" applyAlignment="1" applyBorder="1" applyFont="1" applyNumberFormat="1">
      <alignment vertical="center"/>
    </xf>
    <xf borderId="7" fillId="0" fontId="4" numFmtId="164" xfId="0" applyAlignment="1" applyBorder="1" applyFont="1" applyNumberFormat="1">
      <alignment readingOrder="0" vertical="center"/>
    </xf>
    <xf borderId="7" fillId="0" fontId="4" numFmtId="164" xfId="0" applyAlignment="1" applyBorder="1" applyFont="1" applyNumberFormat="1">
      <alignment vertical="center"/>
    </xf>
    <xf borderId="4" fillId="4" fontId="5" numFmtId="0" xfId="0" applyAlignment="1" applyBorder="1" applyFont="1">
      <alignment vertical="center"/>
    </xf>
    <xf borderId="8" fillId="0" fontId="3" numFmtId="164" xfId="0" applyAlignment="1" applyBorder="1" applyFont="1" applyNumberFormat="1">
      <alignment vertical="center"/>
    </xf>
    <xf borderId="0" fillId="0" fontId="5" numFmtId="0" xfId="0" applyAlignment="1" applyFont="1">
      <alignment readingOrder="0" vertical="center"/>
    </xf>
    <xf quotePrefix="1" borderId="0" fillId="0" fontId="3" numFmtId="0" xfId="0" applyAlignment="1" applyFont="1">
      <alignment readingOrder="0" vertical="center"/>
    </xf>
    <xf borderId="0" fillId="0" fontId="16" numFmtId="0" xfId="0" applyAlignment="1" applyFont="1">
      <alignment readingOrder="0" vertical="center"/>
    </xf>
    <xf borderId="8" fillId="0" fontId="17" numFmtId="164" xfId="0" applyAlignment="1" applyBorder="1" applyFont="1" applyNumberFormat="1">
      <alignment vertical="center"/>
    </xf>
    <xf borderId="0" fillId="0" fontId="5" numFmtId="0" xfId="0" applyAlignment="1" applyFont="1">
      <alignment horizontal="center" readingOrder="0" vertical="center"/>
    </xf>
    <xf borderId="9" fillId="0" fontId="4" numFmtId="164" xfId="0" applyAlignment="1" applyBorder="1" applyFont="1" applyNumberFormat="1">
      <alignment vertical="center"/>
    </xf>
    <xf borderId="0" fillId="5" fontId="3" numFmtId="0" xfId="0" applyAlignment="1" applyFont="1">
      <alignment readingOrder="0" vertical="center"/>
    </xf>
    <xf borderId="0" fillId="6" fontId="5" numFmtId="164" xfId="0" applyAlignment="1" applyFill="1" applyFont="1" applyNumberFormat="1">
      <alignment vertical="center"/>
    </xf>
    <xf borderId="0" fillId="0" fontId="5" numFmtId="9" xfId="0" applyAlignment="1" applyFont="1" applyNumberFormat="1">
      <alignment readingOrder="0" vertical="center"/>
    </xf>
    <xf borderId="0" fillId="0" fontId="18" numFmtId="0" xfId="0" applyAlignment="1" applyFont="1">
      <alignment vertical="center"/>
    </xf>
    <xf borderId="0" fillId="7" fontId="3" numFmtId="164" xfId="0" applyAlignment="1" applyFill="1" applyFont="1" applyNumberFormat="1">
      <alignment vertical="center"/>
    </xf>
    <xf borderId="0" fillId="4" fontId="19" numFmtId="0" xfId="0" applyAlignment="1" applyFont="1">
      <alignment vertical="center"/>
    </xf>
    <xf borderId="0" fillId="0" fontId="3" numFmtId="164" xfId="0" applyAlignment="1" applyFont="1" applyNumberFormat="1">
      <alignment vertical="center"/>
    </xf>
    <xf borderId="0" fillId="4" fontId="4" numFmtId="0" xfId="0" applyAlignment="1" applyFont="1">
      <alignment readingOrder="0" vertical="center"/>
    </xf>
    <xf borderId="0" fillId="4" fontId="3" numFmtId="164" xfId="0" applyAlignment="1" applyFont="1" applyNumberFormat="1">
      <alignment vertical="center"/>
    </xf>
    <xf borderId="0" fillId="4" fontId="4" numFmtId="164" xfId="0" applyAlignment="1" applyFont="1" applyNumberFormat="1">
      <alignment vertical="center"/>
    </xf>
    <xf borderId="0" fillId="0" fontId="4" numFmtId="164" xfId="0" applyAlignment="1" applyFont="1" applyNumberFormat="1">
      <alignment vertical="center"/>
    </xf>
    <xf borderId="0" fillId="4" fontId="6" numFmtId="0" xfId="0" applyAlignment="1" applyFont="1">
      <alignment readingOrder="0" vertical="center"/>
    </xf>
    <xf borderId="0" fillId="7" fontId="4" numFmtId="164" xfId="0" applyAlignment="1" applyFont="1" applyNumberFormat="1">
      <alignment vertical="center"/>
    </xf>
    <xf borderId="0" fillId="8" fontId="4" numFmtId="0" xfId="0" applyAlignment="1" applyFill="1" applyFont="1">
      <alignment vertical="center"/>
    </xf>
    <xf borderId="0" fillId="7" fontId="4" numFmtId="164" xfId="0" applyAlignment="1" applyFont="1" applyNumberFormat="1">
      <alignment vertical="center"/>
    </xf>
    <xf borderId="0" fillId="5" fontId="6" numFmtId="0" xfId="0" applyAlignment="1" applyFont="1">
      <alignment readingOrder="0" vertical="center"/>
    </xf>
    <xf borderId="0" fillId="4" fontId="4" numFmtId="164" xfId="0" applyAlignment="1" applyFont="1" applyNumberFormat="1">
      <alignment readingOrder="0" vertical="center"/>
    </xf>
    <xf borderId="0" fillId="4" fontId="5" numFmtId="0" xfId="0" applyAlignment="1" applyFont="1">
      <alignment readingOrder="0" vertical="center"/>
    </xf>
    <xf borderId="0" fillId="4" fontId="5" numFmtId="164" xfId="0" applyAlignment="1" applyFont="1" applyNumberFormat="1">
      <alignment readingOrder="0" vertical="center"/>
    </xf>
    <xf borderId="0" fillId="4" fontId="5" numFmtId="164" xfId="0" applyAlignment="1" applyFont="1" applyNumberFormat="1">
      <alignment vertical="center"/>
    </xf>
    <xf borderId="0" fillId="8" fontId="5" numFmtId="0" xfId="0" applyAlignment="1" applyFont="1">
      <alignment readingOrder="0" vertical="center"/>
    </xf>
    <xf borderId="0" fillId="0" fontId="20" numFmtId="0" xfId="0" applyAlignment="1" applyFont="1">
      <alignment readingOrder="0" vertical="center"/>
    </xf>
    <xf borderId="0" fillId="4" fontId="5" numFmtId="164" xfId="0" applyAlignment="1" applyFont="1" applyNumberFormat="1">
      <alignment readingOrder="0" vertical="center"/>
    </xf>
    <xf borderId="0" fillId="7" fontId="6" numFmtId="164" xfId="0" applyAlignment="1" applyFont="1" applyNumberFormat="1">
      <alignment vertical="center"/>
    </xf>
    <xf borderId="0" fillId="7" fontId="5" numFmtId="164" xfId="0" applyAlignment="1" applyFont="1" applyNumberFormat="1">
      <alignment vertical="center"/>
    </xf>
    <xf borderId="0" fillId="0" fontId="6" numFmtId="0" xfId="0" applyAlignment="1" applyFont="1">
      <alignment readingOrder="0" vertical="center"/>
    </xf>
    <xf borderId="0" fillId="0" fontId="21" numFmtId="0" xfId="0" applyAlignment="1" applyFont="1">
      <alignment readingOrder="0" vertical="center"/>
    </xf>
    <xf borderId="10" fillId="0" fontId="5" numFmtId="0" xfId="0" applyAlignment="1" applyBorder="1" applyFont="1">
      <alignment vertical="center"/>
    </xf>
    <xf borderId="11" fillId="0" fontId="5" numFmtId="0" xfId="0" applyAlignment="1" applyBorder="1" applyFont="1">
      <alignment vertical="center"/>
    </xf>
    <xf borderId="12" fillId="0" fontId="5" numFmtId="0" xfId="0" applyAlignment="1" applyBorder="1" applyFont="1">
      <alignment vertical="center"/>
    </xf>
    <xf borderId="0" fillId="0" fontId="5" numFmtId="164" xfId="0" applyAlignment="1" applyFont="1" applyNumberFormat="1">
      <alignment vertical="center"/>
    </xf>
    <xf borderId="4" fillId="5" fontId="6" numFmtId="0" xfId="0" applyAlignment="1" applyBorder="1" applyFont="1">
      <alignment readingOrder="0" vertical="center"/>
    </xf>
    <xf borderId="0" fillId="0" fontId="5" numFmtId="164" xfId="0" applyAlignment="1" applyFont="1" applyNumberFormat="1">
      <alignment readingOrder="0" vertical="center"/>
    </xf>
    <xf borderId="6" fillId="0" fontId="5" numFmtId="164" xfId="0" applyAlignment="1" applyBorder="1" applyFont="1" applyNumberFormat="1">
      <alignment vertical="center"/>
    </xf>
    <xf borderId="13" fillId="0" fontId="5" numFmtId="164" xfId="0" applyAlignment="1" applyBorder="1" applyFont="1" applyNumberFormat="1">
      <alignment vertical="center"/>
    </xf>
    <xf borderId="0" fillId="4" fontId="19" numFmtId="164" xfId="0" applyAlignment="1" applyFont="1" applyNumberFormat="1">
      <alignment vertical="center"/>
    </xf>
    <xf borderId="0" fillId="0" fontId="5" numFmtId="164" xfId="0" applyAlignment="1" applyFont="1" applyNumberFormat="1">
      <alignment vertical="center"/>
    </xf>
    <xf borderId="0" fillId="0" fontId="22" numFmtId="0" xfId="0" applyAlignment="1" applyFont="1">
      <alignment readingOrder="0" vertical="center"/>
    </xf>
    <xf borderId="0" fillId="0" fontId="22" numFmtId="0" xfId="0" applyAlignment="1" applyFont="1">
      <alignment vertical="center"/>
    </xf>
    <xf borderId="0" fillId="0" fontId="22" numFmtId="164" xfId="0" applyAlignment="1" applyFont="1" applyNumberFormat="1">
      <alignment readingOrder="0" vertical="center"/>
    </xf>
    <xf borderId="0" fillId="0" fontId="22" numFmtId="164" xfId="0" applyAlignment="1" applyFont="1" applyNumberFormat="1">
      <alignment vertical="center"/>
    </xf>
    <xf borderId="0" fillId="7" fontId="22" numFmtId="164" xfId="0" applyAlignment="1" applyFont="1" applyNumberFormat="1">
      <alignment vertical="center"/>
    </xf>
    <xf borderId="5" fillId="0" fontId="22" numFmtId="0" xfId="0" applyAlignment="1" applyBorder="1" applyFont="1">
      <alignment vertical="center"/>
    </xf>
    <xf borderId="0" fillId="4" fontId="22" numFmtId="0" xfId="0" applyAlignment="1" applyFont="1">
      <alignment vertical="center"/>
    </xf>
    <xf borderId="0" fillId="5" fontId="6" numFmtId="0" xfId="0" applyAlignment="1" applyFont="1">
      <alignment readingOrder="0" shrinkToFit="0" vertical="center" wrapText="1"/>
    </xf>
    <xf borderId="1" fillId="5" fontId="3" numFmtId="0" xfId="0" applyAlignment="1" applyBorder="1" applyFont="1">
      <alignment readingOrder="0" vertical="center"/>
    </xf>
    <xf borderId="3" fillId="0" fontId="5" numFmtId="0" xfId="0" applyAlignment="1" applyBorder="1" applyFont="1">
      <alignment vertical="center"/>
    </xf>
    <xf borderId="4" fillId="3" fontId="4" numFmtId="0" xfId="0" applyAlignment="1" applyBorder="1" applyFont="1">
      <alignment readingOrder="0" vertical="center"/>
    </xf>
    <xf borderId="4" fillId="3" fontId="3" numFmtId="0" xfId="0" applyAlignment="1" applyBorder="1" applyFont="1">
      <alignment readingOrder="0" vertical="center"/>
    </xf>
    <xf borderId="0" fillId="7" fontId="4" numFmtId="9" xfId="0" applyAlignment="1" applyFont="1" applyNumberFormat="1">
      <alignment horizontal="right" readingOrder="0" vertical="center"/>
    </xf>
    <xf borderId="0" fillId="7" fontId="4" numFmtId="10" xfId="0" applyAlignment="1" applyFont="1" applyNumberFormat="1">
      <alignment horizontal="right" readingOrder="0" vertical="center"/>
    </xf>
    <xf borderId="4" fillId="3" fontId="4" numFmtId="0" xfId="0" applyAlignment="1" applyBorder="1" applyFont="1">
      <alignment vertical="center"/>
    </xf>
    <xf borderId="4" fillId="0" fontId="5" numFmtId="164" xfId="0" applyAlignment="1" applyBorder="1" applyFont="1" applyNumberFormat="1">
      <alignment vertical="center"/>
    </xf>
    <xf borderId="0" fillId="3" fontId="4" numFmtId="164" xfId="0" applyAlignment="1" applyFont="1" applyNumberFormat="1">
      <alignment horizontal="right" readingOrder="0" vertical="center"/>
    </xf>
    <xf borderId="4" fillId="0" fontId="5" numFmtId="164" xfId="0" applyAlignment="1" applyBorder="1" applyFont="1" applyNumberFormat="1">
      <alignment readingOrder="0" vertical="center"/>
    </xf>
    <xf borderId="1" fillId="0" fontId="5" numFmtId="164" xfId="0" applyAlignment="1" applyBorder="1" applyFont="1" applyNumberFormat="1">
      <alignment vertical="center"/>
    </xf>
    <xf borderId="2" fillId="0" fontId="5" numFmtId="164" xfId="0" applyAlignment="1" applyBorder="1" applyFont="1" applyNumberFormat="1">
      <alignment vertical="center"/>
    </xf>
    <xf borderId="4" fillId="0" fontId="4" numFmtId="0" xfId="0" applyAlignment="1" applyBorder="1" applyFont="1">
      <alignment readingOrder="0" vertical="center"/>
    </xf>
    <xf borderId="4" fillId="0" fontId="23" numFmtId="164" xfId="0" applyAlignment="1" applyBorder="1" applyFont="1" applyNumberFormat="1">
      <alignment vertical="center"/>
    </xf>
    <xf borderId="4" fillId="0" fontId="4" numFmtId="0" xfId="0" applyAlignment="1" applyBorder="1" applyFont="1">
      <alignment vertical="center"/>
    </xf>
    <xf borderId="4" fillId="5" fontId="3" numFmtId="0" xfId="0" applyAlignment="1" applyBorder="1" applyFont="1">
      <alignment readingOrder="0" vertical="center"/>
    </xf>
    <xf borderId="4" fillId="0" fontId="3" numFmtId="0" xfId="0" applyAlignment="1" applyBorder="1" applyFont="1">
      <alignment readingOrder="0" vertical="center"/>
    </xf>
    <xf borderId="9" fillId="0" fontId="3" numFmtId="164" xfId="0" applyAlignment="1" applyBorder="1" applyFont="1" applyNumberFormat="1">
      <alignment vertical="center"/>
    </xf>
    <xf borderId="4" fillId="4" fontId="3" numFmtId="0" xfId="0" applyAlignment="1" applyBorder="1" applyFont="1">
      <alignment readingOrder="0" vertical="center"/>
    </xf>
    <xf borderId="4" fillId="4" fontId="4" numFmtId="0" xfId="0" applyAlignment="1" applyBorder="1" applyFont="1">
      <alignment vertical="center"/>
    </xf>
    <xf borderId="4" fillId="4" fontId="6" numFmtId="0" xfId="0" applyAlignment="1" applyBorder="1" applyFont="1">
      <alignment readingOrder="0" vertical="center"/>
    </xf>
    <xf borderId="0" fillId="7" fontId="6" numFmtId="10" xfId="0" applyAlignment="1" applyFont="1" applyNumberFormat="1">
      <alignment vertical="center"/>
    </xf>
    <xf borderId="14" fillId="0" fontId="18" numFmtId="0" xfId="0" applyBorder="1" applyFont="1"/>
    <xf borderId="10" fillId="4" fontId="5" numFmtId="0" xfId="0" applyAlignment="1" applyBorder="1" applyFont="1">
      <alignment vertical="center"/>
    </xf>
    <xf borderId="11" fillId="4" fontId="5" numFmtId="0" xfId="0" applyAlignment="1" applyBorder="1" applyFont="1">
      <alignment vertical="center"/>
    </xf>
    <xf borderId="12" fillId="0" fontId="5" numFmtId="0" xfId="0" applyAlignment="1" applyBorder="1" applyFont="1">
      <alignment horizontal="right" vertical="center"/>
    </xf>
    <xf borderId="1" fillId="5" fontId="6" numFmtId="0" xfId="0" applyAlignment="1" applyBorder="1" applyFont="1">
      <alignment readingOrder="0" vertical="center"/>
    </xf>
    <xf borderId="0" fillId="9" fontId="5" numFmtId="0" xfId="0" applyAlignment="1" applyFill="1" applyFont="1">
      <alignment readingOrder="0" vertical="center"/>
    </xf>
    <xf borderId="15" fillId="0" fontId="5" numFmtId="0" xfId="0" applyAlignment="1" applyBorder="1" applyFont="1">
      <alignment readingOrder="0" vertical="center"/>
    </xf>
    <xf borderId="7" fillId="0" fontId="5" numFmtId="0" xfId="0" applyAlignment="1" applyBorder="1" applyFont="1">
      <alignment vertical="center"/>
    </xf>
    <xf borderId="16" fillId="0" fontId="5" numFmtId="0" xfId="0" applyAlignment="1" applyBorder="1" applyFont="1">
      <alignment vertical="center"/>
    </xf>
    <xf borderId="17" fillId="0" fontId="5" numFmtId="0" xfId="0" applyAlignment="1" applyBorder="1" applyFont="1">
      <alignment readingOrder="0" vertical="center"/>
    </xf>
    <xf borderId="18" fillId="0" fontId="5" numFmtId="0" xfId="0" applyAlignment="1" applyBorder="1" applyFont="1">
      <alignment vertical="center"/>
    </xf>
    <xf borderId="17" fillId="0" fontId="5" numFmtId="0" xfId="0" applyAlignment="1" applyBorder="1" applyFont="1">
      <alignment vertical="center"/>
    </xf>
    <xf borderId="18" fillId="0" fontId="5" numFmtId="164" xfId="0" applyAlignment="1" applyBorder="1" applyFont="1" applyNumberFormat="1">
      <alignment readingOrder="0" vertical="center"/>
    </xf>
    <xf borderId="18" fillId="0" fontId="5" numFmtId="164" xfId="0" applyAlignment="1" applyBorder="1" applyFont="1" applyNumberFormat="1">
      <alignment vertical="center"/>
    </xf>
    <xf borderId="0" fillId="7" fontId="5" numFmtId="164" xfId="0" applyAlignment="1" applyFont="1" applyNumberFormat="1">
      <alignment readingOrder="0" vertical="center"/>
    </xf>
    <xf borderId="18" fillId="0" fontId="5" numFmtId="0" xfId="0" applyAlignment="1" applyBorder="1" applyFont="1">
      <alignment readingOrder="0" vertical="center"/>
    </xf>
    <xf borderId="18" fillId="7" fontId="5" numFmtId="164" xfId="0" applyAlignment="1" applyBorder="1" applyFont="1" applyNumberFormat="1">
      <alignment vertical="center"/>
    </xf>
    <xf borderId="19" fillId="0" fontId="5" numFmtId="0" xfId="0" applyAlignment="1" applyBorder="1" applyFont="1">
      <alignment readingOrder="0" vertical="center"/>
    </xf>
    <xf borderId="20" fillId="0" fontId="5" numFmtId="0" xfId="0" applyAlignment="1" applyBorder="1" applyFont="1">
      <alignment vertical="center"/>
    </xf>
    <xf borderId="21" fillId="0" fontId="5" numFmtId="164" xfId="0" applyAlignment="1" applyBorder="1" applyFont="1" applyNumberFormat="1">
      <alignment readingOrder="0" vertical="center"/>
    </xf>
    <xf borderId="0" fillId="0" fontId="18" numFmtId="0" xfId="0" applyAlignment="1" applyFont="1">
      <alignment readingOrder="0" vertical="center"/>
    </xf>
    <xf borderId="0" fillId="0" fontId="18" numFmtId="164" xfId="0" applyAlignment="1" applyFont="1" applyNumberFormat="1">
      <alignment readingOrder="0" vertical="center"/>
    </xf>
    <xf borderId="11" fillId="0" fontId="5" numFmtId="0" xfId="0" applyAlignment="1" applyBorder="1" applyFont="1">
      <alignment readingOrder="0" vertical="center"/>
    </xf>
    <xf borderId="11" fillId="0" fontId="5" numFmtId="164" xfId="0" applyAlignment="1" applyBorder="1" applyFont="1" applyNumberFormat="1">
      <alignment readingOrder="0" vertical="center"/>
    </xf>
    <xf borderId="0" fillId="4" fontId="24" numFmtId="0" xfId="0" applyAlignment="1" applyFont="1">
      <alignment horizontal="right" vertical="center"/>
    </xf>
    <xf borderId="0" fillId="4" fontId="5" numFmtId="0" xfId="0" applyAlignment="1" applyFon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40.5"/>
    <col customWidth="1" min="8" max="8" width="13.25"/>
    <col customWidth="1" min="13" max="13" width="15.63"/>
    <col customWidth="1" min="20" max="20" width="36.5"/>
    <col customWidth="1" min="21" max="21" width="2.63"/>
    <col customWidth="1" min="22" max="22" width="39.63"/>
    <col customWidth="1" min="23" max="23" width="59.63"/>
  </cols>
  <sheetData>
    <row r="1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4"/>
      <c r="U1" s="3"/>
      <c r="V1" s="1"/>
      <c r="W1" s="1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</row>
    <row r="2">
      <c r="A2" s="5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7"/>
      <c r="O2" s="7"/>
      <c r="P2" s="7"/>
      <c r="Q2" s="7"/>
      <c r="R2" s="8"/>
      <c r="S2" s="8"/>
      <c r="T2" s="9"/>
      <c r="U2" s="10"/>
      <c r="V2" s="11"/>
      <c r="W2" s="11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3"/>
      <c r="AJ2" s="7"/>
      <c r="AK2" s="7"/>
      <c r="AL2" s="7"/>
    </row>
    <row r="3">
      <c r="A3" s="5"/>
      <c r="B3" s="5" t="s">
        <v>0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7"/>
      <c r="O3" s="7"/>
      <c r="P3" s="7"/>
      <c r="Q3" s="7"/>
      <c r="R3" s="8"/>
      <c r="S3" s="8"/>
      <c r="T3" s="14" t="s">
        <v>1</v>
      </c>
      <c r="U3" s="15"/>
      <c r="V3" s="16"/>
      <c r="W3" s="16" t="s">
        <v>0</v>
      </c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8"/>
      <c r="AJ3" s="18"/>
      <c r="AK3" s="18"/>
      <c r="AL3" s="19"/>
    </row>
    <row r="4">
      <c r="A4" s="20"/>
      <c r="B4" s="20" t="s">
        <v>2</v>
      </c>
      <c r="D4" s="21"/>
      <c r="E4" s="22">
        <v>2024.0</v>
      </c>
      <c r="F4" s="22">
        <v>2025.0</v>
      </c>
      <c r="G4" s="22">
        <v>2026.0</v>
      </c>
      <c r="H4" s="22">
        <v>2027.0</v>
      </c>
      <c r="I4" s="22">
        <v>2028.0</v>
      </c>
      <c r="J4" s="22">
        <v>2029.0</v>
      </c>
      <c r="K4" s="22">
        <v>2030.0</v>
      </c>
      <c r="L4" s="22">
        <v>2031.0</v>
      </c>
      <c r="M4" s="21"/>
      <c r="N4" s="7"/>
      <c r="O4" s="7"/>
      <c r="P4" s="7"/>
      <c r="Q4" s="7"/>
      <c r="R4" s="8"/>
      <c r="S4" s="8"/>
      <c r="T4" s="23"/>
      <c r="U4" s="8"/>
      <c r="V4" s="20"/>
      <c r="W4" s="20" t="s">
        <v>2</v>
      </c>
      <c r="Y4" s="21"/>
      <c r="Z4" s="22">
        <v>2024.0</v>
      </c>
      <c r="AA4" s="22">
        <v>2025.0</v>
      </c>
      <c r="AB4" s="22">
        <v>2026.0</v>
      </c>
      <c r="AC4" s="22">
        <v>2027.0</v>
      </c>
      <c r="AD4" s="22">
        <v>2028.0</v>
      </c>
      <c r="AE4" s="22">
        <v>2029.0</v>
      </c>
      <c r="AF4" s="22">
        <v>2030.0</v>
      </c>
      <c r="AG4" s="22">
        <v>2031.0</v>
      </c>
      <c r="AH4" s="21"/>
      <c r="AI4" s="7"/>
      <c r="AJ4" s="7"/>
      <c r="AK4" s="7"/>
      <c r="AL4" s="24"/>
    </row>
    <row r="5">
      <c r="A5" s="25"/>
      <c r="B5" s="25" t="s">
        <v>3</v>
      </c>
      <c r="C5" s="21"/>
      <c r="D5" s="21"/>
      <c r="E5" s="26">
        <v>0.35</v>
      </c>
      <c r="F5" s="26">
        <v>0.3</v>
      </c>
      <c r="G5" s="26">
        <v>0.28</v>
      </c>
      <c r="H5" s="26">
        <v>0.25</v>
      </c>
      <c r="I5" s="26">
        <v>0.17</v>
      </c>
      <c r="J5" s="26">
        <v>0.15</v>
      </c>
      <c r="K5" s="26">
        <v>0.13</v>
      </c>
      <c r="L5" s="26">
        <v>0.1</v>
      </c>
      <c r="M5" s="21"/>
      <c r="N5" s="7"/>
      <c r="O5" s="7"/>
      <c r="P5" s="7"/>
      <c r="Q5" s="7"/>
      <c r="R5" s="8"/>
      <c r="S5" s="8"/>
      <c r="T5" s="27" t="s">
        <v>4</v>
      </c>
      <c r="U5" s="8"/>
      <c r="V5" s="25"/>
      <c r="W5" s="25" t="s">
        <v>3</v>
      </c>
      <c r="X5" s="21"/>
      <c r="Y5" s="21"/>
      <c r="Z5" s="26">
        <v>0.35</v>
      </c>
      <c r="AA5" s="26">
        <v>0.3</v>
      </c>
      <c r="AB5" s="26">
        <v>0.28</v>
      </c>
      <c r="AC5" s="26">
        <v>0.25</v>
      </c>
      <c r="AD5" s="26">
        <v>0.17</v>
      </c>
      <c r="AE5" s="26">
        <v>0.15</v>
      </c>
      <c r="AF5" s="26">
        <v>0.13</v>
      </c>
      <c r="AG5" s="26">
        <v>0.1</v>
      </c>
      <c r="AH5" s="21"/>
      <c r="AI5" s="7"/>
      <c r="AJ5" s="7"/>
      <c r="AK5" s="7"/>
      <c r="AL5" s="24"/>
    </row>
    <row r="6">
      <c r="A6" s="25"/>
      <c r="B6" s="25" t="s">
        <v>5</v>
      </c>
      <c r="C6" s="21"/>
      <c r="D6" s="21"/>
      <c r="E6" s="26">
        <v>0.2</v>
      </c>
      <c r="F6" s="26">
        <v>0.18</v>
      </c>
      <c r="G6" s="26">
        <v>0.15</v>
      </c>
      <c r="H6" s="26">
        <v>0.11</v>
      </c>
      <c r="I6" s="26">
        <v>0.08</v>
      </c>
      <c r="J6" s="26">
        <v>0.05</v>
      </c>
      <c r="K6" s="26">
        <v>0.03</v>
      </c>
      <c r="L6" s="26">
        <v>0.03</v>
      </c>
      <c r="M6" s="21"/>
      <c r="N6" s="7"/>
      <c r="O6" s="7"/>
      <c r="P6" s="7"/>
      <c r="Q6" s="7"/>
      <c r="R6" s="8"/>
      <c r="S6" s="8"/>
      <c r="T6" s="28"/>
      <c r="U6" s="8"/>
      <c r="V6" s="25"/>
      <c r="W6" s="25" t="s">
        <v>5</v>
      </c>
      <c r="X6" s="21"/>
      <c r="Y6" s="21"/>
      <c r="Z6" s="26">
        <v>0.2</v>
      </c>
      <c r="AA6" s="26">
        <v>0.18</v>
      </c>
      <c r="AB6" s="26">
        <v>0.15</v>
      </c>
      <c r="AC6" s="26">
        <v>0.11</v>
      </c>
      <c r="AD6" s="26">
        <v>0.08</v>
      </c>
      <c r="AE6" s="26">
        <v>0.05</v>
      </c>
      <c r="AF6" s="26">
        <v>0.03</v>
      </c>
      <c r="AG6" s="26">
        <v>0.03</v>
      </c>
      <c r="AH6" s="21"/>
      <c r="AI6" s="7"/>
      <c r="AJ6" s="7"/>
      <c r="AK6" s="7"/>
      <c r="AL6" s="24"/>
    </row>
    <row r="7">
      <c r="A7" s="5"/>
      <c r="B7" s="5" t="s">
        <v>6</v>
      </c>
      <c r="C7" s="21"/>
      <c r="D7" s="21"/>
      <c r="E7" s="26">
        <v>0.27</v>
      </c>
      <c r="F7" s="26">
        <v>0.25</v>
      </c>
      <c r="G7" s="26">
        <v>0.2</v>
      </c>
      <c r="H7" s="26">
        <v>0.15</v>
      </c>
      <c r="I7" s="26">
        <v>0.13</v>
      </c>
      <c r="J7" s="26">
        <v>0.1</v>
      </c>
      <c r="K7" s="26">
        <v>0.08</v>
      </c>
      <c r="L7" s="26">
        <v>0.05</v>
      </c>
      <c r="M7" s="21"/>
      <c r="N7" s="7"/>
      <c r="O7" s="7"/>
      <c r="P7" s="7"/>
      <c r="Q7" s="7"/>
      <c r="R7" s="8"/>
      <c r="S7" s="8"/>
      <c r="T7" s="28"/>
      <c r="U7" s="8"/>
      <c r="V7" s="5"/>
      <c r="W7" s="5" t="s">
        <v>6</v>
      </c>
      <c r="X7" s="21"/>
      <c r="Y7" s="21"/>
      <c r="Z7" s="26">
        <v>0.27</v>
      </c>
      <c r="AA7" s="26">
        <v>0.25</v>
      </c>
      <c r="AB7" s="26">
        <v>0.2</v>
      </c>
      <c r="AC7" s="26">
        <v>0.15</v>
      </c>
      <c r="AD7" s="26">
        <v>0.13</v>
      </c>
      <c r="AE7" s="26">
        <v>0.1</v>
      </c>
      <c r="AF7" s="26">
        <v>0.08</v>
      </c>
      <c r="AG7" s="26">
        <v>0.05</v>
      </c>
      <c r="AH7" s="21"/>
      <c r="AI7" s="7"/>
      <c r="AJ7" s="7"/>
      <c r="AK7" s="7"/>
      <c r="AL7" s="24"/>
    </row>
    <row r="8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7"/>
      <c r="O8" s="7"/>
      <c r="P8" s="7"/>
      <c r="Q8" s="7"/>
      <c r="R8" s="8"/>
      <c r="S8" s="8"/>
      <c r="T8" s="28"/>
      <c r="U8" s="8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7"/>
      <c r="AJ8" s="7"/>
      <c r="AK8" s="7"/>
      <c r="AL8" s="24"/>
    </row>
    <row r="9">
      <c r="A9" s="25"/>
      <c r="B9" s="25" t="s">
        <v>7</v>
      </c>
      <c r="C9" s="21"/>
      <c r="D9" s="21"/>
      <c r="E9" s="29">
        <v>0.75</v>
      </c>
      <c r="F9" s="29">
        <v>0.74</v>
      </c>
      <c r="G9" s="29">
        <v>0.74</v>
      </c>
      <c r="H9" s="29">
        <v>0.74</v>
      </c>
      <c r="I9" s="29">
        <v>0.74</v>
      </c>
      <c r="J9" s="29">
        <v>0.74</v>
      </c>
      <c r="K9" s="29">
        <v>0.74</v>
      </c>
      <c r="L9" s="29">
        <v>0.74</v>
      </c>
      <c r="M9" s="21"/>
      <c r="N9" s="7"/>
      <c r="O9" s="7"/>
      <c r="P9" s="7"/>
      <c r="Q9" s="7"/>
      <c r="R9" s="8"/>
      <c r="S9" s="8"/>
      <c r="T9" s="28"/>
      <c r="U9" s="8"/>
      <c r="V9" s="25"/>
      <c r="W9" s="25" t="s">
        <v>7</v>
      </c>
      <c r="X9" s="21"/>
      <c r="Y9" s="21"/>
      <c r="Z9" s="29">
        <v>0.75</v>
      </c>
      <c r="AA9" s="29">
        <v>0.74</v>
      </c>
      <c r="AB9" s="29">
        <v>0.74</v>
      </c>
      <c r="AC9" s="29">
        <v>0.74</v>
      </c>
      <c r="AD9" s="29">
        <v>0.74</v>
      </c>
      <c r="AE9" s="29">
        <v>0.74</v>
      </c>
      <c r="AF9" s="29">
        <v>0.74</v>
      </c>
      <c r="AG9" s="29">
        <v>0.74</v>
      </c>
      <c r="AH9" s="21"/>
      <c r="AI9" s="7"/>
      <c r="AJ9" s="7"/>
      <c r="AK9" s="7"/>
      <c r="AL9" s="24"/>
    </row>
    <row r="10">
      <c r="A10" s="25"/>
      <c r="B10" s="25" t="s">
        <v>8</v>
      </c>
      <c r="C10" s="21"/>
      <c r="D10" s="21"/>
      <c r="E10" s="29">
        <v>0.19</v>
      </c>
      <c r="F10" s="29">
        <v>0.21</v>
      </c>
      <c r="G10" s="29">
        <v>0.18</v>
      </c>
      <c r="H10" s="29">
        <v>0.16</v>
      </c>
      <c r="I10" s="29">
        <v>0.14</v>
      </c>
      <c r="J10" s="29">
        <v>0.12</v>
      </c>
      <c r="K10" s="29">
        <v>0.1</v>
      </c>
      <c r="L10" s="29">
        <v>0.08</v>
      </c>
      <c r="M10" s="21"/>
      <c r="N10" s="7"/>
      <c r="O10" s="7"/>
      <c r="P10" s="7"/>
      <c r="Q10" s="7"/>
      <c r="R10" s="8"/>
      <c r="S10" s="8"/>
      <c r="T10" s="28"/>
      <c r="U10" s="8"/>
      <c r="V10" s="25"/>
      <c r="W10" s="25" t="s">
        <v>8</v>
      </c>
      <c r="X10" s="21"/>
      <c r="Y10" s="21"/>
      <c r="Z10" s="29">
        <v>0.19</v>
      </c>
      <c r="AA10" s="29">
        <v>0.21</v>
      </c>
      <c r="AB10" s="29">
        <v>0.18</v>
      </c>
      <c r="AC10" s="29">
        <v>0.16</v>
      </c>
      <c r="AD10" s="29">
        <v>0.14</v>
      </c>
      <c r="AE10" s="29">
        <v>0.12</v>
      </c>
      <c r="AF10" s="29">
        <v>0.1</v>
      </c>
      <c r="AG10" s="29">
        <v>0.08</v>
      </c>
      <c r="AH10" s="21"/>
      <c r="AI10" s="7"/>
      <c r="AJ10" s="7"/>
      <c r="AK10" s="7"/>
      <c r="AL10" s="24"/>
    </row>
    <row r="11">
      <c r="A11" s="25"/>
      <c r="B11" s="25" t="s">
        <v>9</v>
      </c>
      <c r="C11" s="21"/>
      <c r="D11" s="21"/>
      <c r="E11" s="29">
        <v>0.08</v>
      </c>
      <c r="F11" s="29">
        <v>0.07</v>
      </c>
      <c r="G11" s="29">
        <v>0.05</v>
      </c>
      <c r="H11" s="29">
        <v>0.04</v>
      </c>
      <c r="I11" s="29">
        <v>0.03</v>
      </c>
      <c r="J11" s="29">
        <v>0.02</v>
      </c>
      <c r="K11" s="29">
        <v>0.02</v>
      </c>
      <c r="L11" s="29">
        <v>0.02</v>
      </c>
      <c r="M11" s="21"/>
      <c r="N11" s="7"/>
      <c r="O11" s="7"/>
      <c r="P11" s="7"/>
      <c r="Q11" s="7"/>
      <c r="R11" s="8"/>
      <c r="S11" s="8"/>
      <c r="T11" s="28"/>
      <c r="U11" s="8"/>
      <c r="V11" s="25"/>
      <c r="W11" s="25" t="s">
        <v>9</v>
      </c>
      <c r="X11" s="21"/>
      <c r="Y11" s="21"/>
      <c r="Z11" s="29">
        <v>0.08</v>
      </c>
      <c r="AA11" s="29">
        <v>0.07</v>
      </c>
      <c r="AB11" s="29">
        <v>0.05</v>
      </c>
      <c r="AC11" s="29">
        <v>0.04</v>
      </c>
      <c r="AD11" s="29">
        <v>0.03</v>
      </c>
      <c r="AE11" s="29">
        <v>0.02</v>
      </c>
      <c r="AF11" s="29">
        <v>0.02</v>
      </c>
      <c r="AG11" s="29">
        <v>0.02</v>
      </c>
      <c r="AH11" s="21"/>
      <c r="AI11" s="7"/>
      <c r="AJ11" s="7"/>
      <c r="AK11" s="7"/>
      <c r="AL11" s="24"/>
    </row>
    <row r="12">
      <c r="A12" s="25"/>
      <c r="B12" s="25" t="s">
        <v>10</v>
      </c>
      <c r="C12" s="21"/>
      <c r="D12" s="21"/>
      <c r="E12" s="29">
        <v>0.048</v>
      </c>
      <c r="F12" s="29">
        <v>0.045</v>
      </c>
      <c r="G12" s="29">
        <v>0.04</v>
      </c>
      <c r="H12" s="29">
        <v>0.038</v>
      </c>
      <c r="I12" s="29">
        <v>0.035</v>
      </c>
      <c r="J12" s="29">
        <v>0.03</v>
      </c>
      <c r="K12" s="29">
        <v>0.03</v>
      </c>
      <c r="L12" s="29">
        <v>0.03</v>
      </c>
      <c r="M12" s="21"/>
      <c r="N12" s="7"/>
      <c r="O12" s="7"/>
      <c r="P12" s="7"/>
      <c r="Q12" s="7"/>
      <c r="R12" s="8"/>
      <c r="S12" s="8"/>
      <c r="T12" s="28"/>
      <c r="U12" s="8"/>
      <c r="V12" s="25"/>
      <c r="W12" s="25" t="s">
        <v>10</v>
      </c>
      <c r="X12" s="21"/>
      <c r="Y12" s="21"/>
      <c r="Z12" s="29">
        <v>0.048</v>
      </c>
      <c r="AA12" s="29">
        <v>0.045</v>
      </c>
      <c r="AB12" s="29">
        <v>0.04</v>
      </c>
      <c r="AC12" s="29">
        <v>0.038</v>
      </c>
      <c r="AD12" s="29">
        <v>0.035</v>
      </c>
      <c r="AE12" s="29">
        <v>0.03</v>
      </c>
      <c r="AF12" s="29">
        <v>0.03</v>
      </c>
      <c r="AG12" s="29">
        <v>0.03</v>
      </c>
      <c r="AH12" s="21"/>
      <c r="AI12" s="7"/>
      <c r="AJ12" s="7"/>
      <c r="AK12" s="7"/>
      <c r="AL12" s="24"/>
    </row>
    <row r="13">
      <c r="A13" s="25"/>
      <c r="B13" s="25" t="s">
        <v>11</v>
      </c>
      <c r="C13" s="21"/>
      <c r="D13" s="21"/>
      <c r="E13" s="29">
        <v>0.85</v>
      </c>
      <c r="F13" s="29">
        <v>0.8</v>
      </c>
      <c r="G13" s="29">
        <v>0.75</v>
      </c>
      <c r="H13" s="29">
        <v>0.7</v>
      </c>
      <c r="I13" s="29">
        <v>0.7</v>
      </c>
      <c r="J13" s="29">
        <v>0.7</v>
      </c>
      <c r="K13" s="29">
        <v>0.7</v>
      </c>
      <c r="L13" s="29">
        <v>0.7</v>
      </c>
      <c r="M13" s="21"/>
      <c r="N13" s="7"/>
      <c r="O13" s="7"/>
      <c r="P13" s="7"/>
      <c r="Q13" s="7"/>
      <c r="R13" s="8"/>
      <c r="S13" s="8"/>
      <c r="T13" s="28"/>
      <c r="U13" s="8"/>
      <c r="V13" s="25"/>
      <c r="W13" s="25" t="s">
        <v>11</v>
      </c>
      <c r="X13" s="21"/>
      <c r="Y13" s="21"/>
      <c r="Z13" s="29">
        <v>0.85</v>
      </c>
      <c r="AA13" s="29">
        <v>0.8</v>
      </c>
      <c r="AB13" s="29">
        <v>0.75</v>
      </c>
      <c r="AC13" s="29">
        <v>0.7</v>
      </c>
      <c r="AD13" s="29">
        <v>0.7</v>
      </c>
      <c r="AE13" s="29">
        <v>0.7</v>
      </c>
      <c r="AF13" s="29">
        <v>0.7</v>
      </c>
      <c r="AG13" s="29">
        <v>0.7</v>
      </c>
      <c r="AH13" s="21"/>
      <c r="AI13" s="7"/>
      <c r="AJ13" s="7"/>
      <c r="AK13" s="7"/>
      <c r="AL13" s="24"/>
    </row>
    <row r="14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7"/>
      <c r="O14" s="7"/>
      <c r="P14" s="7"/>
      <c r="Q14" s="7"/>
      <c r="R14" s="8"/>
      <c r="S14" s="8"/>
      <c r="T14" s="28"/>
      <c r="U14" s="8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7"/>
      <c r="AJ14" s="7"/>
      <c r="AK14" s="7"/>
      <c r="AL14" s="24"/>
    </row>
    <row r="15">
      <c r="A15" s="25"/>
      <c r="B15" s="25" t="s">
        <v>12</v>
      </c>
      <c r="C15" s="21"/>
      <c r="D15" s="21"/>
      <c r="E15" s="29">
        <v>0.78</v>
      </c>
      <c r="F15" s="29">
        <v>0.79</v>
      </c>
      <c r="G15" s="29">
        <v>0.8</v>
      </c>
      <c r="H15" s="29">
        <v>0.82</v>
      </c>
      <c r="I15" s="29">
        <v>0.85</v>
      </c>
      <c r="J15" s="29">
        <v>0.85</v>
      </c>
      <c r="K15" s="29">
        <v>0.85</v>
      </c>
      <c r="L15" s="29">
        <v>0.85</v>
      </c>
      <c r="M15" s="21"/>
      <c r="N15" s="7"/>
      <c r="O15" s="7"/>
      <c r="P15" s="7"/>
      <c r="Q15" s="7"/>
      <c r="R15" s="8"/>
      <c r="S15" s="8"/>
      <c r="T15" s="28"/>
      <c r="U15" s="8"/>
      <c r="V15" s="25"/>
      <c r="W15" s="25" t="s">
        <v>12</v>
      </c>
      <c r="X15" s="21"/>
      <c r="Y15" s="21"/>
      <c r="Z15" s="29">
        <v>0.78</v>
      </c>
      <c r="AA15" s="29">
        <v>0.79</v>
      </c>
      <c r="AB15" s="29">
        <v>0.8</v>
      </c>
      <c r="AC15" s="29">
        <v>0.82</v>
      </c>
      <c r="AD15" s="29">
        <v>0.85</v>
      </c>
      <c r="AE15" s="29">
        <v>0.85</v>
      </c>
      <c r="AF15" s="29">
        <v>0.85</v>
      </c>
      <c r="AG15" s="29">
        <v>0.85</v>
      </c>
      <c r="AH15" s="21"/>
      <c r="AI15" s="7"/>
      <c r="AJ15" s="7"/>
      <c r="AK15" s="7"/>
      <c r="AL15" s="24"/>
    </row>
    <row r="16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7"/>
      <c r="O16" s="7"/>
      <c r="P16" s="7"/>
      <c r="Q16" s="7"/>
      <c r="R16" s="8"/>
      <c r="S16" s="8"/>
      <c r="T16" s="28"/>
      <c r="U16" s="8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7"/>
      <c r="AJ16" s="7"/>
      <c r="AK16" s="7"/>
      <c r="AL16" s="24"/>
    </row>
    <row r="17">
      <c r="A17" s="25"/>
      <c r="B17" s="25" t="s">
        <v>13</v>
      </c>
      <c r="C17" s="21"/>
      <c r="D17" s="30">
        <v>81462.0</v>
      </c>
      <c r="E17" s="21"/>
      <c r="F17" s="21"/>
      <c r="G17" s="21"/>
      <c r="H17" s="21"/>
      <c r="I17" s="21"/>
      <c r="J17" s="21"/>
      <c r="K17" s="21"/>
      <c r="L17" s="21"/>
      <c r="M17" s="21"/>
      <c r="N17" s="7"/>
      <c r="O17" s="7"/>
      <c r="P17" s="7"/>
      <c r="Q17" s="7"/>
      <c r="R17" s="8"/>
      <c r="S17" s="8"/>
      <c r="T17" s="28"/>
      <c r="U17" s="8"/>
      <c r="V17" s="25"/>
      <c r="W17" s="25" t="s">
        <v>13</v>
      </c>
      <c r="X17" s="21"/>
      <c r="Y17" s="30">
        <v>81462.0</v>
      </c>
      <c r="Z17" s="21"/>
      <c r="AA17" s="21"/>
      <c r="AB17" s="21"/>
      <c r="AC17" s="21"/>
      <c r="AD17" s="21"/>
      <c r="AE17" s="21"/>
      <c r="AF17" s="21"/>
      <c r="AG17" s="21"/>
      <c r="AH17" s="21"/>
      <c r="AI17" s="7"/>
      <c r="AJ17" s="7"/>
      <c r="AK17" s="7"/>
      <c r="AL17" s="24"/>
    </row>
    <row r="18">
      <c r="A18" s="25"/>
      <c r="B18" s="25" t="s">
        <v>14</v>
      </c>
      <c r="C18" s="21"/>
      <c r="D18" s="30">
        <v>3075.0</v>
      </c>
      <c r="E18" s="21"/>
      <c r="F18" s="21"/>
      <c r="G18" s="21"/>
      <c r="H18" s="21"/>
      <c r="I18" s="21"/>
      <c r="J18" s="21"/>
      <c r="K18" s="21"/>
      <c r="L18" s="21"/>
      <c r="M18" s="21"/>
      <c r="N18" s="7"/>
      <c r="O18" s="7"/>
      <c r="P18" s="7"/>
      <c r="Q18" s="7"/>
      <c r="R18" s="8"/>
      <c r="S18" s="8"/>
      <c r="T18" s="28"/>
      <c r="U18" s="8"/>
      <c r="V18" s="25"/>
      <c r="W18" s="25" t="s">
        <v>14</v>
      </c>
      <c r="X18" s="21"/>
      <c r="Y18" s="30">
        <v>3075.0</v>
      </c>
      <c r="Z18" s="21"/>
      <c r="AA18" s="21"/>
      <c r="AB18" s="21"/>
      <c r="AC18" s="21"/>
      <c r="AD18" s="21"/>
      <c r="AE18" s="21"/>
      <c r="AF18" s="21"/>
      <c r="AG18" s="21"/>
      <c r="AH18" s="21"/>
      <c r="AI18" s="7"/>
      <c r="AJ18" s="7"/>
      <c r="AK18" s="7"/>
      <c r="AL18" s="24"/>
    </row>
    <row r="19">
      <c r="A19" s="25"/>
      <c r="B19" s="25" t="s">
        <v>15</v>
      </c>
      <c r="C19" s="21"/>
      <c r="D19" s="30">
        <v>3946.0</v>
      </c>
      <c r="E19" s="21"/>
      <c r="F19" s="21"/>
      <c r="G19" s="21"/>
      <c r="H19" s="21"/>
      <c r="I19" s="21"/>
      <c r="J19" s="21"/>
      <c r="K19" s="21"/>
      <c r="L19" s="21"/>
      <c r="M19" s="21"/>
      <c r="N19" s="7"/>
      <c r="O19" s="7"/>
      <c r="P19" s="7"/>
      <c r="Q19" s="7"/>
      <c r="R19" s="8"/>
      <c r="S19" s="8"/>
      <c r="T19" s="28"/>
      <c r="U19" s="8"/>
      <c r="V19" s="25"/>
      <c r="W19" s="25" t="s">
        <v>15</v>
      </c>
      <c r="X19" s="21"/>
      <c r="Y19" s="30">
        <v>3946.0</v>
      </c>
      <c r="Z19" s="21"/>
      <c r="AA19" s="21"/>
      <c r="AB19" s="21"/>
      <c r="AC19" s="21"/>
      <c r="AD19" s="21"/>
      <c r="AE19" s="21"/>
      <c r="AF19" s="21"/>
      <c r="AG19" s="21"/>
      <c r="AH19" s="21"/>
      <c r="AI19" s="7"/>
      <c r="AJ19" s="7"/>
      <c r="AK19" s="7"/>
      <c r="AL19" s="24"/>
    </row>
    <row r="20">
      <c r="A20" s="25"/>
      <c r="B20" s="25" t="s">
        <v>16</v>
      </c>
      <c r="C20" s="21"/>
      <c r="D20" s="26">
        <v>0.12</v>
      </c>
      <c r="E20" s="21"/>
      <c r="F20" s="21"/>
      <c r="G20" s="21"/>
      <c r="H20" s="21"/>
      <c r="I20" s="21"/>
      <c r="J20" s="21"/>
      <c r="K20" s="21"/>
      <c r="L20" s="21"/>
      <c r="M20" s="21"/>
      <c r="N20" s="7"/>
      <c r="O20" s="7"/>
      <c r="P20" s="7"/>
      <c r="Q20" s="7"/>
      <c r="R20" s="8"/>
      <c r="S20" s="8"/>
      <c r="T20" s="28"/>
      <c r="U20" s="8"/>
      <c r="V20" s="25"/>
      <c r="W20" s="25" t="s">
        <v>16</v>
      </c>
      <c r="X20" s="21"/>
      <c r="Y20" s="26">
        <v>0.12</v>
      </c>
      <c r="Z20" s="21"/>
      <c r="AA20" s="21"/>
      <c r="AB20" s="21"/>
      <c r="AC20" s="21"/>
      <c r="AD20" s="21"/>
      <c r="AE20" s="21"/>
      <c r="AF20" s="21"/>
      <c r="AG20" s="21"/>
      <c r="AH20" s="21"/>
      <c r="AI20" s="7"/>
      <c r="AJ20" s="7"/>
      <c r="AK20" s="7"/>
      <c r="AL20" s="24"/>
    </row>
    <row r="21">
      <c r="A21" s="25"/>
      <c r="B21" s="25" t="s">
        <v>17</v>
      </c>
      <c r="C21" s="21"/>
      <c r="D21" s="26">
        <v>0.04</v>
      </c>
      <c r="E21" s="21"/>
      <c r="F21" s="21"/>
      <c r="G21" s="21"/>
      <c r="H21" s="21"/>
      <c r="I21" s="21"/>
      <c r="J21" s="21"/>
      <c r="K21" s="21"/>
      <c r="L21" s="21"/>
      <c r="M21" s="21"/>
      <c r="N21" s="7"/>
      <c r="O21" s="7"/>
      <c r="P21" s="7"/>
      <c r="Q21" s="7"/>
      <c r="R21" s="8"/>
      <c r="S21" s="8"/>
      <c r="T21" s="28"/>
      <c r="U21" s="8"/>
      <c r="V21" s="25"/>
      <c r="W21" s="25" t="s">
        <v>17</v>
      </c>
      <c r="X21" s="21"/>
      <c r="Y21" s="26">
        <v>0.04</v>
      </c>
      <c r="Z21" s="21"/>
      <c r="AA21" s="21"/>
      <c r="AB21" s="21"/>
      <c r="AC21" s="21"/>
      <c r="AD21" s="21"/>
      <c r="AE21" s="21"/>
      <c r="AF21" s="21"/>
      <c r="AG21" s="21"/>
      <c r="AH21" s="21"/>
      <c r="AI21" s="7"/>
      <c r="AJ21" s="7"/>
      <c r="AK21" s="7"/>
      <c r="AL21" s="24"/>
    </row>
    <row r="22">
      <c r="A22" s="31"/>
      <c r="B22" s="31" t="s">
        <v>18</v>
      </c>
      <c r="C22" s="7"/>
      <c r="D22" s="32">
        <v>0.21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8"/>
      <c r="S22" s="8"/>
      <c r="T22" s="28"/>
      <c r="U22" s="8"/>
      <c r="V22" s="31"/>
      <c r="W22" s="31" t="s">
        <v>18</v>
      </c>
      <c r="X22" s="7"/>
      <c r="Y22" s="32">
        <v>0.21</v>
      </c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24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8"/>
      <c r="S23" s="8"/>
      <c r="T23" s="28"/>
      <c r="U23" s="8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24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8"/>
      <c r="S24" s="8"/>
      <c r="T24" s="28"/>
      <c r="U24" s="8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24"/>
    </row>
    <row r="25">
      <c r="A25" s="31"/>
      <c r="B25" s="31" t="s">
        <v>19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8"/>
      <c r="Q25" s="8"/>
      <c r="R25" s="8"/>
      <c r="S25" s="8"/>
      <c r="T25" s="28"/>
      <c r="U25" s="8"/>
      <c r="V25" s="31"/>
      <c r="W25" s="31" t="s">
        <v>19</v>
      </c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8"/>
      <c r="AL25" s="33"/>
    </row>
    <row r="26">
      <c r="A26" s="7"/>
      <c r="B26" s="7"/>
      <c r="C26" s="7"/>
      <c r="D26" s="34"/>
      <c r="E26" s="35">
        <v>2023.0</v>
      </c>
      <c r="F26" s="35">
        <v>2024.0</v>
      </c>
      <c r="G26" s="35">
        <v>2025.0</v>
      </c>
      <c r="H26" s="35">
        <v>2026.0</v>
      </c>
      <c r="I26" s="35">
        <v>2027.0</v>
      </c>
      <c r="J26" s="35">
        <v>2028.0</v>
      </c>
      <c r="K26" s="35">
        <v>2029.0</v>
      </c>
      <c r="L26" s="35">
        <v>2030.0</v>
      </c>
      <c r="M26" s="35">
        <v>2031.0</v>
      </c>
      <c r="N26" s="7"/>
      <c r="O26" s="7"/>
      <c r="P26" s="8"/>
      <c r="Q26" s="36"/>
      <c r="R26" s="36"/>
      <c r="S26" s="36"/>
      <c r="T26" s="37"/>
      <c r="U26" s="36"/>
      <c r="V26" s="7"/>
      <c r="W26" s="7"/>
      <c r="X26" s="7"/>
      <c r="Y26" s="34"/>
      <c r="Z26" s="38">
        <v>2023.0</v>
      </c>
      <c r="AA26" s="38">
        <v>2024.0</v>
      </c>
      <c r="AB26" s="38">
        <v>2025.0</v>
      </c>
      <c r="AC26" s="38">
        <v>2026.0</v>
      </c>
      <c r="AD26" s="38">
        <v>2027.0</v>
      </c>
      <c r="AE26" s="38">
        <v>2028.0</v>
      </c>
      <c r="AF26" s="38">
        <v>2029.0</v>
      </c>
      <c r="AG26" s="38">
        <v>2030.0</v>
      </c>
      <c r="AH26" s="38">
        <v>2031.0</v>
      </c>
      <c r="AI26" s="7"/>
      <c r="AJ26" s="7"/>
      <c r="AK26" s="8"/>
      <c r="AL26" s="39"/>
    </row>
    <row r="27">
      <c r="A27" s="31"/>
      <c r="B27" s="40" t="s">
        <v>20</v>
      </c>
      <c r="C27" s="7"/>
      <c r="D27" s="7"/>
      <c r="E27" s="41">
        <f>D17</f>
        <v>81462</v>
      </c>
      <c r="F27" s="41">
        <f t="shared" ref="F27:M27" si="1">E27*(1+E7)</f>
        <v>103456.74</v>
      </c>
      <c r="G27" s="41">
        <f t="shared" si="1"/>
        <v>129320.925</v>
      </c>
      <c r="H27" s="41">
        <f t="shared" si="1"/>
        <v>155185.11</v>
      </c>
      <c r="I27" s="41">
        <f t="shared" si="1"/>
        <v>178462.8765</v>
      </c>
      <c r="J27" s="41">
        <f t="shared" si="1"/>
        <v>201663.0504</v>
      </c>
      <c r="K27" s="41">
        <f t="shared" si="1"/>
        <v>221829.3555</v>
      </c>
      <c r="L27" s="41">
        <f t="shared" si="1"/>
        <v>239575.7039</v>
      </c>
      <c r="M27" s="41">
        <f t="shared" si="1"/>
        <v>251554.4891</v>
      </c>
      <c r="N27" s="7"/>
      <c r="O27" s="7"/>
      <c r="P27" s="8"/>
      <c r="Q27" s="42"/>
      <c r="R27" s="42"/>
      <c r="S27" s="42"/>
      <c r="T27" s="43"/>
      <c r="U27" s="42"/>
      <c r="V27" s="31"/>
      <c r="W27" s="31" t="s">
        <v>20</v>
      </c>
      <c r="X27" s="7"/>
      <c r="Y27" s="7"/>
      <c r="Z27" s="44">
        <f>Y17</f>
        <v>81462</v>
      </c>
      <c r="AA27" s="44">
        <f>$E$27*1.27</f>
        <v>103456.74</v>
      </c>
      <c r="AB27" s="44">
        <f>AA27*1.25</f>
        <v>129320.925</v>
      </c>
      <c r="AC27" s="44">
        <f>AB27*1.2</f>
        <v>155185.11</v>
      </c>
      <c r="AD27" s="44">
        <f>AC27*1.15</f>
        <v>178462.8765</v>
      </c>
      <c r="AE27" s="44">
        <f>AD27*1.13</f>
        <v>201663.0504</v>
      </c>
      <c r="AF27" s="44">
        <f>AE27*1.1</f>
        <v>221829.3555</v>
      </c>
      <c r="AG27" s="44">
        <f>AF27*1.08</f>
        <v>239575.7039</v>
      </c>
      <c r="AH27" s="44">
        <f>AG27*1.05</f>
        <v>251554.4891</v>
      </c>
      <c r="AI27" s="7"/>
      <c r="AJ27" s="7"/>
      <c r="AK27" s="8"/>
      <c r="AL27" s="45"/>
    </row>
    <row r="28">
      <c r="A28" s="31"/>
      <c r="B28" s="31" t="s">
        <v>21</v>
      </c>
      <c r="C28" s="7"/>
      <c r="D28" s="7"/>
      <c r="E28" s="44">
        <f>E27*E9</f>
        <v>61096.5</v>
      </c>
      <c r="F28" s="44">
        <f t="shared" ref="F28:M28" si="2">E9*F27</f>
        <v>77592.555</v>
      </c>
      <c r="G28" s="44">
        <f t="shared" si="2"/>
        <v>95697.4845</v>
      </c>
      <c r="H28" s="44">
        <f t="shared" si="2"/>
        <v>114836.9814</v>
      </c>
      <c r="I28" s="44">
        <f t="shared" si="2"/>
        <v>132062.5286</v>
      </c>
      <c r="J28" s="44">
        <f t="shared" si="2"/>
        <v>149230.6573</v>
      </c>
      <c r="K28" s="44">
        <f t="shared" si="2"/>
        <v>164153.7231</v>
      </c>
      <c r="L28" s="44">
        <f t="shared" si="2"/>
        <v>177286.0209</v>
      </c>
      <c r="M28" s="44">
        <f t="shared" si="2"/>
        <v>186150.322</v>
      </c>
      <c r="N28" s="7"/>
      <c r="O28" s="7"/>
      <c r="P28" s="8"/>
      <c r="Q28" s="42"/>
      <c r="R28" s="42"/>
      <c r="S28" s="42"/>
      <c r="T28" s="43"/>
      <c r="U28" s="42"/>
      <c r="V28" s="31"/>
      <c r="W28" s="31" t="s">
        <v>21</v>
      </c>
      <c r="X28" s="7"/>
      <c r="Y28" s="7"/>
      <c r="Z28" s="46">
        <v>0.0</v>
      </c>
      <c r="AA28" s="44">
        <f t="shared" ref="AA28:AH28" si="3">AA27*Z15</f>
        <v>80696.2572</v>
      </c>
      <c r="AB28" s="44">
        <f t="shared" si="3"/>
        <v>102163.5308</v>
      </c>
      <c r="AC28" s="44">
        <f t="shared" si="3"/>
        <v>124148.088</v>
      </c>
      <c r="AD28" s="44">
        <f t="shared" si="3"/>
        <v>146339.5587</v>
      </c>
      <c r="AE28" s="44">
        <f t="shared" si="3"/>
        <v>171413.5929</v>
      </c>
      <c r="AF28" s="44">
        <f t="shared" si="3"/>
        <v>188554.9522</v>
      </c>
      <c r="AG28" s="44">
        <f t="shared" si="3"/>
        <v>203639.3483</v>
      </c>
      <c r="AH28" s="44">
        <f t="shared" si="3"/>
        <v>213821.3158</v>
      </c>
      <c r="AI28" s="7"/>
      <c r="AJ28" s="7"/>
      <c r="AK28" s="8"/>
      <c r="AL28" s="45"/>
    </row>
    <row r="29">
      <c r="A29" s="31"/>
      <c r="B29" s="31" t="s">
        <v>22</v>
      </c>
      <c r="C29" s="7"/>
      <c r="D29" s="7"/>
      <c r="E29" s="44">
        <f t="shared" ref="E29:E30" si="4">D18</f>
        <v>3075</v>
      </c>
      <c r="F29" s="44">
        <f>E29*1.19</f>
        <v>3659.25</v>
      </c>
      <c r="G29" s="44">
        <f>F29*1.21</f>
        <v>4427.6925</v>
      </c>
      <c r="H29" s="44">
        <f>G29*1.18</f>
        <v>5224.67715</v>
      </c>
      <c r="I29" s="44">
        <f>H29*1.16</f>
        <v>6060.625494</v>
      </c>
      <c r="J29" s="44">
        <f>I29*1.14</f>
        <v>6909.113063</v>
      </c>
      <c r="K29" s="44">
        <f>J29*1.12</f>
        <v>7738.206631</v>
      </c>
      <c r="L29" s="44">
        <f>K29*1.1</f>
        <v>8512.027294</v>
      </c>
      <c r="M29" s="44">
        <f>L29*1.08</f>
        <v>9192.989477</v>
      </c>
      <c r="N29" s="7"/>
      <c r="O29" s="7"/>
      <c r="P29" s="8"/>
      <c r="Q29" s="42"/>
      <c r="R29" s="42"/>
      <c r="S29" s="42"/>
      <c r="T29" s="43"/>
      <c r="U29" s="42"/>
      <c r="V29" s="31"/>
      <c r="W29" s="31" t="s">
        <v>22</v>
      </c>
      <c r="X29" s="7"/>
      <c r="Y29" s="7"/>
      <c r="Z29" s="44">
        <f t="shared" ref="Z29:Z30" si="6">Y18</f>
        <v>3075</v>
      </c>
      <c r="AA29" s="44">
        <f>Z29*1.19</f>
        <v>3659.25</v>
      </c>
      <c r="AB29" s="44">
        <f>AA29*1.21</f>
        <v>4427.6925</v>
      </c>
      <c r="AC29" s="44">
        <f>AB29*1.18</f>
        <v>5224.67715</v>
      </c>
      <c r="AD29" s="44">
        <f>AC29*1.16</f>
        <v>6060.625494</v>
      </c>
      <c r="AE29" s="44">
        <f>AD29*1.14</f>
        <v>6909.113063</v>
      </c>
      <c r="AF29" s="44">
        <f>AE29*1.12</f>
        <v>7738.206631</v>
      </c>
      <c r="AG29" s="44">
        <f>AF29*1.1</f>
        <v>8512.027294</v>
      </c>
      <c r="AH29" s="44">
        <f>AG29*1.08</f>
        <v>9192.989477</v>
      </c>
      <c r="AI29" s="7"/>
      <c r="AJ29" s="7"/>
      <c r="AK29" s="8"/>
      <c r="AL29" s="45"/>
    </row>
    <row r="30">
      <c r="A30" s="31"/>
      <c r="B30" s="31" t="s">
        <v>23</v>
      </c>
      <c r="C30" s="7"/>
      <c r="D30" s="7"/>
      <c r="E30" s="44">
        <f t="shared" si="4"/>
        <v>3946</v>
      </c>
      <c r="F30" s="44">
        <f t="shared" ref="F30:M30" si="5">E30*(1+E11)</f>
        <v>4261.68</v>
      </c>
      <c r="G30" s="44">
        <f t="shared" si="5"/>
        <v>4559.9976</v>
      </c>
      <c r="H30" s="44">
        <f t="shared" si="5"/>
        <v>4787.99748</v>
      </c>
      <c r="I30" s="44">
        <f t="shared" si="5"/>
        <v>4979.517379</v>
      </c>
      <c r="J30" s="44">
        <f t="shared" si="5"/>
        <v>5128.902901</v>
      </c>
      <c r="K30" s="44">
        <f t="shared" si="5"/>
        <v>5231.480959</v>
      </c>
      <c r="L30" s="44">
        <f t="shared" si="5"/>
        <v>5336.110578</v>
      </c>
      <c r="M30" s="44">
        <f t="shared" si="5"/>
        <v>5442.832789</v>
      </c>
      <c r="N30" s="7"/>
      <c r="O30" s="7"/>
      <c r="P30" s="8"/>
      <c r="Q30" s="42"/>
      <c r="R30" s="42"/>
      <c r="S30" s="42"/>
      <c r="T30" s="43"/>
      <c r="U30" s="42"/>
      <c r="V30" s="31"/>
      <c r="W30" s="31" t="s">
        <v>23</v>
      </c>
      <c r="X30" s="7"/>
      <c r="Y30" s="7"/>
      <c r="Z30" s="44">
        <f t="shared" si="6"/>
        <v>3946</v>
      </c>
      <c r="AA30" s="44">
        <f t="shared" ref="AA30:AH30" si="7">Z30*(1+Z11)</f>
        <v>4261.68</v>
      </c>
      <c r="AB30" s="44">
        <f t="shared" si="7"/>
        <v>4559.9976</v>
      </c>
      <c r="AC30" s="44">
        <f t="shared" si="7"/>
        <v>4787.99748</v>
      </c>
      <c r="AD30" s="44">
        <f t="shared" si="7"/>
        <v>4979.517379</v>
      </c>
      <c r="AE30" s="44">
        <f t="shared" si="7"/>
        <v>5128.902901</v>
      </c>
      <c r="AF30" s="44">
        <f t="shared" si="7"/>
        <v>5231.480959</v>
      </c>
      <c r="AG30" s="44">
        <f t="shared" si="7"/>
        <v>5336.110578</v>
      </c>
      <c r="AH30" s="44">
        <f t="shared" si="7"/>
        <v>5442.832789</v>
      </c>
      <c r="AI30" s="7"/>
      <c r="AJ30" s="7"/>
      <c r="AK30" s="8"/>
      <c r="AL30" s="45"/>
    </row>
    <row r="31">
      <c r="A31" s="31"/>
      <c r="B31" s="40" t="s">
        <v>24</v>
      </c>
      <c r="C31" s="7"/>
      <c r="D31" s="7"/>
      <c r="E31" s="47">
        <f t="shared" ref="E31:M31" si="8">E27-E28-E29-E30</f>
        <v>13344.5</v>
      </c>
      <c r="F31" s="47">
        <f t="shared" si="8"/>
        <v>17943.255</v>
      </c>
      <c r="G31" s="47">
        <f t="shared" si="8"/>
        <v>24635.7504</v>
      </c>
      <c r="H31" s="47">
        <f t="shared" si="8"/>
        <v>30335.45397</v>
      </c>
      <c r="I31" s="47">
        <f t="shared" si="8"/>
        <v>35360.20502</v>
      </c>
      <c r="J31" s="47">
        <f t="shared" si="8"/>
        <v>40394.37715</v>
      </c>
      <c r="K31" s="47">
        <f t="shared" si="8"/>
        <v>44705.94484</v>
      </c>
      <c r="L31" s="47">
        <f t="shared" si="8"/>
        <v>48441.54515</v>
      </c>
      <c r="M31" s="47">
        <f t="shared" si="8"/>
        <v>50768.34491</v>
      </c>
      <c r="N31" s="7"/>
      <c r="O31" s="7"/>
      <c r="P31" s="8"/>
      <c r="Q31" s="42"/>
      <c r="R31" s="42"/>
      <c r="S31" s="42"/>
      <c r="T31" s="43"/>
      <c r="U31" s="42"/>
      <c r="V31" s="31"/>
      <c r="W31" s="31" t="s">
        <v>24</v>
      </c>
      <c r="X31" s="31"/>
      <c r="Y31" s="31"/>
      <c r="Z31" s="48">
        <f t="shared" ref="Z31:AH31" si="9">Z27-Z28-Z29-Z30</f>
        <v>74441</v>
      </c>
      <c r="AA31" s="48">
        <f t="shared" si="9"/>
        <v>14839.5528</v>
      </c>
      <c r="AB31" s="48">
        <f t="shared" si="9"/>
        <v>18169.70415</v>
      </c>
      <c r="AC31" s="48">
        <f t="shared" si="9"/>
        <v>21024.34737</v>
      </c>
      <c r="AD31" s="48">
        <f t="shared" si="9"/>
        <v>21083.1749</v>
      </c>
      <c r="AE31" s="48">
        <f t="shared" si="9"/>
        <v>18211.4416</v>
      </c>
      <c r="AF31" s="48">
        <f t="shared" si="9"/>
        <v>20304.71573</v>
      </c>
      <c r="AG31" s="48">
        <f t="shared" si="9"/>
        <v>22088.21772</v>
      </c>
      <c r="AH31" s="48">
        <f t="shared" si="9"/>
        <v>23097.3511</v>
      </c>
      <c r="AI31" s="7"/>
      <c r="AJ31" s="7"/>
      <c r="AK31" s="8"/>
      <c r="AL31" s="45"/>
    </row>
    <row r="32">
      <c r="A32" s="31"/>
      <c r="B32" s="31" t="s">
        <v>25</v>
      </c>
      <c r="C32" s="7"/>
      <c r="D32" s="7"/>
      <c r="E32" s="46">
        <v>0.0</v>
      </c>
      <c r="F32" s="44">
        <f t="shared" ref="F32:M32" si="10">F27*E12</f>
        <v>4965.92352</v>
      </c>
      <c r="G32" s="44">
        <f t="shared" si="10"/>
        <v>5819.441625</v>
      </c>
      <c r="H32" s="44">
        <f t="shared" si="10"/>
        <v>6207.4044</v>
      </c>
      <c r="I32" s="44">
        <f t="shared" si="10"/>
        <v>6781.589307</v>
      </c>
      <c r="J32" s="44">
        <f t="shared" si="10"/>
        <v>7058.206766</v>
      </c>
      <c r="K32" s="44">
        <f t="shared" si="10"/>
        <v>6654.880665</v>
      </c>
      <c r="L32" s="44">
        <f t="shared" si="10"/>
        <v>7187.271118</v>
      </c>
      <c r="M32" s="44">
        <f t="shared" si="10"/>
        <v>7546.634674</v>
      </c>
      <c r="N32" s="7"/>
      <c r="O32" s="7"/>
      <c r="P32" s="8"/>
      <c r="Q32" s="8"/>
      <c r="R32" s="42"/>
      <c r="S32" s="42"/>
      <c r="T32" s="43"/>
      <c r="U32" s="42"/>
      <c r="V32" s="31"/>
      <c r="W32" s="31" t="s">
        <v>25</v>
      </c>
      <c r="X32" s="7"/>
      <c r="Y32" s="7"/>
      <c r="Z32" s="46">
        <v>0.0</v>
      </c>
      <c r="AA32" s="44">
        <f t="shared" ref="AA32:AH32" si="11">AA27*Z12</f>
        <v>4965.92352</v>
      </c>
      <c r="AB32" s="44">
        <f t="shared" si="11"/>
        <v>5819.441625</v>
      </c>
      <c r="AC32" s="44">
        <f t="shared" si="11"/>
        <v>6207.4044</v>
      </c>
      <c r="AD32" s="44">
        <f t="shared" si="11"/>
        <v>6781.589307</v>
      </c>
      <c r="AE32" s="44">
        <f t="shared" si="11"/>
        <v>7058.206766</v>
      </c>
      <c r="AF32" s="44">
        <f t="shared" si="11"/>
        <v>6654.880665</v>
      </c>
      <c r="AG32" s="44">
        <f t="shared" si="11"/>
        <v>7187.271118</v>
      </c>
      <c r="AH32" s="44">
        <f t="shared" si="11"/>
        <v>7546.634674</v>
      </c>
      <c r="AI32" s="7"/>
      <c r="AJ32" s="7"/>
      <c r="AK32" s="8"/>
      <c r="AL32" s="33"/>
    </row>
    <row r="33">
      <c r="A33" s="31"/>
      <c r="B33" s="40" t="s">
        <v>26</v>
      </c>
      <c r="C33" s="7"/>
      <c r="D33" s="7"/>
      <c r="E33" s="49">
        <f t="shared" ref="E33:M33" si="12">E27-E29-E30-E32-E28</f>
        <v>13344.5</v>
      </c>
      <c r="F33" s="49">
        <f t="shared" si="12"/>
        <v>12977.33148</v>
      </c>
      <c r="G33" s="49">
        <f t="shared" si="12"/>
        <v>18816.30878</v>
      </c>
      <c r="H33" s="49">
        <f t="shared" si="12"/>
        <v>24128.04957</v>
      </c>
      <c r="I33" s="49">
        <f t="shared" si="12"/>
        <v>28578.61571</v>
      </c>
      <c r="J33" s="49">
        <f t="shared" si="12"/>
        <v>33336.17039</v>
      </c>
      <c r="K33" s="49">
        <f t="shared" si="12"/>
        <v>38051.06417</v>
      </c>
      <c r="L33" s="49">
        <f t="shared" si="12"/>
        <v>41254.27403</v>
      </c>
      <c r="M33" s="49">
        <f t="shared" si="12"/>
        <v>43221.71023</v>
      </c>
      <c r="N33" s="7"/>
      <c r="O33" s="7"/>
      <c r="P33" s="8"/>
      <c r="Q33" s="42"/>
      <c r="R33" s="42"/>
      <c r="S33" s="42"/>
      <c r="T33" s="50"/>
      <c r="U33" s="8"/>
      <c r="V33" s="31"/>
      <c r="W33" s="31" t="s">
        <v>27</v>
      </c>
      <c r="X33" s="7"/>
      <c r="Y33" s="7"/>
      <c r="Z33" s="46">
        <v>0.0</v>
      </c>
      <c r="AA33" s="44">
        <f t="shared" ref="AA33:AH33" si="13">AA32*Z13</f>
        <v>4221.034992</v>
      </c>
      <c r="AB33" s="44">
        <f t="shared" si="13"/>
        <v>4655.5533</v>
      </c>
      <c r="AC33" s="44">
        <f t="shared" si="13"/>
        <v>4655.5533</v>
      </c>
      <c r="AD33" s="44">
        <f t="shared" si="13"/>
        <v>4747.112515</v>
      </c>
      <c r="AE33" s="44">
        <f t="shared" si="13"/>
        <v>4940.744736</v>
      </c>
      <c r="AF33" s="44">
        <f t="shared" si="13"/>
        <v>4658.416465</v>
      </c>
      <c r="AG33" s="44">
        <f t="shared" si="13"/>
        <v>5031.089783</v>
      </c>
      <c r="AH33" s="44">
        <f t="shared" si="13"/>
        <v>5282.644272</v>
      </c>
      <c r="AI33" s="7"/>
      <c r="AJ33" s="7"/>
      <c r="AK33" s="8"/>
      <c r="AL33" s="45"/>
    </row>
    <row r="34">
      <c r="A34" s="40"/>
      <c r="B34" s="31" t="s">
        <v>28</v>
      </c>
      <c r="C34" s="7"/>
      <c r="D34" s="7"/>
      <c r="E34" s="44">
        <f t="shared" ref="E34:M34" si="14">E33*$D$22</f>
        <v>2802.345</v>
      </c>
      <c r="F34" s="44">
        <f t="shared" si="14"/>
        <v>2725.239611</v>
      </c>
      <c r="G34" s="44">
        <f t="shared" si="14"/>
        <v>3951.424843</v>
      </c>
      <c r="H34" s="44">
        <f t="shared" si="14"/>
        <v>5066.89041</v>
      </c>
      <c r="I34" s="44">
        <f t="shared" si="14"/>
        <v>6001.509299</v>
      </c>
      <c r="J34" s="44">
        <f t="shared" si="14"/>
        <v>7000.595781</v>
      </c>
      <c r="K34" s="44">
        <f t="shared" si="14"/>
        <v>7990.723476</v>
      </c>
      <c r="L34" s="44">
        <f t="shared" si="14"/>
        <v>8663.397547</v>
      </c>
      <c r="M34" s="44">
        <f t="shared" si="14"/>
        <v>9076.559149</v>
      </c>
      <c r="N34" s="7"/>
      <c r="O34" s="7"/>
      <c r="P34" s="7"/>
      <c r="Q34" s="7"/>
      <c r="R34" s="8"/>
      <c r="S34" s="8"/>
      <c r="T34" s="28"/>
      <c r="U34" s="8"/>
      <c r="V34" s="40"/>
      <c r="W34" s="40" t="s">
        <v>26</v>
      </c>
      <c r="X34" s="7"/>
      <c r="Y34" s="7"/>
      <c r="Z34" s="49">
        <f t="shared" ref="Z34:AH34" si="15">Z27-Z29-Z30-Z32-Z28</f>
        <v>74441</v>
      </c>
      <c r="AA34" s="49">
        <f t="shared" si="15"/>
        <v>9873.62928</v>
      </c>
      <c r="AB34" s="49">
        <f t="shared" si="15"/>
        <v>12350.26253</v>
      </c>
      <c r="AC34" s="49">
        <f t="shared" si="15"/>
        <v>14816.94297</v>
      </c>
      <c r="AD34" s="49">
        <f t="shared" si="15"/>
        <v>14301.58559</v>
      </c>
      <c r="AE34" s="49">
        <f t="shared" si="15"/>
        <v>11153.23484</v>
      </c>
      <c r="AF34" s="49">
        <f t="shared" si="15"/>
        <v>13649.83507</v>
      </c>
      <c r="AG34" s="49">
        <f t="shared" si="15"/>
        <v>14900.9466</v>
      </c>
      <c r="AH34" s="49">
        <f t="shared" si="15"/>
        <v>15550.71643</v>
      </c>
      <c r="AI34" s="7"/>
      <c r="AJ34" s="7"/>
      <c r="AK34" s="7"/>
      <c r="AL34" s="24"/>
    </row>
    <row r="35">
      <c r="A35" s="31"/>
      <c r="B35" s="40" t="s">
        <v>29</v>
      </c>
      <c r="C35" s="7"/>
      <c r="D35" s="7"/>
      <c r="E35" s="51">
        <f>E33+-E34</f>
        <v>10542.155</v>
      </c>
      <c r="F35" s="51">
        <f t="shared" ref="F35:M35" si="16">F33-F34</f>
        <v>10252.09187</v>
      </c>
      <c r="G35" s="51">
        <f t="shared" si="16"/>
        <v>14864.88393</v>
      </c>
      <c r="H35" s="51">
        <f t="shared" si="16"/>
        <v>19061.15916</v>
      </c>
      <c r="I35" s="51">
        <f t="shared" si="16"/>
        <v>22577.10641</v>
      </c>
      <c r="J35" s="51">
        <f t="shared" si="16"/>
        <v>26335.57461</v>
      </c>
      <c r="K35" s="51">
        <f t="shared" si="16"/>
        <v>30060.3407</v>
      </c>
      <c r="L35" s="51">
        <f t="shared" si="16"/>
        <v>32590.87649</v>
      </c>
      <c r="M35" s="51">
        <f t="shared" si="16"/>
        <v>34145.15108</v>
      </c>
      <c r="N35" s="7"/>
      <c r="O35" s="7"/>
      <c r="P35" s="7"/>
      <c r="Q35" s="7"/>
      <c r="R35" s="8"/>
      <c r="S35" s="8"/>
      <c r="T35" s="28"/>
      <c r="U35" s="8"/>
      <c r="V35" s="52"/>
      <c r="W35" s="52" t="s">
        <v>28</v>
      </c>
      <c r="X35" s="7"/>
      <c r="Y35" s="7"/>
      <c r="Z35" s="44">
        <f t="shared" ref="Z35:AH35" si="17">Z34*$D$22</f>
        <v>15632.61</v>
      </c>
      <c r="AA35" s="44">
        <f t="shared" si="17"/>
        <v>2073.462149</v>
      </c>
      <c r="AB35" s="44">
        <f t="shared" si="17"/>
        <v>2593.55513</v>
      </c>
      <c r="AC35" s="44">
        <f t="shared" si="17"/>
        <v>3111.558024</v>
      </c>
      <c r="AD35" s="44">
        <f t="shared" si="17"/>
        <v>3003.332974</v>
      </c>
      <c r="AE35" s="44">
        <f t="shared" si="17"/>
        <v>2342.179316</v>
      </c>
      <c r="AF35" s="44">
        <f t="shared" si="17"/>
        <v>2866.465365</v>
      </c>
      <c r="AG35" s="44">
        <f t="shared" si="17"/>
        <v>3129.198786</v>
      </c>
      <c r="AH35" s="44">
        <f t="shared" si="17"/>
        <v>3265.65045</v>
      </c>
      <c r="AI35" s="7"/>
      <c r="AJ35" s="7"/>
      <c r="AK35" s="7"/>
      <c r="AL35" s="24"/>
    </row>
    <row r="36">
      <c r="A36" s="40"/>
      <c r="B36" s="31" t="s">
        <v>25</v>
      </c>
      <c r="C36" s="7"/>
      <c r="D36" s="7"/>
      <c r="E36" s="46">
        <v>0.0</v>
      </c>
      <c r="F36" s="44">
        <v>4965.92352</v>
      </c>
      <c r="G36" s="44">
        <v>5819.4416249999995</v>
      </c>
      <c r="H36" s="44">
        <v>6207.404399999999</v>
      </c>
      <c r="I36" s="44">
        <v>6781.589306999999</v>
      </c>
      <c r="J36" s="44">
        <v>7058.206765575</v>
      </c>
      <c r="K36" s="44">
        <v>6654.880664684999</v>
      </c>
      <c r="L36" s="44">
        <v>7187.271117859799</v>
      </c>
      <c r="M36" s="44">
        <v>7546.63467375279</v>
      </c>
      <c r="N36" s="7"/>
      <c r="O36" s="7"/>
      <c r="P36" s="7"/>
      <c r="Q36" s="7"/>
      <c r="R36" s="8"/>
      <c r="S36" s="8"/>
      <c r="T36" s="28"/>
      <c r="U36" s="8"/>
      <c r="V36" s="40"/>
      <c r="W36" s="53" t="s">
        <v>30</v>
      </c>
      <c r="X36" s="7"/>
      <c r="Y36" s="7"/>
      <c r="Z36" s="49">
        <f t="shared" ref="Z36:AH36" si="18">Z34+Z32-Z35</f>
        <v>58808.39</v>
      </c>
      <c r="AA36" s="49">
        <f t="shared" si="18"/>
        <v>12766.09065</v>
      </c>
      <c r="AB36" s="49">
        <f t="shared" si="18"/>
        <v>15576.14902</v>
      </c>
      <c r="AC36" s="49">
        <f t="shared" si="18"/>
        <v>17912.78935</v>
      </c>
      <c r="AD36" s="49">
        <f t="shared" si="18"/>
        <v>18079.84192</v>
      </c>
      <c r="AE36" s="49">
        <f t="shared" si="18"/>
        <v>15869.26229</v>
      </c>
      <c r="AF36" s="49">
        <f t="shared" si="18"/>
        <v>17438.25037</v>
      </c>
      <c r="AG36" s="49">
        <f t="shared" si="18"/>
        <v>18959.01893</v>
      </c>
      <c r="AH36" s="49">
        <f t="shared" si="18"/>
        <v>19831.70065</v>
      </c>
      <c r="AI36" s="7"/>
      <c r="AJ36" s="7"/>
      <c r="AK36" s="7"/>
      <c r="AL36" s="24"/>
    </row>
    <row r="37">
      <c r="A37" s="31"/>
      <c r="B37" s="31" t="s">
        <v>31</v>
      </c>
      <c r="C37" s="7"/>
      <c r="D37" s="7"/>
      <c r="E37" s="46"/>
      <c r="F37" s="44">
        <f t="shared" ref="F37:M37" si="19">F32*E13</f>
        <v>4221.034992</v>
      </c>
      <c r="G37" s="44">
        <f t="shared" si="19"/>
        <v>4655.5533</v>
      </c>
      <c r="H37" s="44">
        <f t="shared" si="19"/>
        <v>4655.5533</v>
      </c>
      <c r="I37" s="44">
        <f t="shared" si="19"/>
        <v>4747.112515</v>
      </c>
      <c r="J37" s="44">
        <f t="shared" si="19"/>
        <v>4940.744736</v>
      </c>
      <c r="K37" s="44">
        <f t="shared" si="19"/>
        <v>4658.416465</v>
      </c>
      <c r="L37" s="44">
        <f t="shared" si="19"/>
        <v>5031.089783</v>
      </c>
      <c r="M37" s="44">
        <f t="shared" si="19"/>
        <v>5282.644272</v>
      </c>
      <c r="N37" s="7"/>
      <c r="O37" s="7"/>
      <c r="P37" s="7"/>
      <c r="Q37" s="7"/>
      <c r="R37" s="8"/>
      <c r="S37" s="8"/>
      <c r="T37" s="28"/>
      <c r="U37" s="8"/>
      <c r="V37" s="31"/>
      <c r="W37" s="31" t="s">
        <v>25</v>
      </c>
      <c r="X37" s="7"/>
      <c r="Y37" s="7"/>
      <c r="Z37" s="46">
        <v>0.0</v>
      </c>
      <c r="AA37" s="44">
        <v>4965.92352</v>
      </c>
      <c r="AB37" s="44">
        <v>5819.4416249999995</v>
      </c>
      <c r="AC37" s="44">
        <v>6207.404399999999</v>
      </c>
      <c r="AD37" s="44">
        <v>6781.589306999999</v>
      </c>
      <c r="AE37" s="44">
        <v>7058.206765575</v>
      </c>
      <c r="AF37" s="44">
        <v>6654.880664684999</v>
      </c>
      <c r="AG37" s="44">
        <v>7187.271117859799</v>
      </c>
      <c r="AH37" s="44">
        <v>7546.63467375279</v>
      </c>
      <c r="AI37" s="7"/>
      <c r="AJ37" s="7"/>
      <c r="AK37" s="7"/>
      <c r="AL37" s="24"/>
    </row>
    <row r="38">
      <c r="A38" s="40"/>
      <c r="B38" s="54" t="s">
        <v>32</v>
      </c>
      <c r="C38" s="7"/>
      <c r="D38" s="7"/>
      <c r="E38" s="55">
        <f>E35</f>
        <v>10542.155</v>
      </c>
      <c r="F38" s="55">
        <f t="shared" ref="F38:M38" si="20">F35-F37+F36</f>
        <v>10996.9804</v>
      </c>
      <c r="G38" s="55">
        <f t="shared" si="20"/>
        <v>16028.77226</v>
      </c>
      <c r="H38" s="55">
        <f t="shared" si="20"/>
        <v>20613.01026</v>
      </c>
      <c r="I38" s="55">
        <f t="shared" si="20"/>
        <v>24611.5832</v>
      </c>
      <c r="J38" s="55">
        <f t="shared" si="20"/>
        <v>28453.03663</v>
      </c>
      <c r="K38" s="55">
        <f t="shared" si="20"/>
        <v>32056.8049</v>
      </c>
      <c r="L38" s="55">
        <f t="shared" si="20"/>
        <v>34747.05782</v>
      </c>
      <c r="M38" s="55">
        <f t="shared" si="20"/>
        <v>36409.14149</v>
      </c>
      <c r="N38" s="55">
        <f>M38*1.04</f>
        <v>37865.50714</v>
      </c>
      <c r="O38" s="7"/>
      <c r="P38" s="7"/>
      <c r="Q38" s="7"/>
      <c r="R38" s="8"/>
      <c r="S38" s="8"/>
      <c r="T38" s="28"/>
      <c r="U38" s="8"/>
      <c r="V38" s="31"/>
      <c r="W38" s="31" t="s">
        <v>31</v>
      </c>
      <c r="X38" s="7"/>
      <c r="Y38" s="7"/>
      <c r="Z38" s="44"/>
      <c r="AA38" s="44">
        <f t="shared" ref="AA38:AH38" si="21">-AA33</f>
        <v>-4221.034992</v>
      </c>
      <c r="AB38" s="44">
        <f t="shared" si="21"/>
        <v>-4655.5533</v>
      </c>
      <c r="AC38" s="44">
        <f t="shared" si="21"/>
        <v>-4655.5533</v>
      </c>
      <c r="AD38" s="44">
        <f t="shared" si="21"/>
        <v>-4747.112515</v>
      </c>
      <c r="AE38" s="44">
        <f t="shared" si="21"/>
        <v>-4940.744736</v>
      </c>
      <c r="AF38" s="44">
        <f t="shared" si="21"/>
        <v>-4658.416465</v>
      </c>
      <c r="AG38" s="44">
        <f t="shared" si="21"/>
        <v>-5031.089783</v>
      </c>
      <c r="AH38" s="44">
        <f t="shared" si="21"/>
        <v>-5282.644272</v>
      </c>
      <c r="AI38" s="7"/>
      <c r="AJ38" s="7"/>
      <c r="AK38" s="7"/>
      <c r="AL38" s="24"/>
    </row>
    <row r="39">
      <c r="A39" s="31"/>
      <c r="B39" s="31"/>
      <c r="C39" s="7"/>
      <c r="D39" s="7"/>
      <c r="E39" s="44"/>
      <c r="F39" s="44"/>
      <c r="G39" s="44"/>
      <c r="H39" s="44"/>
      <c r="I39" s="44"/>
      <c r="J39" s="44"/>
      <c r="K39" s="44"/>
      <c r="L39" s="44"/>
      <c r="M39" s="7"/>
      <c r="N39" s="7"/>
      <c r="O39" s="7"/>
      <c r="P39" s="44">
        <f>N38/(0.12-0.04)</f>
        <v>473318.8393</v>
      </c>
      <c r="Q39" s="7"/>
      <c r="R39" s="8"/>
      <c r="S39" s="8"/>
      <c r="T39" s="28"/>
      <c r="U39" s="8"/>
      <c r="V39" s="31"/>
      <c r="W39" s="31"/>
      <c r="X39" s="7"/>
      <c r="Y39" s="7"/>
      <c r="Z39" s="44"/>
      <c r="AA39" s="44"/>
      <c r="AB39" s="44"/>
      <c r="AC39" s="44"/>
      <c r="AD39" s="44"/>
      <c r="AE39" s="44"/>
      <c r="AF39" s="44"/>
      <c r="AG39" s="44"/>
      <c r="AH39" s="44"/>
      <c r="AI39" s="7"/>
      <c r="AJ39" s="7"/>
      <c r="AK39" s="44">
        <f>AI41/(0.12-0.04)</f>
        <v>189137.7329</v>
      </c>
      <c r="AL39" s="24"/>
    </row>
    <row r="40">
      <c r="A40" s="31"/>
      <c r="B40" s="31"/>
      <c r="C40" s="7"/>
      <c r="D40" s="7"/>
      <c r="E40" s="44"/>
      <c r="F40" s="44"/>
      <c r="G40" s="44"/>
      <c r="H40" s="44"/>
      <c r="I40" s="44"/>
      <c r="J40" s="44"/>
      <c r="K40" s="44"/>
      <c r="L40" s="44"/>
      <c r="M40" s="41">
        <f>M38*(1.04)/(0.12-0.04)</f>
        <v>473318.8393</v>
      </c>
      <c r="N40" s="40" t="s">
        <v>33</v>
      </c>
      <c r="O40" s="7"/>
      <c r="P40" s="7"/>
      <c r="Q40" s="7"/>
      <c r="R40" s="8"/>
      <c r="S40" s="8"/>
      <c r="T40" s="28"/>
      <c r="U40" s="8"/>
      <c r="V40" s="31"/>
      <c r="W40" s="31"/>
      <c r="X40" s="7"/>
      <c r="Y40" s="7"/>
      <c r="Z40" s="44"/>
      <c r="AA40" s="44"/>
      <c r="AB40" s="44"/>
      <c r="AC40" s="44"/>
      <c r="AD40" s="44"/>
      <c r="AE40" s="44"/>
      <c r="AF40" s="44"/>
      <c r="AG40" s="44"/>
      <c r="AH40" s="44"/>
      <c r="AI40" s="7"/>
      <c r="AJ40" s="7"/>
      <c r="AK40" s="7"/>
      <c r="AL40" s="24"/>
    </row>
    <row r="41">
      <c r="A41" s="8"/>
      <c r="B41" s="8"/>
      <c r="C41" s="52" t="s">
        <v>34</v>
      </c>
      <c r="D41" s="56" t="s">
        <v>35</v>
      </c>
      <c r="E41" s="56" t="s">
        <v>36</v>
      </c>
      <c r="F41" s="8"/>
      <c r="G41" s="8"/>
      <c r="H41" s="8"/>
      <c r="I41" s="8"/>
      <c r="J41" s="8"/>
      <c r="K41" s="8"/>
      <c r="L41" s="8"/>
      <c r="M41" s="51">
        <f>M40+M38</f>
        <v>509727.9808</v>
      </c>
      <c r="N41" s="40" t="s">
        <v>37</v>
      </c>
      <c r="O41" s="8"/>
      <c r="P41" s="7"/>
      <c r="Q41" s="7"/>
      <c r="R41" s="8"/>
      <c r="S41" s="8"/>
      <c r="T41" s="28"/>
      <c r="U41" s="8"/>
      <c r="V41" s="40"/>
      <c r="W41" s="40" t="s">
        <v>32</v>
      </c>
      <c r="X41" s="7"/>
      <c r="Y41" s="7"/>
      <c r="Z41" s="57">
        <f>Z36</f>
        <v>58808.39</v>
      </c>
      <c r="AA41" s="57">
        <f t="shared" ref="AA41:AH41" si="22">AA36+AA38</f>
        <v>8545.055659</v>
      </c>
      <c r="AB41" s="57">
        <f t="shared" si="22"/>
        <v>10920.59572</v>
      </c>
      <c r="AC41" s="57">
        <f t="shared" si="22"/>
        <v>13257.23605</v>
      </c>
      <c r="AD41" s="57">
        <f t="shared" si="22"/>
        <v>13332.72941</v>
      </c>
      <c r="AE41" s="57">
        <f t="shared" si="22"/>
        <v>10928.51755</v>
      </c>
      <c r="AF41" s="57">
        <f t="shared" si="22"/>
        <v>12779.8339</v>
      </c>
      <c r="AG41" s="57">
        <f t="shared" si="22"/>
        <v>13927.92915</v>
      </c>
      <c r="AH41" s="57">
        <f t="shared" si="22"/>
        <v>14549.05638</v>
      </c>
      <c r="AI41" s="57">
        <f>AH41*1.04</f>
        <v>15131.01864</v>
      </c>
      <c r="AJ41" s="8"/>
      <c r="AK41" s="7"/>
      <c r="AL41" s="24"/>
    </row>
    <row r="42">
      <c r="A42" s="58" t="s">
        <v>38</v>
      </c>
      <c r="B42" s="31" t="s">
        <v>39</v>
      </c>
      <c r="C42" s="44">
        <f>M40</f>
        <v>473318.8393</v>
      </c>
      <c r="D42" s="46">
        <f>+N38</f>
        <v>37865.50714</v>
      </c>
      <c r="E42" s="59">
        <f>M41</f>
        <v>509727.9808</v>
      </c>
      <c r="F42" s="44"/>
      <c r="G42" s="44"/>
      <c r="H42" s="44"/>
      <c r="I42" s="44"/>
      <c r="J42" s="44"/>
      <c r="K42" s="44"/>
      <c r="L42" s="44"/>
      <c r="M42" s="8"/>
      <c r="N42" s="8"/>
      <c r="O42" s="8"/>
      <c r="P42" s="7"/>
      <c r="Q42" s="7"/>
      <c r="R42" s="8"/>
      <c r="S42" s="8"/>
      <c r="T42" s="28"/>
      <c r="U42" s="8"/>
      <c r="V42" s="8"/>
      <c r="W42" s="31" t="s">
        <v>39</v>
      </c>
      <c r="X42" s="7"/>
      <c r="Y42" s="7"/>
      <c r="Z42" s="44"/>
      <c r="AA42" s="44"/>
      <c r="AB42" s="44"/>
      <c r="AC42" s="44"/>
      <c r="AD42" s="44"/>
      <c r="AE42" s="44"/>
      <c r="AF42" s="44"/>
      <c r="AG42" s="44"/>
      <c r="AH42" s="41">
        <f>AH41*(1.04)/(0.12-0.04)</f>
        <v>189137.7329</v>
      </c>
      <c r="AI42" s="40" t="s">
        <v>33</v>
      </c>
      <c r="AJ42" s="7"/>
      <c r="AK42" s="7"/>
      <c r="AL42" s="24"/>
    </row>
    <row r="43">
      <c r="A43" s="8"/>
      <c r="B43" s="8"/>
      <c r="C43" s="60"/>
      <c r="D43" s="8"/>
      <c r="E43" s="61"/>
      <c r="F43" s="7"/>
      <c r="G43" s="7"/>
      <c r="H43" s="7"/>
      <c r="I43" s="7"/>
      <c r="J43" s="7"/>
      <c r="K43" s="7"/>
      <c r="L43" s="7"/>
      <c r="M43" s="8"/>
      <c r="N43" s="8"/>
      <c r="O43" s="8"/>
      <c r="P43" s="7"/>
      <c r="Q43" s="7"/>
      <c r="R43" s="8"/>
      <c r="S43" s="8"/>
      <c r="T43" s="28"/>
      <c r="U43" s="8"/>
      <c r="V43" s="8"/>
      <c r="W43" s="8"/>
      <c r="X43" s="60"/>
      <c r="Y43" s="8"/>
      <c r="Z43" s="8"/>
      <c r="AA43" s="7"/>
      <c r="AB43" s="7"/>
      <c r="AC43" s="7"/>
      <c r="AD43" s="7"/>
      <c r="AE43" s="7"/>
      <c r="AF43" s="7"/>
      <c r="AG43" s="7"/>
      <c r="AH43" s="7"/>
      <c r="AI43" s="41">
        <f>AH42+AH41</f>
        <v>203686.7893</v>
      </c>
      <c r="AJ43" s="40" t="s">
        <v>37</v>
      </c>
      <c r="AK43" s="7"/>
      <c r="AL43" s="24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8"/>
      <c r="S44" s="8"/>
      <c r="T44" s="28"/>
      <c r="U44" s="8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24"/>
    </row>
    <row r="45">
      <c r="A45" s="58" t="s">
        <v>40</v>
      </c>
      <c r="B45" s="40" t="s">
        <v>41</v>
      </c>
      <c r="C45" s="7"/>
      <c r="D45" s="7"/>
      <c r="E45" s="62">
        <f t="array" ref="E45">npv(0.12,F38:L38,M41)</f>
        <v>306884.19</v>
      </c>
      <c r="F45" s="63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8"/>
      <c r="S45" s="8"/>
      <c r="T45" s="28"/>
      <c r="U45" s="8"/>
      <c r="V45" s="8"/>
      <c r="W45" s="40" t="s">
        <v>41</v>
      </c>
      <c r="X45" s="7"/>
      <c r="Y45" s="7"/>
      <c r="Z45" s="64">
        <f t="array" ref="Z45">npv(0.12,AA41:AG41,AI43)</f>
        <v>135486.5371</v>
      </c>
      <c r="AA45" s="63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24"/>
    </row>
    <row r="46">
      <c r="A46" s="7"/>
      <c r="B46" s="7"/>
      <c r="C46" s="13"/>
      <c r="D46" s="13"/>
      <c r="E46" s="13"/>
      <c r="F46" s="7"/>
      <c r="G46" s="7"/>
      <c r="H46" s="7"/>
      <c r="I46" s="7"/>
      <c r="J46" s="7"/>
      <c r="K46" s="7"/>
      <c r="L46" s="7"/>
      <c r="M46" s="7"/>
      <c r="N46" s="31" t="s">
        <v>42</v>
      </c>
      <c r="O46" s="7"/>
      <c r="P46" s="7"/>
      <c r="Q46" s="7"/>
      <c r="R46" s="8"/>
      <c r="S46" s="8"/>
      <c r="T46" s="28"/>
      <c r="U46" s="8"/>
      <c r="V46" s="7"/>
      <c r="W46" s="7"/>
      <c r="X46" s="13"/>
      <c r="Y46" s="13"/>
      <c r="Z46" s="13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24"/>
    </row>
    <row r="47">
      <c r="A47" s="58" t="s">
        <v>43</v>
      </c>
      <c r="B47" s="65" t="s">
        <v>44</v>
      </c>
      <c r="C47" s="13"/>
      <c r="D47" s="13"/>
      <c r="E47" s="13"/>
      <c r="F47" s="66">
        <f>pv(0.12,1,0,-F38)</f>
        <v>9818.732497</v>
      </c>
      <c r="G47" s="66">
        <f>pv(0.12,2,0,-G38)</f>
        <v>12778.03911</v>
      </c>
      <c r="H47" s="66">
        <f>pv(0.12, 3,0,-H38)</f>
        <v>14671.93355</v>
      </c>
      <c r="I47" s="66">
        <f>pv($D$20,4,0,-I38)</f>
        <v>15641.10606</v>
      </c>
      <c r="J47" s="66">
        <f>pv(D20,5,0,-J38)</f>
        <v>16145.01711</v>
      </c>
      <c r="K47" s="66">
        <f>pv(D20,6,0,-K38)</f>
        <v>16240.97501</v>
      </c>
      <c r="L47" s="66">
        <f>pv(D20,2030-2023,0,-L38)</f>
        <v>15717.80434</v>
      </c>
      <c r="M47" s="66">
        <f>pv($D$20,2031-2023,0,-M38)</f>
        <v>14705.04159</v>
      </c>
      <c r="N47" s="64">
        <f>pv(D20,8,0,-M41)</f>
        <v>205870.5823</v>
      </c>
      <c r="O47" s="7"/>
      <c r="P47" s="7"/>
      <c r="Q47" s="7"/>
      <c r="R47" s="8"/>
      <c r="S47" s="8"/>
      <c r="T47" s="28"/>
      <c r="U47" s="8"/>
      <c r="V47" s="8"/>
      <c r="W47" s="65" t="s">
        <v>44</v>
      </c>
      <c r="X47" s="13"/>
      <c r="Y47" s="13"/>
      <c r="Z47" s="67">
        <f>pv(Y20,AA26-2023,0,-Z41)</f>
        <v>52507.49107</v>
      </c>
      <c r="AA47" s="67">
        <f>pv($D$20,1,0,-AA41)</f>
        <v>7629.513981</v>
      </c>
      <c r="AB47" s="67">
        <f>pv($D$20,2,0,-AB41)</f>
        <v>8705.832047</v>
      </c>
      <c r="AC47" s="67">
        <f>pv($D$20, 3,0,-AC41)</f>
        <v>9436.238758</v>
      </c>
      <c r="AD47" s="67">
        <f>pv($D$20,2027-2023,0,-AD41)</f>
        <v>8473.190573</v>
      </c>
      <c r="AE47" s="67">
        <f>pv(Y20,2028-2023,0,-AE41)</f>
        <v>6201.134352</v>
      </c>
      <c r="AF47" s="67">
        <f>pv(Y20,6,0,-AF41)</f>
        <v>6474.661579</v>
      </c>
      <c r="AG47" s="67">
        <f>pv(Y20,2030-2023,0,-AG41)</f>
        <v>6300.287822</v>
      </c>
      <c r="AH47" s="67">
        <f>pv($D$20,2031-2023,0,-AH41)</f>
        <v>5876.119855</v>
      </c>
      <c r="AI47" s="68">
        <f>pv(Y20,8,0,-AI43)</f>
        <v>82265.67797</v>
      </c>
      <c r="AJ47" s="7"/>
      <c r="AK47" s="7"/>
      <c r="AL47" s="24"/>
    </row>
    <row r="48">
      <c r="A48" s="7"/>
      <c r="B48" s="11" t="s">
        <v>45</v>
      </c>
      <c r="D48" s="13"/>
      <c r="E48" s="62">
        <f>sum(F47:L47,N47)</f>
        <v>306884.19</v>
      </c>
      <c r="F48" s="13"/>
      <c r="G48" s="13"/>
      <c r="H48" s="13"/>
      <c r="I48" s="13"/>
      <c r="J48" s="13"/>
      <c r="K48" s="13"/>
      <c r="L48" s="13"/>
      <c r="M48" s="13"/>
      <c r="N48" s="7"/>
      <c r="O48" s="7"/>
      <c r="P48" s="7"/>
      <c r="Q48" s="7"/>
      <c r="R48" s="8"/>
      <c r="S48" s="8"/>
      <c r="T48" s="28"/>
      <c r="U48" s="8"/>
      <c r="V48" s="7"/>
      <c r="W48" s="11" t="s">
        <v>45</v>
      </c>
      <c r="X48" s="66">
        <f>sum(AA47:AG47,AI47)</f>
        <v>135486.5371</v>
      </c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7"/>
      <c r="AJ48" s="7"/>
      <c r="AK48" s="7"/>
      <c r="AL48" s="24"/>
    </row>
    <row r="49">
      <c r="A49" s="7"/>
      <c r="B49" s="7"/>
      <c r="C49" s="13"/>
      <c r="D49" s="13"/>
      <c r="E49" s="13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8"/>
      <c r="S49" s="8"/>
      <c r="T49" s="28"/>
      <c r="U49" s="8"/>
      <c r="V49" s="7"/>
      <c r="W49" s="7"/>
      <c r="X49" s="13"/>
      <c r="Y49" s="13"/>
      <c r="Z49" s="13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24"/>
    </row>
    <row r="50">
      <c r="A50" s="13"/>
      <c r="B50" s="69" t="s">
        <v>46</v>
      </c>
      <c r="C50" s="10"/>
      <c r="D50" s="10"/>
      <c r="E50" s="70">
        <f>D54+D53-D52</f>
        <v>306884.19</v>
      </c>
      <c r="F50" s="71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8"/>
      <c r="S50" s="8"/>
      <c r="T50" s="28"/>
      <c r="U50" s="8"/>
      <c r="V50" s="13"/>
      <c r="W50" s="69" t="s">
        <v>46</v>
      </c>
      <c r="X50" s="10"/>
      <c r="Y50" s="10"/>
      <c r="Z50" s="67">
        <f>Y54+Y53-Y52</f>
        <v>135486.5371</v>
      </c>
      <c r="AA50" s="72">
        <f>-Y52+Y53+Z54</f>
        <v>135486.5371</v>
      </c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24"/>
    </row>
    <row r="51">
      <c r="A51" s="7"/>
      <c r="B51" s="8"/>
      <c r="C51" s="10"/>
      <c r="D51" s="10"/>
      <c r="E51" s="13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8"/>
      <c r="S51" s="8"/>
      <c r="T51" s="28"/>
      <c r="U51" s="8"/>
      <c r="V51" s="7"/>
      <c r="W51" s="8"/>
      <c r="X51" s="10"/>
      <c r="Y51" s="10"/>
      <c r="Z51" s="13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24"/>
    </row>
    <row r="52">
      <c r="A52" s="73" t="s">
        <v>47</v>
      </c>
      <c r="B52" s="31" t="s">
        <v>48</v>
      </c>
      <c r="C52" s="13"/>
      <c r="D52" s="74">
        <v>22185.0</v>
      </c>
      <c r="E52" s="75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28"/>
      <c r="U52" s="8"/>
      <c r="V52" s="8"/>
      <c r="W52" s="31" t="s">
        <v>48</v>
      </c>
      <c r="X52" s="13"/>
      <c r="Y52" s="74">
        <v>22185.0</v>
      </c>
      <c r="Z52" s="75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33"/>
    </row>
    <row r="53">
      <c r="A53" s="8"/>
      <c r="B53" s="31" t="s">
        <v>49</v>
      </c>
      <c r="C53" s="13"/>
      <c r="D53" s="76">
        <v>3099.0</v>
      </c>
      <c r="E53" s="75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28"/>
      <c r="U53" s="8"/>
      <c r="V53" s="8"/>
      <c r="W53" s="31" t="s">
        <v>49</v>
      </c>
      <c r="X53" s="13"/>
      <c r="Y53" s="76">
        <v>3099.0</v>
      </c>
      <c r="Z53" s="75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33"/>
    </row>
    <row r="54">
      <c r="A54" s="8"/>
      <c r="B54" s="52" t="s">
        <v>50</v>
      </c>
      <c r="C54" s="10"/>
      <c r="D54" s="77">
        <f>E48+D52-D53</f>
        <v>325970.19</v>
      </c>
      <c r="E54" s="7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28"/>
      <c r="U54" s="8"/>
      <c r="V54" s="79" t="s">
        <v>4</v>
      </c>
      <c r="W54" s="52" t="s">
        <v>50</v>
      </c>
      <c r="X54" s="10"/>
      <c r="Y54" s="77">
        <f>X48+Y52-Y53</f>
        <v>154572.5371</v>
      </c>
      <c r="Z54" s="80">
        <f>Z45+Y52-Y53</f>
        <v>154572.5371</v>
      </c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33"/>
    </row>
    <row r="55">
      <c r="A55" s="8"/>
      <c r="B55" s="52" t="s">
        <v>51</v>
      </c>
      <c r="C55" s="10"/>
      <c r="D55" s="75">
        <v>3518.0</v>
      </c>
      <c r="E55" s="75"/>
      <c r="F55" s="52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28"/>
      <c r="U55" s="8"/>
      <c r="V55" s="8"/>
      <c r="W55" s="52" t="s">
        <v>51</v>
      </c>
      <c r="X55" s="10"/>
      <c r="Y55" s="75">
        <v>3518.0</v>
      </c>
      <c r="Z55" s="75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33"/>
    </row>
    <row r="56">
      <c r="A56" s="8"/>
      <c r="B56" s="52" t="s">
        <v>52</v>
      </c>
      <c r="C56" s="10"/>
      <c r="D56" s="81">
        <f>D54/D55</f>
        <v>92.65781409</v>
      </c>
      <c r="E56" s="10"/>
      <c r="F56" s="52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28"/>
      <c r="U56" s="52"/>
      <c r="V56" s="79" t="s">
        <v>4</v>
      </c>
      <c r="W56" s="52" t="s">
        <v>52</v>
      </c>
      <c r="X56" s="10"/>
      <c r="Y56" s="77">
        <f>Y54/Y55</f>
        <v>43.93761714</v>
      </c>
      <c r="Z56" s="82">
        <f>Z54/Y55</f>
        <v>43.93761714</v>
      </c>
      <c r="AA56" s="52" t="s">
        <v>53</v>
      </c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33"/>
    </row>
    <row r="57">
      <c r="A57" s="8"/>
      <c r="B57" s="52" t="s">
        <v>54</v>
      </c>
      <c r="C57" s="10"/>
      <c r="D57" s="76">
        <v>175.0</v>
      </c>
      <c r="E57" s="10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28"/>
      <c r="U57" s="8"/>
      <c r="V57" s="8"/>
      <c r="W57" s="83" t="s">
        <v>54</v>
      </c>
      <c r="X57" s="10"/>
      <c r="Y57" s="76">
        <v>175.0</v>
      </c>
      <c r="Z57" s="10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33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28"/>
      <c r="U58" s="8"/>
      <c r="V58" s="8"/>
      <c r="W58" s="8"/>
      <c r="X58" s="10"/>
      <c r="Y58" s="10"/>
      <c r="Z58" s="10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33"/>
    </row>
    <row r="59">
      <c r="A59" s="8"/>
      <c r="B59" s="8"/>
      <c r="C59" s="8"/>
      <c r="D59" s="26">
        <v>0.2</v>
      </c>
      <c r="E59" s="26">
        <v>0.18</v>
      </c>
      <c r="F59" s="26">
        <v>0.15</v>
      </c>
      <c r="G59" s="26">
        <v>0.11</v>
      </c>
      <c r="H59" s="26">
        <v>0.08</v>
      </c>
      <c r="I59" s="26">
        <v>0.05</v>
      </c>
      <c r="J59" s="26">
        <v>0.03</v>
      </c>
      <c r="K59" s="26">
        <v>0.03</v>
      </c>
      <c r="L59" s="8"/>
      <c r="M59" s="8"/>
      <c r="N59" s="8"/>
      <c r="O59" s="8"/>
      <c r="P59" s="8"/>
      <c r="Q59" s="8"/>
      <c r="R59" s="8"/>
      <c r="S59" s="8"/>
      <c r="T59" s="2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33"/>
    </row>
    <row r="60">
      <c r="A60" s="73" t="s">
        <v>55</v>
      </c>
      <c r="B60" s="83" t="s">
        <v>56</v>
      </c>
      <c r="C60" s="8"/>
      <c r="D60" s="84">
        <v>2023.0</v>
      </c>
      <c r="E60" s="84">
        <v>2024.0</v>
      </c>
      <c r="F60" s="84">
        <v>2025.0</v>
      </c>
      <c r="G60" s="84">
        <v>2026.0</v>
      </c>
      <c r="H60" s="84">
        <v>2027.0</v>
      </c>
      <c r="I60" s="84">
        <v>2028.0</v>
      </c>
      <c r="J60" s="84">
        <v>2029.0</v>
      </c>
      <c r="K60" s="84">
        <v>2030.0</v>
      </c>
      <c r="L60" s="84">
        <v>2031.0</v>
      </c>
      <c r="M60" s="8"/>
      <c r="N60" s="8"/>
      <c r="O60" s="8"/>
      <c r="P60" s="8"/>
      <c r="Q60" s="8"/>
      <c r="R60" s="8"/>
      <c r="S60" s="8"/>
      <c r="T60" s="85"/>
      <c r="U60" s="86"/>
      <c r="V60" s="86"/>
      <c r="W60" s="86"/>
      <c r="X60" s="86"/>
      <c r="Y60" s="86"/>
      <c r="Z60" s="86"/>
      <c r="AA60" s="86"/>
      <c r="AB60" s="86"/>
      <c r="AC60" s="86"/>
      <c r="AD60" s="86"/>
      <c r="AE60" s="86"/>
      <c r="AF60" s="86"/>
      <c r="AG60" s="86"/>
      <c r="AH60" s="86"/>
      <c r="AI60" s="86"/>
      <c r="AJ60" s="86"/>
      <c r="AK60" s="86"/>
      <c r="AL60" s="87"/>
    </row>
    <row r="61">
      <c r="A61" s="8"/>
      <c r="B61" s="52" t="s">
        <v>57</v>
      </c>
      <c r="C61" s="88"/>
      <c r="D61" s="88">
        <f>D17</f>
        <v>81462</v>
      </c>
      <c r="E61" s="88">
        <f t="shared" ref="E61:L61" si="23">D61*(1+D59)</f>
        <v>97754.4</v>
      </c>
      <c r="F61" s="88">
        <f t="shared" si="23"/>
        <v>115350.192</v>
      </c>
      <c r="G61" s="88">
        <f t="shared" si="23"/>
        <v>132652.7208</v>
      </c>
      <c r="H61" s="88">
        <f t="shared" si="23"/>
        <v>147244.5201</v>
      </c>
      <c r="I61" s="88">
        <f t="shared" si="23"/>
        <v>159024.0817</v>
      </c>
      <c r="J61" s="88">
        <f t="shared" si="23"/>
        <v>166975.2858</v>
      </c>
      <c r="K61" s="88">
        <f t="shared" si="23"/>
        <v>171984.5444</v>
      </c>
      <c r="L61" s="88">
        <f t="shared" si="23"/>
        <v>177144.0807</v>
      </c>
      <c r="M61" s="52"/>
      <c r="N61" s="8"/>
      <c r="O61" s="8"/>
      <c r="P61" s="8"/>
      <c r="Q61" s="8"/>
      <c r="R61" s="8"/>
      <c r="S61" s="8"/>
      <c r="T61" s="2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33"/>
    </row>
    <row r="62">
      <c r="A62" s="8"/>
      <c r="B62" s="31" t="s">
        <v>21</v>
      </c>
      <c r="C62" s="8"/>
      <c r="D62" s="52">
        <v>0.0</v>
      </c>
      <c r="E62" s="88">
        <f>$E$61*E9</f>
        <v>73315.8</v>
      </c>
      <c r="F62" s="88">
        <f t="shared" ref="F62:L62" si="24">F61*F9</f>
        <v>85359.14208</v>
      </c>
      <c r="G62" s="88">
        <f t="shared" si="24"/>
        <v>98163.01339</v>
      </c>
      <c r="H62" s="88">
        <f t="shared" si="24"/>
        <v>108960.9449</v>
      </c>
      <c r="I62" s="88">
        <f t="shared" si="24"/>
        <v>117677.8205</v>
      </c>
      <c r="J62" s="88">
        <f t="shared" si="24"/>
        <v>123561.7115</v>
      </c>
      <c r="K62" s="88">
        <f t="shared" si="24"/>
        <v>127268.5628</v>
      </c>
      <c r="L62" s="88">
        <f t="shared" si="24"/>
        <v>131086.6197</v>
      </c>
      <c r="M62" s="8"/>
      <c r="N62" s="8"/>
      <c r="O62" s="8"/>
      <c r="P62" s="8"/>
      <c r="Q62" s="8"/>
      <c r="R62" s="8"/>
      <c r="S62" s="8"/>
      <c r="T62" s="89" t="s">
        <v>58</v>
      </c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33"/>
    </row>
    <row r="63">
      <c r="A63" s="8"/>
      <c r="B63" s="52" t="s">
        <v>22</v>
      </c>
      <c r="C63" s="8"/>
      <c r="D63" s="88">
        <f t="shared" ref="D63:D64" si="26">E29</f>
        <v>3075</v>
      </c>
      <c r="E63" s="88">
        <f t="shared" ref="E63:L63" si="25">D63*(1+E10)</f>
        <v>3659.25</v>
      </c>
      <c r="F63" s="88">
        <f t="shared" si="25"/>
        <v>4427.6925</v>
      </c>
      <c r="G63" s="88">
        <f t="shared" si="25"/>
        <v>5224.67715</v>
      </c>
      <c r="H63" s="88">
        <f t="shared" si="25"/>
        <v>6060.625494</v>
      </c>
      <c r="I63" s="88">
        <f t="shared" si="25"/>
        <v>6909.113063</v>
      </c>
      <c r="J63" s="88">
        <f t="shared" si="25"/>
        <v>7738.206631</v>
      </c>
      <c r="K63" s="88">
        <f t="shared" si="25"/>
        <v>8512.027294</v>
      </c>
      <c r="L63" s="88">
        <f t="shared" si="25"/>
        <v>9192.989477</v>
      </c>
      <c r="M63" s="8"/>
      <c r="N63" s="8"/>
      <c r="O63" s="8"/>
      <c r="P63" s="8"/>
      <c r="Q63" s="8"/>
      <c r="R63" s="8"/>
      <c r="S63" s="8"/>
      <c r="T63" s="28"/>
      <c r="U63" s="8"/>
      <c r="V63" s="5"/>
      <c r="W63" s="5" t="s">
        <v>0</v>
      </c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7"/>
      <c r="AJ63" s="7"/>
      <c r="AK63" s="7"/>
      <c r="AL63" s="24"/>
    </row>
    <row r="64">
      <c r="A64" s="8"/>
      <c r="B64" s="52" t="s">
        <v>23</v>
      </c>
      <c r="C64" s="8"/>
      <c r="D64" s="90">
        <f t="shared" si="26"/>
        <v>3946</v>
      </c>
      <c r="E64" s="88">
        <f t="shared" ref="E64:L64" si="27">D64*(1+E11)</f>
        <v>4261.68</v>
      </c>
      <c r="F64" s="88">
        <f t="shared" si="27"/>
        <v>4559.9976</v>
      </c>
      <c r="G64" s="88">
        <f t="shared" si="27"/>
        <v>4787.99748</v>
      </c>
      <c r="H64" s="88">
        <f t="shared" si="27"/>
        <v>4979.517379</v>
      </c>
      <c r="I64" s="88">
        <f t="shared" si="27"/>
        <v>5128.902901</v>
      </c>
      <c r="J64" s="88">
        <f t="shared" si="27"/>
        <v>5231.480959</v>
      </c>
      <c r="K64" s="88">
        <f t="shared" si="27"/>
        <v>5336.110578</v>
      </c>
      <c r="L64" s="88">
        <f t="shared" si="27"/>
        <v>5442.832789</v>
      </c>
      <c r="M64" s="8"/>
      <c r="N64" s="8"/>
      <c r="O64" s="8"/>
      <c r="P64" s="8"/>
      <c r="Q64" s="8"/>
      <c r="R64" s="8"/>
      <c r="S64" s="8"/>
      <c r="T64" s="27" t="s">
        <v>59</v>
      </c>
      <c r="U64" s="8"/>
      <c r="V64" s="20"/>
      <c r="W64" s="20" t="s">
        <v>2</v>
      </c>
      <c r="Y64" s="21"/>
      <c r="Z64" s="22">
        <v>2024.0</v>
      </c>
      <c r="AA64" s="22">
        <v>2025.0</v>
      </c>
      <c r="AB64" s="22">
        <v>2026.0</v>
      </c>
      <c r="AC64" s="22">
        <v>2027.0</v>
      </c>
      <c r="AD64" s="22">
        <v>2028.0</v>
      </c>
      <c r="AE64" s="22">
        <v>2029.0</v>
      </c>
      <c r="AF64" s="22">
        <v>2030.0</v>
      </c>
      <c r="AG64" s="22">
        <v>2031.0</v>
      </c>
      <c r="AH64" s="21"/>
      <c r="AI64" s="7"/>
      <c r="AJ64" s="7"/>
      <c r="AK64" s="7"/>
      <c r="AL64" s="24"/>
    </row>
    <row r="65">
      <c r="A65" s="8"/>
      <c r="B65" s="31" t="s">
        <v>25</v>
      </c>
      <c r="C65" s="8"/>
      <c r="D65" s="52">
        <v>0.0</v>
      </c>
      <c r="E65" s="88">
        <f t="shared" ref="E65:L65" si="28">E61*E12</f>
        <v>4692.2112</v>
      </c>
      <c r="F65" s="88">
        <f t="shared" si="28"/>
        <v>5190.75864</v>
      </c>
      <c r="G65" s="88">
        <f t="shared" si="28"/>
        <v>5306.108832</v>
      </c>
      <c r="H65" s="88">
        <f t="shared" si="28"/>
        <v>5595.291763</v>
      </c>
      <c r="I65" s="88">
        <f t="shared" si="28"/>
        <v>5565.842859</v>
      </c>
      <c r="J65" s="88">
        <f t="shared" si="28"/>
        <v>5009.258573</v>
      </c>
      <c r="K65" s="88">
        <f t="shared" si="28"/>
        <v>5159.536331</v>
      </c>
      <c r="L65" s="88">
        <f t="shared" si="28"/>
        <v>5314.322421</v>
      </c>
      <c r="M65" s="8"/>
      <c r="N65" s="8"/>
      <c r="O65" s="8"/>
      <c r="P65" s="8"/>
      <c r="Q65" s="8"/>
      <c r="R65" s="8"/>
      <c r="S65" s="8"/>
      <c r="T65" s="28"/>
      <c r="U65" s="8"/>
      <c r="V65" s="25"/>
      <c r="W65" s="25" t="s">
        <v>3</v>
      </c>
      <c r="X65" s="21"/>
      <c r="Y65" s="21"/>
      <c r="Z65" s="26">
        <v>0.35</v>
      </c>
      <c r="AA65" s="26">
        <v>0.3</v>
      </c>
      <c r="AB65" s="26">
        <v>0.28</v>
      </c>
      <c r="AC65" s="26">
        <v>0.25</v>
      </c>
      <c r="AD65" s="26">
        <v>0.17</v>
      </c>
      <c r="AE65" s="26">
        <v>0.15</v>
      </c>
      <c r="AF65" s="26">
        <v>0.13</v>
      </c>
      <c r="AG65" s="26">
        <v>0.1</v>
      </c>
      <c r="AH65" s="21"/>
      <c r="AI65" s="7"/>
      <c r="AJ65" s="7"/>
      <c r="AK65" s="7"/>
      <c r="AL65" s="24"/>
    </row>
    <row r="66">
      <c r="A66" s="8"/>
      <c r="B66" s="83" t="s">
        <v>26</v>
      </c>
      <c r="C66" s="8"/>
      <c r="D66" s="91">
        <f>D61-D63-D64</f>
        <v>74441</v>
      </c>
      <c r="E66" s="91">
        <f t="shared" ref="E66:L66" si="29">E61-E62-E63-E64</f>
        <v>16517.67</v>
      </c>
      <c r="F66" s="91">
        <f t="shared" si="29"/>
        <v>21003.35982</v>
      </c>
      <c r="G66" s="91">
        <f t="shared" si="29"/>
        <v>24477.03278</v>
      </c>
      <c r="H66" s="91">
        <f t="shared" si="29"/>
        <v>27243.43235</v>
      </c>
      <c r="I66" s="91">
        <f t="shared" si="29"/>
        <v>29308.24528</v>
      </c>
      <c r="J66" s="91">
        <f t="shared" si="29"/>
        <v>30443.88671</v>
      </c>
      <c r="K66" s="91">
        <f t="shared" si="29"/>
        <v>30867.84366</v>
      </c>
      <c r="L66" s="91">
        <f t="shared" si="29"/>
        <v>31421.63871</v>
      </c>
      <c r="M66" s="8"/>
      <c r="N66" s="8"/>
      <c r="O66" s="8"/>
      <c r="P66" s="8"/>
      <c r="Q66" s="8"/>
      <c r="R66" s="8"/>
      <c r="S66" s="8"/>
      <c r="T66" s="28"/>
      <c r="U66" s="8"/>
      <c r="V66" s="25"/>
      <c r="W66" s="25" t="s">
        <v>5</v>
      </c>
      <c r="X66" s="21"/>
      <c r="Y66" s="21"/>
      <c r="Z66" s="26">
        <v>0.2</v>
      </c>
      <c r="AA66" s="26">
        <v>0.18</v>
      </c>
      <c r="AB66" s="26">
        <v>0.15</v>
      </c>
      <c r="AC66" s="26">
        <v>0.11</v>
      </c>
      <c r="AD66" s="26">
        <v>0.08</v>
      </c>
      <c r="AE66" s="26">
        <v>0.05</v>
      </c>
      <c r="AF66" s="26">
        <v>0.03</v>
      </c>
      <c r="AG66" s="26">
        <v>0.03</v>
      </c>
      <c r="AH66" s="21"/>
      <c r="AI66" s="7"/>
      <c r="AJ66" s="7"/>
      <c r="AK66" s="7"/>
      <c r="AL66" s="24"/>
    </row>
    <row r="67">
      <c r="A67" s="8"/>
      <c r="B67" s="52" t="s">
        <v>60</v>
      </c>
      <c r="C67" s="8"/>
      <c r="D67" s="88">
        <f t="shared" ref="D67:L67" si="30">D66*0.21</f>
        <v>15632.61</v>
      </c>
      <c r="E67" s="88">
        <f t="shared" si="30"/>
        <v>3468.7107</v>
      </c>
      <c r="F67" s="88">
        <f t="shared" si="30"/>
        <v>4410.705562</v>
      </c>
      <c r="G67" s="88">
        <f t="shared" si="30"/>
        <v>5140.176883</v>
      </c>
      <c r="H67" s="88">
        <f t="shared" si="30"/>
        <v>5721.120793</v>
      </c>
      <c r="I67" s="88">
        <f t="shared" si="30"/>
        <v>6154.731508</v>
      </c>
      <c r="J67" s="88">
        <f t="shared" si="30"/>
        <v>6393.21621</v>
      </c>
      <c r="K67" s="88">
        <f t="shared" si="30"/>
        <v>6482.247169</v>
      </c>
      <c r="L67" s="88">
        <f t="shared" si="30"/>
        <v>6598.544129</v>
      </c>
      <c r="M67" s="8"/>
      <c r="N67" s="8"/>
      <c r="O67" s="8"/>
      <c r="P67" s="8"/>
      <c r="Q67" s="8"/>
      <c r="R67" s="8"/>
      <c r="S67" s="8"/>
      <c r="T67" s="28"/>
      <c r="U67" s="8"/>
      <c r="V67" s="5"/>
      <c r="W67" s="5" t="s">
        <v>6</v>
      </c>
      <c r="X67" s="21"/>
      <c r="Y67" s="21"/>
      <c r="Z67" s="26">
        <v>0.27</v>
      </c>
      <c r="AA67" s="26">
        <v>0.25</v>
      </c>
      <c r="AB67" s="26">
        <v>0.2</v>
      </c>
      <c r="AC67" s="26">
        <v>0.15</v>
      </c>
      <c r="AD67" s="26">
        <v>0.13</v>
      </c>
      <c r="AE67" s="26">
        <v>0.1</v>
      </c>
      <c r="AF67" s="26">
        <v>0.08</v>
      </c>
      <c r="AG67" s="26">
        <v>0.05</v>
      </c>
      <c r="AH67" s="21"/>
      <c r="AI67" s="7"/>
      <c r="AJ67" s="7"/>
      <c r="AK67" s="7"/>
      <c r="AL67" s="24"/>
    </row>
    <row r="68">
      <c r="A68" s="8"/>
      <c r="B68" s="83" t="s">
        <v>29</v>
      </c>
      <c r="C68" s="8"/>
      <c r="D68" s="91">
        <f t="shared" ref="D68:L68" si="31">D66-D67</f>
        <v>58808.39</v>
      </c>
      <c r="E68" s="91">
        <f t="shared" si="31"/>
        <v>13048.9593</v>
      </c>
      <c r="F68" s="91">
        <f t="shared" si="31"/>
        <v>16592.65426</v>
      </c>
      <c r="G68" s="91">
        <f t="shared" si="31"/>
        <v>19336.85589</v>
      </c>
      <c r="H68" s="91">
        <f t="shared" si="31"/>
        <v>21522.31156</v>
      </c>
      <c r="I68" s="91">
        <f t="shared" si="31"/>
        <v>23153.51377</v>
      </c>
      <c r="J68" s="91">
        <f t="shared" si="31"/>
        <v>24050.6705</v>
      </c>
      <c r="K68" s="91">
        <f t="shared" si="31"/>
        <v>24385.59649</v>
      </c>
      <c r="L68" s="91">
        <f t="shared" si="31"/>
        <v>24823.09458</v>
      </c>
      <c r="M68" s="8"/>
      <c r="N68" s="8"/>
      <c r="O68" s="8"/>
      <c r="P68" s="8"/>
      <c r="Q68" s="8"/>
      <c r="R68" s="8"/>
      <c r="S68" s="8"/>
      <c r="T68" s="28"/>
      <c r="U68" s="8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7"/>
      <c r="AJ68" s="7"/>
      <c r="AK68" s="7"/>
      <c r="AL68" s="24"/>
    </row>
    <row r="69">
      <c r="A69" s="8"/>
      <c r="B69" s="31" t="s">
        <v>25</v>
      </c>
      <c r="C69" s="8"/>
      <c r="D69" s="8">
        <f t="shared" ref="D69:L69" si="32">D65</f>
        <v>0</v>
      </c>
      <c r="E69" s="88">
        <f t="shared" si="32"/>
        <v>4692.2112</v>
      </c>
      <c r="F69" s="88">
        <f t="shared" si="32"/>
        <v>5190.75864</v>
      </c>
      <c r="G69" s="88">
        <f t="shared" si="32"/>
        <v>5306.108832</v>
      </c>
      <c r="H69" s="88">
        <f t="shared" si="32"/>
        <v>5595.291763</v>
      </c>
      <c r="I69" s="88">
        <f t="shared" si="32"/>
        <v>5565.842859</v>
      </c>
      <c r="J69" s="88">
        <f t="shared" si="32"/>
        <v>5009.258573</v>
      </c>
      <c r="K69" s="88">
        <f t="shared" si="32"/>
        <v>5159.536331</v>
      </c>
      <c r="L69" s="88">
        <f t="shared" si="32"/>
        <v>5314.322421</v>
      </c>
      <c r="M69" s="8"/>
      <c r="N69" s="52" t="s">
        <v>61</v>
      </c>
      <c r="O69" s="88">
        <f>M71/(0.12-0.04)</f>
        <v>343426.087</v>
      </c>
      <c r="P69" s="8"/>
      <c r="Q69" s="8"/>
      <c r="R69" s="8"/>
      <c r="S69" s="8"/>
      <c r="T69" s="28"/>
      <c r="U69" s="8"/>
      <c r="V69" s="25"/>
      <c r="W69" s="25" t="s">
        <v>7</v>
      </c>
      <c r="X69" s="21"/>
      <c r="Y69" s="21"/>
      <c r="Z69" s="29">
        <v>0.75</v>
      </c>
      <c r="AA69" s="29">
        <v>0.74</v>
      </c>
      <c r="AB69" s="29">
        <v>0.74</v>
      </c>
      <c r="AC69" s="29">
        <v>0.74</v>
      </c>
      <c r="AD69" s="29">
        <v>0.74</v>
      </c>
      <c r="AE69" s="29">
        <v>0.74</v>
      </c>
      <c r="AF69" s="29">
        <v>0.74</v>
      </c>
      <c r="AG69" s="29">
        <v>0.74</v>
      </c>
      <c r="AH69" s="21"/>
      <c r="AI69" s="7"/>
      <c r="AJ69" s="7"/>
      <c r="AK69" s="7"/>
      <c r="AL69" s="24"/>
    </row>
    <row r="70">
      <c r="A70" s="8"/>
      <c r="B70" s="31" t="s">
        <v>31</v>
      </c>
      <c r="C70" s="8"/>
      <c r="D70" s="8">
        <f t="shared" ref="D70:L70" si="33">D65*D13</f>
        <v>0</v>
      </c>
      <c r="E70" s="88">
        <f t="shared" si="33"/>
        <v>3988.37952</v>
      </c>
      <c r="F70" s="88">
        <f t="shared" si="33"/>
        <v>4152.606912</v>
      </c>
      <c r="G70" s="88">
        <f t="shared" si="33"/>
        <v>3979.581624</v>
      </c>
      <c r="H70" s="88">
        <f t="shared" si="33"/>
        <v>3916.704234</v>
      </c>
      <c r="I70" s="88">
        <f t="shared" si="33"/>
        <v>3896.090002</v>
      </c>
      <c r="J70" s="88">
        <f t="shared" si="33"/>
        <v>3506.481001</v>
      </c>
      <c r="K70" s="88">
        <f t="shared" si="33"/>
        <v>3611.675431</v>
      </c>
      <c r="L70" s="88">
        <f t="shared" si="33"/>
        <v>3720.025694</v>
      </c>
      <c r="M70" s="8"/>
      <c r="N70" s="8"/>
      <c r="O70" s="88">
        <f>O69+L71</f>
        <v>369843.4783</v>
      </c>
      <c r="P70" s="8"/>
      <c r="Q70" s="8"/>
      <c r="R70" s="8"/>
      <c r="S70" s="8"/>
      <c r="T70" s="28"/>
      <c r="U70" s="8"/>
      <c r="V70" s="25"/>
      <c r="W70" s="5" t="s">
        <v>62</v>
      </c>
      <c r="X70" s="21"/>
      <c r="Y70" s="21"/>
      <c r="Z70" s="29">
        <v>0.19</v>
      </c>
      <c r="AA70" s="29">
        <v>0.21</v>
      </c>
      <c r="AB70" s="29">
        <v>0.18</v>
      </c>
      <c r="AC70" s="29">
        <v>0.16</v>
      </c>
      <c r="AD70" s="29">
        <v>0.16</v>
      </c>
      <c r="AE70" s="29">
        <v>0.16</v>
      </c>
      <c r="AF70" s="29">
        <v>0.16</v>
      </c>
      <c r="AG70" s="29">
        <v>0.16</v>
      </c>
      <c r="AH70" s="21"/>
      <c r="AI70" s="7"/>
      <c r="AJ70" s="7"/>
      <c r="AK70" s="7"/>
      <c r="AL70" s="24"/>
    </row>
    <row r="71">
      <c r="A71" s="8"/>
      <c r="B71" s="83" t="s">
        <v>63</v>
      </c>
      <c r="C71" s="8"/>
      <c r="D71" s="92">
        <f t="shared" ref="D71:L71" si="34">D68+D69-D70</f>
        <v>58808.39</v>
      </c>
      <c r="E71" s="92">
        <f t="shared" si="34"/>
        <v>13752.79098</v>
      </c>
      <c r="F71" s="92">
        <f t="shared" si="34"/>
        <v>17630.80599</v>
      </c>
      <c r="G71" s="92">
        <f t="shared" si="34"/>
        <v>20663.3831</v>
      </c>
      <c r="H71" s="92">
        <f t="shared" si="34"/>
        <v>23200.89909</v>
      </c>
      <c r="I71" s="92">
        <f t="shared" si="34"/>
        <v>24823.26663</v>
      </c>
      <c r="J71" s="92">
        <f t="shared" si="34"/>
        <v>25553.44808</v>
      </c>
      <c r="K71" s="92">
        <f t="shared" si="34"/>
        <v>25933.45739</v>
      </c>
      <c r="L71" s="92">
        <f t="shared" si="34"/>
        <v>26417.39131</v>
      </c>
      <c r="M71" s="88">
        <f>L71*1.04</f>
        <v>27474.08696</v>
      </c>
      <c r="N71" s="8"/>
      <c r="O71" s="8"/>
      <c r="P71" s="8"/>
      <c r="Q71" s="8"/>
      <c r="R71" s="8"/>
      <c r="S71" s="8"/>
      <c r="T71" s="28"/>
      <c r="U71" s="8"/>
      <c r="V71" s="25"/>
      <c r="W71" s="25" t="s">
        <v>9</v>
      </c>
      <c r="X71" s="21"/>
      <c r="Y71" s="21"/>
      <c r="Z71" s="29">
        <v>0.08</v>
      </c>
      <c r="AA71" s="29">
        <v>0.07</v>
      </c>
      <c r="AB71" s="29">
        <v>0.05</v>
      </c>
      <c r="AC71" s="29">
        <v>0.04</v>
      </c>
      <c r="AD71" s="29">
        <v>0.03</v>
      </c>
      <c r="AE71" s="29">
        <v>0.02</v>
      </c>
      <c r="AF71" s="29">
        <v>0.02</v>
      </c>
      <c r="AG71" s="29">
        <v>0.02</v>
      </c>
      <c r="AH71" s="21"/>
      <c r="AI71" s="7"/>
      <c r="AJ71" s="7"/>
      <c r="AK71" s="7"/>
      <c r="AL71" s="24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52" t="s">
        <v>61</v>
      </c>
      <c r="L72" s="88">
        <f t="shared" ref="L72:L73" si="35">O69</f>
        <v>343426.087</v>
      </c>
      <c r="M72" s="8"/>
      <c r="N72" s="8"/>
      <c r="O72" s="8"/>
      <c r="P72" s="8"/>
      <c r="Q72" s="8"/>
      <c r="R72" s="8"/>
      <c r="S72" s="8"/>
      <c r="T72" s="28"/>
      <c r="U72" s="8"/>
      <c r="V72" s="25"/>
      <c r="W72" s="25" t="s">
        <v>10</v>
      </c>
      <c r="X72" s="21"/>
      <c r="Y72" s="21"/>
      <c r="Z72" s="29">
        <v>0.048</v>
      </c>
      <c r="AA72" s="29">
        <v>0.045</v>
      </c>
      <c r="AB72" s="29">
        <v>0.04</v>
      </c>
      <c r="AC72" s="29">
        <v>0.038</v>
      </c>
      <c r="AD72" s="29">
        <v>0.035</v>
      </c>
      <c r="AE72" s="29">
        <v>0.03</v>
      </c>
      <c r="AF72" s="29">
        <v>0.03</v>
      </c>
      <c r="AG72" s="29">
        <v>0.03</v>
      </c>
      <c r="AH72" s="21"/>
      <c r="AI72" s="7"/>
      <c r="AJ72" s="7"/>
      <c r="AK72" s="7"/>
      <c r="AL72" s="24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8">
        <f t="shared" si="35"/>
        <v>369843.4783</v>
      </c>
      <c r="M73" s="8"/>
      <c r="N73" s="52" t="s">
        <v>64</v>
      </c>
      <c r="O73" s="93">
        <f t="array" ref="O73">NPV(0.12,E71:K71,L73)</f>
        <v>243922.9441</v>
      </c>
      <c r="P73" s="8"/>
      <c r="Q73" s="8"/>
      <c r="R73" s="8"/>
      <c r="S73" s="8"/>
      <c r="T73" s="28"/>
      <c r="U73" s="8"/>
      <c r="V73" s="25"/>
      <c r="W73" s="25" t="s">
        <v>11</v>
      </c>
      <c r="X73" s="21"/>
      <c r="Y73" s="21"/>
      <c r="Z73" s="29">
        <v>0.85</v>
      </c>
      <c r="AA73" s="29">
        <v>0.8</v>
      </c>
      <c r="AB73" s="29">
        <v>0.75</v>
      </c>
      <c r="AC73" s="29">
        <v>0.7</v>
      </c>
      <c r="AD73" s="29">
        <v>0.7</v>
      </c>
      <c r="AE73" s="29">
        <v>0.7</v>
      </c>
      <c r="AF73" s="29">
        <v>0.7</v>
      </c>
      <c r="AG73" s="29">
        <v>0.7</v>
      </c>
      <c r="AH73" s="21"/>
      <c r="AI73" s="7"/>
      <c r="AJ73" s="7"/>
      <c r="AK73" s="7"/>
      <c r="AL73" s="24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52"/>
      <c r="O74" s="63"/>
      <c r="P74" s="8"/>
      <c r="Q74" s="8"/>
      <c r="R74" s="8"/>
      <c r="S74" s="8"/>
      <c r="T74" s="28"/>
      <c r="U74" s="8"/>
      <c r="V74" s="25"/>
      <c r="W74" s="25"/>
      <c r="X74" s="21"/>
      <c r="Y74" s="21"/>
      <c r="Z74" s="29"/>
      <c r="AA74" s="29"/>
      <c r="AB74" s="29"/>
      <c r="AC74" s="29"/>
      <c r="AD74" s="29"/>
      <c r="AE74" s="29"/>
      <c r="AF74" s="29"/>
      <c r="AG74" s="29"/>
      <c r="AH74" s="21"/>
      <c r="AI74" s="7"/>
      <c r="AJ74" s="7"/>
      <c r="AK74" s="7"/>
      <c r="AL74" s="24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52"/>
      <c r="O75" s="63"/>
      <c r="P75" s="8"/>
      <c r="Q75" s="8"/>
      <c r="R75" s="8"/>
      <c r="S75" s="8"/>
      <c r="T75" s="28"/>
      <c r="U75" s="8"/>
      <c r="V75" s="25"/>
      <c r="W75" s="25"/>
      <c r="X75" s="21"/>
      <c r="Y75" s="21"/>
      <c r="Z75" s="29"/>
      <c r="AA75" s="29"/>
      <c r="AB75" s="29"/>
      <c r="AC75" s="29"/>
      <c r="AD75" s="29"/>
      <c r="AE75" s="29"/>
      <c r="AF75" s="29"/>
      <c r="AG75" s="29"/>
      <c r="AH75" s="21"/>
      <c r="AI75" s="7"/>
      <c r="AJ75" s="7"/>
      <c r="AK75" s="7"/>
      <c r="AL75" s="24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52"/>
      <c r="O76" s="63"/>
      <c r="P76" s="8"/>
      <c r="Q76" s="8"/>
      <c r="R76" s="8"/>
      <c r="S76" s="8"/>
      <c r="T76" s="28"/>
      <c r="U76" s="8"/>
      <c r="V76" s="25"/>
      <c r="W76" s="25"/>
      <c r="X76" s="21"/>
      <c r="Y76" s="21"/>
      <c r="Z76" s="29"/>
      <c r="AA76" s="29"/>
      <c r="AB76" s="29"/>
      <c r="AC76" s="29"/>
      <c r="AD76" s="29"/>
      <c r="AE76" s="29"/>
      <c r="AF76" s="29"/>
      <c r="AG76" s="29"/>
      <c r="AH76" s="21"/>
      <c r="AI76" s="7"/>
      <c r="AJ76" s="7"/>
      <c r="AK76" s="7"/>
      <c r="AL76" s="24"/>
    </row>
    <row r="77">
      <c r="A77" s="8"/>
      <c r="B77" s="52" t="s">
        <v>65</v>
      </c>
      <c r="C77" s="82">
        <f>O73</f>
        <v>243922.9441</v>
      </c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28"/>
      <c r="U77" s="8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7"/>
      <c r="AJ77" s="7"/>
      <c r="AK77" s="7"/>
      <c r="AL77" s="24"/>
    </row>
    <row r="78">
      <c r="A78" s="8"/>
      <c r="B78" s="31" t="s">
        <v>48</v>
      </c>
      <c r="C78" s="46">
        <v>22185.0</v>
      </c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28"/>
      <c r="U78" s="8"/>
      <c r="V78" s="25"/>
      <c r="W78" s="25" t="s">
        <v>12</v>
      </c>
      <c r="X78" s="21"/>
      <c r="Y78" s="21"/>
      <c r="Z78" s="29">
        <v>0.78</v>
      </c>
      <c r="AA78" s="29">
        <v>0.79</v>
      </c>
      <c r="AB78" s="29">
        <v>0.8</v>
      </c>
      <c r="AC78" s="29">
        <v>0.82</v>
      </c>
      <c r="AD78" s="29">
        <v>0.85</v>
      </c>
      <c r="AE78" s="29">
        <v>0.85</v>
      </c>
      <c r="AF78" s="29">
        <v>0.85</v>
      </c>
      <c r="AG78" s="29">
        <v>0.85</v>
      </c>
      <c r="AH78" s="21"/>
      <c r="AI78" s="7"/>
      <c r="AJ78" s="7"/>
      <c r="AK78" s="7"/>
      <c r="AL78" s="24"/>
    </row>
    <row r="79">
      <c r="A79" s="8"/>
      <c r="B79" s="31" t="s">
        <v>49</v>
      </c>
      <c r="C79" s="90">
        <v>3099.0</v>
      </c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28"/>
      <c r="U79" s="8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7"/>
      <c r="AJ79" s="7"/>
      <c r="AK79" s="7"/>
      <c r="AL79" s="24"/>
    </row>
    <row r="80">
      <c r="A80" s="8"/>
      <c r="B80" s="52" t="s">
        <v>50</v>
      </c>
      <c r="C80" s="94">
        <f>C77+C78-C79</f>
        <v>263008.9441</v>
      </c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28"/>
      <c r="U80" s="8"/>
      <c r="V80" s="25"/>
      <c r="W80" s="25" t="s">
        <v>13</v>
      </c>
      <c r="X80" s="21"/>
      <c r="Y80" s="30">
        <v>81462.0</v>
      </c>
      <c r="Z80" s="21"/>
      <c r="AA80" s="21"/>
      <c r="AB80" s="21"/>
      <c r="AC80" s="21"/>
      <c r="AD80" s="21"/>
      <c r="AE80" s="21"/>
      <c r="AF80" s="21"/>
      <c r="AG80" s="21"/>
      <c r="AH80" s="21"/>
      <c r="AI80" s="7"/>
      <c r="AJ80" s="7"/>
      <c r="AK80" s="7"/>
      <c r="AL80" s="24"/>
    </row>
    <row r="81">
      <c r="A81" s="8"/>
      <c r="B81" s="52" t="s">
        <v>51</v>
      </c>
      <c r="C81" s="8">
        <f>D55</f>
        <v>3518</v>
      </c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28"/>
      <c r="U81" s="8"/>
      <c r="V81" s="25"/>
      <c r="W81" s="25" t="s">
        <v>14</v>
      </c>
      <c r="X81" s="21"/>
      <c r="Y81" s="30">
        <v>3075.0</v>
      </c>
      <c r="Z81" s="21"/>
      <c r="AA81" s="21"/>
      <c r="AB81" s="21"/>
      <c r="AC81" s="21"/>
      <c r="AD81" s="21"/>
      <c r="AE81" s="21"/>
      <c r="AF81" s="21"/>
      <c r="AG81" s="21"/>
      <c r="AH81" s="21"/>
      <c r="AI81" s="7"/>
      <c r="AJ81" s="7"/>
      <c r="AK81" s="7"/>
      <c r="AL81" s="24"/>
    </row>
    <row r="82">
      <c r="A82" s="8"/>
      <c r="B82" s="52" t="s">
        <v>52</v>
      </c>
      <c r="C82" s="81">
        <f>C80/C81</f>
        <v>74.76092784</v>
      </c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28"/>
      <c r="U82" s="8"/>
      <c r="V82" s="25"/>
      <c r="W82" s="25" t="s">
        <v>15</v>
      </c>
      <c r="X82" s="21"/>
      <c r="Y82" s="30">
        <v>3946.0</v>
      </c>
      <c r="Z82" s="21"/>
      <c r="AA82" s="21"/>
      <c r="AB82" s="21"/>
      <c r="AC82" s="21"/>
      <c r="AD82" s="21"/>
      <c r="AE82" s="21"/>
      <c r="AF82" s="21"/>
      <c r="AG82" s="21"/>
      <c r="AH82" s="21"/>
      <c r="AI82" s="7"/>
      <c r="AJ82" s="7"/>
      <c r="AK82" s="7"/>
      <c r="AL82" s="24"/>
    </row>
    <row r="83">
      <c r="A83" s="8"/>
      <c r="B83" s="83" t="s">
        <v>54</v>
      </c>
      <c r="C83" s="88">
        <f>D57</f>
        <v>175</v>
      </c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28"/>
      <c r="U83" s="8"/>
      <c r="V83" s="25"/>
      <c r="W83" s="25" t="s">
        <v>16</v>
      </c>
      <c r="X83" s="21"/>
      <c r="Y83" s="26">
        <v>0.12</v>
      </c>
      <c r="Z83" s="21"/>
      <c r="AA83" s="21"/>
      <c r="AB83" s="21"/>
      <c r="AC83" s="21"/>
      <c r="AD83" s="21"/>
      <c r="AE83" s="21"/>
      <c r="AF83" s="21"/>
      <c r="AG83" s="21"/>
      <c r="AH83" s="21"/>
      <c r="AI83" s="7"/>
      <c r="AJ83" s="7"/>
      <c r="AK83" s="7"/>
      <c r="AL83" s="24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28"/>
      <c r="U84" s="8"/>
      <c r="V84" s="25"/>
      <c r="W84" s="25" t="s">
        <v>17</v>
      </c>
      <c r="X84" s="21"/>
      <c r="Y84" s="26">
        <v>0.04</v>
      </c>
      <c r="Z84" s="21"/>
      <c r="AA84" s="21"/>
      <c r="AB84" s="21"/>
      <c r="AC84" s="21"/>
      <c r="AD84" s="21"/>
      <c r="AE84" s="21"/>
      <c r="AF84" s="21"/>
      <c r="AG84" s="21"/>
      <c r="AH84" s="21"/>
      <c r="AI84" s="7"/>
      <c r="AJ84" s="7"/>
      <c r="AK84" s="7"/>
      <c r="AL84" s="24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28"/>
      <c r="U85" s="8"/>
      <c r="V85" s="31"/>
      <c r="W85" s="31" t="s">
        <v>18</v>
      </c>
      <c r="X85" s="7"/>
      <c r="Y85" s="32">
        <v>0.21</v>
      </c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24"/>
    </row>
    <row r="86">
      <c r="A86" s="8"/>
      <c r="B86" s="8"/>
      <c r="C86" s="8"/>
      <c r="D86" s="84">
        <v>2023.0</v>
      </c>
      <c r="E86" s="84">
        <v>2024.0</v>
      </c>
      <c r="F86" s="84">
        <v>2025.0</v>
      </c>
      <c r="G86" s="84">
        <v>2026.0</v>
      </c>
      <c r="H86" s="84">
        <v>2027.0</v>
      </c>
      <c r="I86" s="84">
        <v>2028.0</v>
      </c>
      <c r="J86" s="84">
        <v>2029.0</v>
      </c>
      <c r="K86" s="84">
        <v>2030.0</v>
      </c>
      <c r="L86" s="84">
        <v>2031.0</v>
      </c>
      <c r="M86" s="8"/>
      <c r="N86" s="8"/>
      <c r="O86" s="8"/>
      <c r="P86" s="8"/>
      <c r="Q86" s="8"/>
      <c r="R86" s="8"/>
      <c r="S86" s="8"/>
      <c r="T86" s="28"/>
      <c r="U86" s="8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24"/>
    </row>
    <row r="87">
      <c r="A87" s="8"/>
      <c r="B87" s="83" t="s">
        <v>66</v>
      </c>
      <c r="C87" s="8"/>
      <c r="D87" s="26">
        <v>0.35</v>
      </c>
      <c r="E87" s="26">
        <v>0.3</v>
      </c>
      <c r="F87" s="26">
        <v>0.28</v>
      </c>
      <c r="G87" s="26">
        <v>0.25</v>
      </c>
      <c r="H87" s="26">
        <v>0.17</v>
      </c>
      <c r="I87" s="26">
        <v>0.15</v>
      </c>
      <c r="J87" s="26">
        <v>0.13</v>
      </c>
      <c r="K87" s="26">
        <v>0.1</v>
      </c>
      <c r="L87" s="8"/>
      <c r="M87" s="8"/>
      <c r="N87" s="8"/>
      <c r="O87" s="8"/>
      <c r="P87" s="8"/>
      <c r="Q87" s="8"/>
      <c r="R87" s="8"/>
      <c r="S87" s="8"/>
      <c r="T87" s="28"/>
      <c r="U87" s="8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24"/>
    </row>
    <row r="88">
      <c r="A88" s="8"/>
      <c r="B88" s="52" t="s">
        <v>57</v>
      </c>
      <c r="C88" s="88"/>
      <c r="D88" s="90">
        <v>81462.0</v>
      </c>
      <c r="E88" s="88">
        <f t="shared" ref="E88:L88" si="36">D88*(1+D87)</f>
        <v>109973.7</v>
      </c>
      <c r="F88" s="88">
        <f t="shared" si="36"/>
        <v>142965.81</v>
      </c>
      <c r="G88" s="88">
        <f t="shared" si="36"/>
        <v>182996.2368</v>
      </c>
      <c r="H88" s="88">
        <f t="shared" si="36"/>
        <v>228745.296</v>
      </c>
      <c r="I88" s="88">
        <f t="shared" si="36"/>
        <v>267631.9963</v>
      </c>
      <c r="J88" s="88">
        <f t="shared" si="36"/>
        <v>307776.7958</v>
      </c>
      <c r="K88" s="88">
        <f t="shared" si="36"/>
        <v>347787.7792</v>
      </c>
      <c r="L88" s="88">
        <f t="shared" si="36"/>
        <v>382566.5571</v>
      </c>
      <c r="M88" s="88"/>
      <c r="N88" s="88"/>
      <c r="O88" s="8"/>
      <c r="P88" s="8"/>
      <c r="Q88" s="8"/>
      <c r="R88" s="8"/>
      <c r="S88" s="8"/>
      <c r="T88" s="28"/>
      <c r="U88" s="8"/>
      <c r="V88" s="31"/>
      <c r="W88" s="31" t="s">
        <v>19</v>
      </c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8"/>
      <c r="AL88" s="33"/>
    </row>
    <row r="89">
      <c r="A89" s="8"/>
      <c r="B89" s="31" t="s">
        <v>21</v>
      </c>
      <c r="C89" s="8"/>
      <c r="D89" s="8"/>
      <c r="E89" s="88">
        <f t="shared" ref="E89:L89" si="37">E88*E9</f>
        <v>82480.275</v>
      </c>
      <c r="F89" s="88">
        <f t="shared" si="37"/>
        <v>105794.6994</v>
      </c>
      <c r="G89" s="88">
        <f t="shared" si="37"/>
        <v>135417.2152</v>
      </c>
      <c r="H89" s="88">
        <f t="shared" si="37"/>
        <v>169271.519</v>
      </c>
      <c r="I89" s="88">
        <f t="shared" si="37"/>
        <v>198047.6773</v>
      </c>
      <c r="J89" s="88">
        <f t="shared" si="37"/>
        <v>227754.8289</v>
      </c>
      <c r="K89" s="88">
        <f t="shared" si="37"/>
        <v>257362.9566</v>
      </c>
      <c r="L89" s="88">
        <f t="shared" si="37"/>
        <v>283099.2523</v>
      </c>
      <c r="M89" s="8"/>
      <c r="N89" s="8"/>
      <c r="O89" s="8"/>
      <c r="P89" s="8"/>
      <c r="Q89" s="8"/>
      <c r="R89" s="8"/>
      <c r="S89" s="8"/>
      <c r="T89" s="28"/>
      <c r="U89" s="8"/>
      <c r="V89" s="7"/>
      <c r="W89" s="7"/>
      <c r="X89" s="7"/>
      <c r="Y89" s="34"/>
      <c r="Z89" s="38">
        <v>2023.0</v>
      </c>
      <c r="AA89" s="38">
        <v>2024.0</v>
      </c>
      <c r="AB89" s="38">
        <v>2025.0</v>
      </c>
      <c r="AC89" s="38">
        <v>2026.0</v>
      </c>
      <c r="AD89" s="38">
        <v>2027.0</v>
      </c>
      <c r="AE89" s="38">
        <v>2028.0</v>
      </c>
      <c r="AF89" s="38">
        <v>2029.0</v>
      </c>
      <c r="AG89" s="38">
        <v>2030.0</v>
      </c>
      <c r="AH89" s="38">
        <v>2031.0</v>
      </c>
      <c r="AI89" s="7"/>
      <c r="AJ89" s="7"/>
      <c r="AK89" s="8"/>
      <c r="AL89" s="39"/>
    </row>
    <row r="90">
      <c r="A90" s="8"/>
      <c r="B90" s="52" t="s">
        <v>22</v>
      </c>
      <c r="C90" s="8"/>
      <c r="D90" s="88">
        <f t="shared" ref="D90:D91" si="39">D63</f>
        <v>3075</v>
      </c>
      <c r="E90" s="88">
        <f t="shared" ref="E90:L90" si="38">D90*(1+E10)</f>
        <v>3659.25</v>
      </c>
      <c r="F90" s="88">
        <f t="shared" si="38"/>
        <v>4427.6925</v>
      </c>
      <c r="G90" s="88">
        <f t="shared" si="38"/>
        <v>5224.67715</v>
      </c>
      <c r="H90" s="88">
        <f t="shared" si="38"/>
        <v>6060.625494</v>
      </c>
      <c r="I90" s="88">
        <f t="shared" si="38"/>
        <v>6909.113063</v>
      </c>
      <c r="J90" s="88">
        <f t="shared" si="38"/>
        <v>7738.206631</v>
      </c>
      <c r="K90" s="88">
        <f t="shared" si="38"/>
        <v>8512.027294</v>
      </c>
      <c r="L90" s="88">
        <f t="shared" si="38"/>
        <v>9192.989477</v>
      </c>
      <c r="M90" s="8"/>
      <c r="N90" s="8"/>
      <c r="O90" s="8"/>
      <c r="P90" s="8"/>
      <c r="Q90" s="8"/>
      <c r="R90" s="8"/>
      <c r="S90" s="8"/>
      <c r="T90" s="28"/>
      <c r="U90" s="8"/>
      <c r="V90" s="31"/>
      <c r="W90" s="31" t="s">
        <v>20</v>
      </c>
      <c r="X90" s="7"/>
      <c r="Y90" s="7"/>
      <c r="Z90" s="44">
        <f>Y80</f>
        <v>81462</v>
      </c>
      <c r="AA90" s="44">
        <f>$E$27*1.27</f>
        <v>103456.74</v>
      </c>
      <c r="AB90" s="44">
        <f>AA90*1.25</f>
        <v>129320.925</v>
      </c>
      <c r="AC90" s="44">
        <f>AB90*1.2</f>
        <v>155185.11</v>
      </c>
      <c r="AD90" s="44">
        <f>AC90*1.15</f>
        <v>178462.8765</v>
      </c>
      <c r="AE90" s="44">
        <f>AD90*1.13</f>
        <v>201663.0504</v>
      </c>
      <c r="AF90" s="44">
        <f>AE90*1.1</f>
        <v>221829.3555</v>
      </c>
      <c r="AG90" s="44">
        <f>AF90*1.08</f>
        <v>239575.7039</v>
      </c>
      <c r="AH90" s="44">
        <f>AG90*1.05</f>
        <v>251554.4891</v>
      </c>
      <c r="AI90" s="7"/>
      <c r="AJ90" s="7"/>
      <c r="AK90" s="8"/>
      <c r="AL90" s="45"/>
    </row>
    <row r="91">
      <c r="A91" s="8"/>
      <c r="B91" s="52" t="s">
        <v>23</v>
      </c>
      <c r="C91" s="8"/>
      <c r="D91" s="88">
        <f t="shared" si="39"/>
        <v>3946</v>
      </c>
      <c r="E91" s="88">
        <f t="shared" ref="E91:L91" si="40">E64</f>
        <v>4261.68</v>
      </c>
      <c r="F91" s="88">
        <f t="shared" si="40"/>
        <v>4559.9976</v>
      </c>
      <c r="G91" s="88">
        <f t="shared" si="40"/>
        <v>4787.99748</v>
      </c>
      <c r="H91" s="88">
        <f t="shared" si="40"/>
        <v>4979.517379</v>
      </c>
      <c r="I91" s="88">
        <f t="shared" si="40"/>
        <v>5128.902901</v>
      </c>
      <c r="J91" s="88">
        <f t="shared" si="40"/>
        <v>5231.480959</v>
      </c>
      <c r="K91" s="88">
        <f t="shared" si="40"/>
        <v>5336.110578</v>
      </c>
      <c r="L91" s="88">
        <f t="shared" si="40"/>
        <v>5442.832789</v>
      </c>
      <c r="M91" s="8"/>
      <c r="N91" s="8"/>
      <c r="O91" s="8"/>
      <c r="P91" s="8"/>
      <c r="Q91" s="8"/>
      <c r="R91" s="8"/>
      <c r="S91" s="8"/>
      <c r="T91" s="28"/>
      <c r="U91" s="8"/>
      <c r="V91" s="31"/>
      <c r="W91" s="31" t="s">
        <v>21</v>
      </c>
      <c r="X91" s="7"/>
      <c r="Y91" s="7"/>
      <c r="Z91" s="46">
        <v>0.0</v>
      </c>
      <c r="AA91" s="44">
        <f t="shared" ref="AA91:AH91" si="41">AA90*Z69</f>
        <v>77592.555</v>
      </c>
      <c r="AB91" s="44">
        <f t="shared" si="41"/>
        <v>95697.4845</v>
      </c>
      <c r="AC91" s="44">
        <f t="shared" si="41"/>
        <v>114836.9814</v>
      </c>
      <c r="AD91" s="44">
        <f t="shared" si="41"/>
        <v>132062.5286</v>
      </c>
      <c r="AE91" s="44">
        <f t="shared" si="41"/>
        <v>149230.6573</v>
      </c>
      <c r="AF91" s="44">
        <f t="shared" si="41"/>
        <v>164153.7231</v>
      </c>
      <c r="AG91" s="44">
        <f t="shared" si="41"/>
        <v>177286.0209</v>
      </c>
      <c r="AH91" s="44">
        <f t="shared" si="41"/>
        <v>186150.322</v>
      </c>
      <c r="AI91" s="7"/>
      <c r="AJ91" s="7"/>
      <c r="AK91" s="8"/>
      <c r="AL91" s="45"/>
    </row>
    <row r="92">
      <c r="A92" s="8"/>
      <c r="B92" s="31" t="s">
        <v>25</v>
      </c>
      <c r="C92" s="8"/>
      <c r="D92" s="88">
        <f t="shared" ref="D92:L92" si="42">D88*D12</f>
        <v>0</v>
      </c>
      <c r="E92" s="88">
        <f t="shared" si="42"/>
        <v>5278.7376</v>
      </c>
      <c r="F92" s="88">
        <f t="shared" si="42"/>
        <v>6433.46145</v>
      </c>
      <c r="G92" s="88">
        <f t="shared" si="42"/>
        <v>7319.849472</v>
      </c>
      <c r="H92" s="88">
        <f t="shared" si="42"/>
        <v>8692.321248</v>
      </c>
      <c r="I92" s="88">
        <f t="shared" si="42"/>
        <v>9367.119871</v>
      </c>
      <c r="J92" s="88">
        <f t="shared" si="42"/>
        <v>9233.303873</v>
      </c>
      <c r="K92" s="88">
        <f t="shared" si="42"/>
        <v>10433.63338</v>
      </c>
      <c r="L92" s="88">
        <f t="shared" si="42"/>
        <v>11476.99671</v>
      </c>
      <c r="M92" s="8"/>
      <c r="N92" s="8"/>
      <c r="O92" s="8"/>
      <c r="P92" s="8"/>
      <c r="Q92" s="8"/>
      <c r="R92" s="8"/>
      <c r="S92" s="8"/>
      <c r="T92" s="28"/>
      <c r="U92" s="8"/>
      <c r="V92" s="31"/>
      <c r="W92" s="31" t="s">
        <v>22</v>
      </c>
      <c r="X92" s="7"/>
      <c r="Y92" s="7"/>
      <c r="Z92" s="44">
        <f t="shared" ref="Z92:Z93" si="45">Y81</f>
        <v>3075</v>
      </c>
      <c r="AA92" s="44">
        <f>Z92*1.19</f>
        <v>3659.25</v>
      </c>
      <c r="AB92" s="44">
        <f>AA92*1.21</f>
        <v>4427.6925</v>
      </c>
      <c r="AC92" s="44">
        <f>AB92*1.18</f>
        <v>5224.67715</v>
      </c>
      <c r="AD92" s="44">
        <f t="shared" ref="AD92:AH92" si="43">AC92*1.16</f>
        <v>6060.625494</v>
      </c>
      <c r="AE92" s="44">
        <f t="shared" si="43"/>
        <v>7030.325573</v>
      </c>
      <c r="AF92" s="44">
        <f t="shared" si="43"/>
        <v>8155.177665</v>
      </c>
      <c r="AG92" s="44">
        <f t="shared" si="43"/>
        <v>9460.006091</v>
      </c>
      <c r="AH92" s="44">
        <f t="shared" si="43"/>
        <v>10973.60707</v>
      </c>
      <c r="AI92" s="7"/>
      <c r="AJ92" s="7"/>
      <c r="AK92" s="8"/>
      <c r="AL92" s="45"/>
    </row>
    <row r="93">
      <c r="A93" s="8"/>
      <c r="B93" s="83" t="s">
        <v>26</v>
      </c>
      <c r="C93" s="8"/>
      <c r="D93" s="91">
        <f t="shared" ref="D93:L93" si="44">D88-D89-D90-D91-D92</f>
        <v>74441</v>
      </c>
      <c r="E93" s="91">
        <f t="shared" si="44"/>
        <v>14293.7574</v>
      </c>
      <c r="F93" s="91">
        <f t="shared" si="44"/>
        <v>21749.95905</v>
      </c>
      <c r="G93" s="91">
        <f t="shared" si="44"/>
        <v>30246.49747</v>
      </c>
      <c r="H93" s="91">
        <f t="shared" si="44"/>
        <v>39741.31284</v>
      </c>
      <c r="I93" s="91">
        <f t="shared" si="44"/>
        <v>48179.18321</v>
      </c>
      <c r="J93" s="91">
        <f t="shared" si="44"/>
        <v>57818.97544</v>
      </c>
      <c r="K93" s="91">
        <f t="shared" si="44"/>
        <v>66143.05135</v>
      </c>
      <c r="L93" s="91">
        <f t="shared" si="44"/>
        <v>73354.48588</v>
      </c>
      <c r="M93" s="8"/>
      <c r="N93" s="8"/>
      <c r="O93" s="8"/>
      <c r="P93" s="8"/>
      <c r="Q93" s="8"/>
      <c r="R93" s="8"/>
      <c r="S93" s="8"/>
      <c r="T93" s="28"/>
      <c r="U93" s="8"/>
      <c r="V93" s="31"/>
      <c r="W93" s="31" t="s">
        <v>23</v>
      </c>
      <c r="X93" s="7"/>
      <c r="Y93" s="7"/>
      <c r="Z93" s="44">
        <f t="shared" si="45"/>
        <v>3946</v>
      </c>
      <c r="AA93" s="44">
        <f t="shared" ref="AA93:AH93" si="46">Z93*(1+Z71)</f>
        <v>4261.68</v>
      </c>
      <c r="AB93" s="44">
        <f t="shared" si="46"/>
        <v>4559.9976</v>
      </c>
      <c r="AC93" s="44">
        <f t="shared" si="46"/>
        <v>4787.99748</v>
      </c>
      <c r="AD93" s="44">
        <f t="shared" si="46"/>
        <v>4979.517379</v>
      </c>
      <c r="AE93" s="44">
        <f t="shared" si="46"/>
        <v>5128.902901</v>
      </c>
      <c r="AF93" s="44">
        <f t="shared" si="46"/>
        <v>5231.480959</v>
      </c>
      <c r="AG93" s="44">
        <f t="shared" si="46"/>
        <v>5336.110578</v>
      </c>
      <c r="AH93" s="44">
        <f t="shared" si="46"/>
        <v>5442.832789</v>
      </c>
      <c r="AI93" s="7"/>
      <c r="AJ93" s="7"/>
      <c r="AK93" s="8"/>
      <c r="AL93" s="45"/>
    </row>
    <row r="94">
      <c r="A94" s="8"/>
      <c r="B94" s="52" t="s">
        <v>60</v>
      </c>
      <c r="C94" s="8"/>
      <c r="D94" s="88">
        <f t="shared" ref="D94:L94" si="47">D93*0.21</f>
        <v>15632.61</v>
      </c>
      <c r="E94" s="88">
        <f t="shared" si="47"/>
        <v>3001.689054</v>
      </c>
      <c r="F94" s="88">
        <f t="shared" si="47"/>
        <v>4567.491401</v>
      </c>
      <c r="G94" s="88">
        <f t="shared" si="47"/>
        <v>6351.764468</v>
      </c>
      <c r="H94" s="88">
        <f t="shared" si="47"/>
        <v>8345.675696</v>
      </c>
      <c r="I94" s="88">
        <f t="shared" si="47"/>
        <v>10117.62847</v>
      </c>
      <c r="J94" s="88">
        <f t="shared" si="47"/>
        <v>12141.98484</v>
      </c>
      <c r="K94" s="88">
        <f t="shared" si="47"/>
        <v>13890.04078</v>
      </c>
      <c r="L94" s="88">
        <f t="shared" si="47"/>
        <v>15404.44203</v>
      </c>
      <c r="M94" s="8"/>
      <c r="N94" s="8"/>
      <c r="O94" s="8"/>
      <c r="P94" s="8"/>
      <c r="Q94" s="8"/>
      <c r="R94" s="8"/>
      <c r="S94" s="8"/>
      <c r="T94" s="28"/>
      <c r="U94" s="8"/>
      <c r="V94" s="31"/>
      <c r="W94" s="31" t="s">
        <v>25</v>
      </c>
      <c r="X94" s="7"/>
      <c r="Y94" s="7"/>
      <c r="Z94" s="46">
        <v>0.0</v>
      </c>
      <c r="AA94" s="44">
        <f t="shared" ref="AA94:AH94" si="48">AA90*Z72</f>
        <v>4965.92352</v>
      </c>
      <c r="AB94" s="44">
        <f t="shared" si="48"/>
        <v>5819.441625</v>
      </c>
      <c r="AC94" s="44">
        <f t="shared" si="48"/>
        <v>6207.4044</v>
      </c>
      <c r="AD94" s="44">
        <f t="shared" si="48"/>
        <v>6781.589307</v>
      </c>
      <c r="AE94" s="44">
        <f t="shared" si="48"/>
        <v>7058.206766</v>
      </c>
      <c r="AF94" s="44">
        <f t="shared" si="48"/>
        <v>6654.880665</v>
      </c>
      <c r="AG94" s="44">
        <f t="shared" si="48"/>
        <v>7187.271118</v>
      </c>
      <c r="AH94" s="44">
        <f t="shared" si="48"/>
        <v>7546.634674</v>
      </c>
      <c r="AI94" s="7"/>
      <c r="AJ94" s="7"/>
      <c r="AK94" s="8"/>
      <c r="AL94" s="33"/>
    </row>
    <row r="95">
      <c r="A95" s="8"/>
      <c r="B95" s="83" t="s">
        <v>29</v>
      </c>
      <c r="C95" s="8"/>
      <c r="D95" s="91">
        <f t="shared" ref="D95:L95" si="49">D93-D94</f>
        <v>58808.39</v>
      </c>
      <c r="E95" s="91">
        <f t="shared" si="49"/>
        <v>11292.06835</v>
      </c>
      <c r="F95" s="91">
        <f t="shared" si="49"/>
        <v>17182.46765</v>
      </c>
      <c r="G95" s="91">
        <f t="shared" si="49"/>
        <v>23894.733</v>
      </c>
      <c r="H95" s="91">
        <f t="shared" si="49"/>
        <v>31395.63714</v>
      </c>
      <c r="I95" s="91">
        <f t="shared" si="49"/>
        <v>38061.55473</v>
      </c>
      <c r="J95" s="91">
        <f t="shared" si="49"/>
        <v>45676.9906</v>
      </c>
      <c r="K95" s="91">
        <f t="shared" si="49"/>
        <v>52253.01057</v>
      </c>
      <c r="L95" s="91">
        <f t="shared" si="49"/>
        <v>57950.04384</v>
      </c>
      <c r="M95" s="8"/>
      <c r="N95" s="8"/>
      <c r="O95" s="8"/>
      <c r="P95" s="8"/>
      <c r="Q95" s="8"/>
      <c r="R95" s="8"/>
      <c r="S95" s="8"/>
      <c r="T95" s="28"/>
      <c r="U95" s="8"/>
      <c r="V95" s="31"/>
      <c r="W95" s="31" t="s">
        <v>27</v>
      </c>
      <c r="X95" s="7"/>
      <c r="Y95" s="7"/>
      <c r="Z95" s="46">
        <v>0.0</v>
      </c>
      <c r="AA95" s="44">
        <f t="shared" ref="AA95:AH95" si="50">AA94*Z73</f>
        <v>4221.034992</v>
      </c>
      <c r="AB95" s="44">
        <f t="shared" si="50"/>
        <v>4655.5533</v>
      </c>
      <c r="AC95" s="44">
        <f t="shared" si="50"/>
        <v>4655.5533</v>
      </c>
      <c r="AD95" s="44">
        <f t="shared" si="50"/>
        <v>4747.112515</v>
      </c>
      <c r="AE95" s="44">
        <f t="shared" si="50"/>
        <v>4940.744736</v>
      </c>
      <c r="AF95" s="44">
        <f t="shared" si="50"/>
        <v>4658.416465</v>
      </c>
      <c r="AG95" s="44">
        <f t="shared" si="50"/>
        <v>5031.089783</v>
      </c>
      <c r="AH95" s="44">
        <f t="shared" si="50"/>
        <v>5282.644272</v>
      </c>
      <c r="AI95" s="7"/>
      <c r="AJ95" s="7"/>
      <c r="AK95" s="8"/>
      <c r="AL95" s="45"/>
    </row>
    <row r="96">
      <c r="A96" s="8"/>
      <c r="B96" s="31" t="s">
        <v>25</v>
      </c>
      <c r="C96" s="8"/>
      <c r="D96" s="88">
        <f t="shared" ref="D96:L96" si="51">D92</f>
        <v>0</v>
      </c>
      <c r="E96" s="88">
        <f t="shared" si="51"/>
        <v>5278.7376</v>
      </c>
      <c r="F96" s="88">
        <f t="shared" si="51"/>
        <v>6433.46145</v>
      </c>
      <c r="G96" s="88">
        <f t="shared" si="51"/>
        <v>7319.849472</v>
      </c>
      <c r="H96" s="88">
        <f t="shared" si="51"/>
        <v>8692.321248</v>
      </c>
      <c r="I96" s="88">
        <f t="shared" si="51"/>
        <v>9367.119871</v>
      </c>
      <c r="J96" s="88">
        <f t="shared" si="51"/>
        <v>9233.303873</v>
      </c>
      <c r="K96" s="88">
        <f t="shared" si="51"/>
        <v>10433.63338</v>
      </c>
      <c r="L96" s="88">
        <f t="shared" si="51"/>
        <v>11476.99671</v>
      </c>
      <c r="M96" s="8"/>
      <c r="N96" s="52" t="s">
        <v>61</v>
      </c>
      <c r="O96" s="88">
        <f>M98/(0.12-0.04)</f>
        <v>798110.8571</v>
      </c>
      <c r="P96" s="8"/>
      <c r="Q96" s="8"/>
      <c r="R96" s="8"/>
      <c r="S96" s="8"/>
      <c r="T96" s="28"/>
      <c r="U96" s="8"/>
      <c r="V96" s="40"/>
      <c r="W96" s="40" t="s">
        <v>26</v>
      </c>
      <c r="X96" s="7"/>
      <c r="Y96" s="7"/>
      <c r="Z96" s="49">
        <f t="shared" ref="Z96:AH96" si="52">Z90-Z92-Z93-Z94-Z91</f>
        <v>74441</v>
      </c>
      <c r="AA96" s="49">
        <f t="shared" si="52"/>
        <v>12977.33148</v>
      </c>
      <c r="AB96" s="49">
        <f t="shared" si="52"/>
        <v>18816.30878</v>
      </c>
      <c r="AC96" s="49">
        <f t="shared" si="52"/>
        <v>24128.04957</v>
      </c>
      <c r="AD96" s="49">
        <f t="shared" si="52"/>
        <v>28578.61571</v>
      </c>
      <c r="AE96" s="49">
        <f t="shared" si="52"/>
        <v>33214.95788</v>
      </c>
      <c r="AF96" s="49">
        <f t="shared" si="52"/>
        <v>37634.09314</v>
      </c>
      <c r="AG96" s="49">
        <f t="shared" si="52"/>
        <v>40306.29523</v>
      </c>
      <c r="AH96" s="49">
        <f t="shared" si="52"/>
        <v>41441.09264</v>
      </c>
      <c r="AI96" s="7"/>
      <c r="AJ96" s="7"/>
      <c r="AK96" s="7"/>
      <c r="AL96" s="24"/>
    </row>
    <row r="97">
      <c r="A97" s="8"/>
      <c r="B97" s="31" t="s">
        <v>31</v>
      </c>
      <c r="C97" s="8"/>
      <c r="D97" s="88">
        <f t="shared" ref="D97:L97" si="53">D13*D92</f>
        <v>0</v>
      </c>
      <c r="E97" s="88">
        <f t="shared" si="53"/>
        <v>4486.92696</v>
      </c>
      <c r="F97" s="88">
        <f t="shared" si="53"/>
        <v>5146.76916</v>
      </c>
      <c r="G97" s="88">
        <f t="shared" si="53"/>
        <v>5489.887104</v>
      </c>
      <c r="H97" s="88">
        <f t="shared" si="53"/>
        <v>6084.624874</v>
      </c>
      <c r="I97" s="88">
        <f t="shared" si="53"/>
        <v>6556.98391</v>
      </c>
      <c r="J97" s="88">
        <f t="shared" si="53"/>
        <v>6463.312711</v>
      </c>
      <c r="K97" s="88">
        <f t="shared" si="53"/>
        <v>7303.543364</v>
      </c>
      <c r="L97" s="88">
        <f t="shared" si="53"/>
        <v>8033.8977</v>
      </c>
      <c r="M97" s="8"/>
      <c r="N97" s="8"/>
      <c r="O97" s="88">
        <f>O96+L98</f>
        <v>859504</v>
      </c>
      <c r="P97" s="8"/>
      <c r="Q97" s="8"/>
      <c r="R97" s="8"/>
      <c r="S97" s="8"/>
      <c r="T97" s="28"/>
      <c r="U97" s="8"/>
      <c r="V97" s="52"/>
      <c r="W97" s="52" t="s">
        <v>28</v>
      </c>
      <c r="X97" s="7"/>
      <c r="Y97" s="7"/>
      <c r="Z97" s="44">
        <f t="shared" ref="Z97:AH97" si="54">Z96*$D$22</f>
        <v>15632.61</v>
      </c>
      <c r="AA97" s="44">
        <f t="shared" si="54"/>
        <v>2725.239611</v>
      </c>
      <c r="AB97" s="44">
        <f t="shared" si="54"/>
        <v>3951.424843</v>
      </c>
      <c r="AC97" s="44">
        <f t="shared" si="54"/>
        <v>5066.89041</v>
      </c>
      <c r="AD97" s="44">
        <f t="shared" si="54"/>
        <v>6001.509299</v>
      </c>
      <c r="AE97" s="44">
        <f t="shared" si="54"/>
        <v>6975.141154</v>
      </c>
      <c r="AF97" s="44">
        <f t="shared" si="54"/>
        <v>7903.159559</v>
      </c>
      <c r="AG97" s="44">
        <f t="shared" si="54"/>
        <v>8464.321999</v>
      </c>
      <c r="AH97" s="44">
        <f t="shared" si="54"/>
        <v>8702.629455</v>
      </c>
      <c r="AI97" s="7"/>
      <c r="AJ97" s="7"/>
      <c r="AK97" s="7"/>
      <c r="AL97" s="24"/>
    </row>
    <row r="98">
      <c r="A98" s="8"/>
      <c r="B98" s="83" t="s">
        <v>63</v>
      </c>
      <c r="C98" s="8"/>
      <c r="D98" s="92">
        <f t="shared" ref="D98:L98" si="55">D95+D96-D97</f>
        <v>58808.39</v>
      </c>
      <c r="E98" s="92">
        <f t="shared" si="55"/>
        <v>12083.87899</v>
      </c>
      <c r="F98" s="92">
        <f t="shared" si="55"/>
        <v>18469.15994</v>
      </c>
      <c r="G98" s="92">
        <f t="shared" si="55"/>
        <v>25724.69537</v>
      </c>
      <c r="H98" s="92">
        <f t="shared" si="55"/>
        <v>34003.33352</v>
      </c>
      <c r="I98" s="92">
        <f t="shared" si="55"/>
        <v>40871.6907</v>
      </c>
      <c r="J98" s="92">
        <f t="shared" si="55"/>
        <v>48446.98176</v>
      </c>
      <c r="K98" s="92">
        <f t="shared" si="55"/>
        <v>55383.10058</v>
      </c>
      <c r="L98" s="92">
        <f t="shared" si="55"/>
        <v>61393.14286</v>
      </c>
      <c r="M98" s="88">
        <f>L98*1.04</f>
        <v>63848.86857</v>
      </c>
      <c r="N98" s="8"/>
      <c r="O98" s="8"/>
      <c r="P98" s="8"/>
      <c r="Q98" s="8"/>
      <c r="R98" s="8"/>
      <c r="S98" s="8"/>
      <c r="T98" s="28"/>
      <c r="U98" s="8"/>
      <c r="V98" s="40"/>
      <c r="W98" s="53" t="s">
        <v>30</v>
      </c>
      <c r="X98" s="7"/>
      <c r="Y98" s="7"/>
      <c r="Z98" s="49">
        <f t="shared" ref="Z98:AH98" si="56">Z96+Z94-Z97</f>
        <v>58808.39</v>
      </c>
      <c r="AA98" s="49">
        <f t="shared" si="56"/>
        <v>15218.01539</v>
      </c>
      <c r="AB98" s="49">
        <f t="shared" si="56"/>
        <v>20684.32556</v>
      </c>
      <c r="AC98" s="49">
        <f t="shared" si="56"/>
        <v>25268.56356</v>
      </c>
      <c r="AD98" s="49">
        <f t="shared" si="56"/>
        <v>29358.69572</v>
      </c>
      <c r="AE98" s="49">
        <f t="shared" si="56"/>
        <v>33298.02349</v>
      </c>
      <c r="AF98" s="49">
        <f t="shared" si="56"/>
        <v>36385.81424</v>
      </c>
      <c r="AG98" s="49">
        <f t="shared" si="56"/>
        <v>39029.24435</v>
      </c>
      <c r="AH98" s="49">
        <f t="shared" si="56"/>
        <v>40285.09786</v>
      </c>
      <c r="AI98" s="7"/>
      <c r="AJ98" s="7"/>
      <c r="AK98" s="7"/>
      <c r="AL98" s="24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52"/>
      <c r="L99" s="8"/>
      <c r="M99" s="8"/>
      <c r="N99" s="8"/>
      <c r="O99" s="8"/>
      <c r="P99" s="8"/>
      <c r="Q99" s="8"/>
      <c r="R99" s="8"/>
      <c r="S99" s="8"/>
      <c r="T99" s="28"/>
      <c r="U99" s="8"/>
      <c r="V99" s="31"/>
      <c r="W99" s="31" t="s">
        <v>31</v>
      </c>
      <c r="X99" s="7"/>
      <c r="Y99" s="7"/>
      <c r="Z99" s="44"/>
      <c r="AA99" s="44">
        <f t="shared" ref="AA99:AH99" si="57">-AA95</f>
        <v>-4221.034992</v>
      </c>
      <c r="AB99" s="44">
        <f t="shared" si="57"/>
        <v>-4655.5533</v>
      </c>
      <c r="AC99" s="44">
        <f t="shared" si="57"/>
        <v>-4655.5533</v>
      </c>
      <c r="AD99" s="44">
        <f t="shared" si="57"/>
        <v>-4747.112515</v>
      </c>
      <c r="AE99" s="44">
        <f t="shared" si="57"/>
        <v>-4940.744736</v>
      </c>
      <c r="AF99" s="44">
        <f t="shared" si="57"/>
        <v>-4658.416465</v>
      </c>
      <c r="AG99" s="44">
        <f t="shared" si="57"/>
        <v>-5031.089783</v>
      </c>
      <c r="AH99" s="44">
        <f t="shared" si="57"/>
        <v>-5282.644272</v>
      </c>
      <c r="AI99" s="7"/>
      <c r="AJ99" s="7"/>
      <c r="AK99" s="7"/>
      <c r="AL99" s="24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52" t="s">
        <v>61</v>
      </c>
      <c r="L100" s="88">
        <f t="shared" ref="L100:L101" si="58">O96</f>
        <v>798110.8571</v>
      </c>
      <c r="M100" s="8"/>
      <c r="N100" s="8"/>
      <c r="O100" s="8"/>
      <c r="P100" s="8"/>
      <c r="Q100" s="8"/>
      <c r="R100" s="8"/>
      <c r="S100" s="8"/>
      <c r="T100" s="28"/>
      <c r="U100" s="8"/>
      <c r="V100" s="31"/>
      <c r="W100" s="95" t="s">
        <v>25</v>
      </c>
      <c r="X100" s="96"/>
      <c r="Y100" s="96"/>
      <c r="Z100" s="97"/>
      <c r="AA100" s="98">
        <v>4965.92352</v>
      </c>
      <c r="AB100" s="98">
        <v>5819.4416249999995</v>
      </c>
      <c r="AC100" s="98">
        <v>6207.404399999999</v>
      </c>
      <c r="AD100" s="98">
        <v>6781.589306999999</v>
      </c>
      <c r="AE100" s="98">
        <v>7058.206765575</v>
      </c>
      <c r="AF100" s="98">
        <v>6654.880664684999</v>
      </c>
      <c r="AG100" s="98">
        <v>7187.271117859799</v>
      </c>
      <c r="AH100" s="98">
        <v>7546.63467375279</v>
      </c>
      <c r="AI100" s="96"/>
      <c r="AJ100" s="7"/>
      <c r="AK100" s="7"/>
      <c r="AL100" s="24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8">
        <f t="shared" si="58"/>
        <v>859504</v>
      </c>
      <c r="M101" s="8"/>
      <c r="N101" s="52" t="s">
        <v>64</v>
      </c>
      <c r="O101" s="93">
        <f t="array" ref="O101">NPV(0.12,E98:K98,L101)</f>
        <v>485360.9378</v>
      </c>
      <c r="P101" s="8"/>
      <c r="Q101" s="8"/>
      <c r="R101" s="8"/>
      <c r="S101" s="8"/>
      <c r="T101" s="28"/>
      <c r="U101" s="8"/>
      <c r="V101" s="31"/>
      <c r="W101" s="40" t="s">
        <v>32</v>
      </c>
      <c r="X101" s="7"/>
      <c r="Y101" s="7"/>
      <c r="Z101" s="57">
        <f>Z98</f>
        <v>58808.39</v>
      </c>
      <c r="AA101" s="57">
        <f t="shared" ref="AA101:AH101" si="59">AA98+AA99</f>
        <v>10996.9804</v>
      </c>
      <c r="AB101" s="57">
        <f t="shared" si="59"/>
        <v>16028.77226</v>
      </c>
      <c r="AC101" s="57">
        <f t="shared" si="59"/>
        <v>20613.01026</v>
      </c>
      <c r="AD101" s="57">
        <f t="shared" si="59"/>
        <v>24611.5832</v>
      </c>
      <c r="AE101" s="57">
        <f t="shared" si="59"/>
        <v>28357.27875</v>
      </c>
      <c r="AF101" s="57">
        <f t="shared" si="59"/>
        <v>31727.39778</v>
      </c>
      <c r="AG101" s="57">
        <f t="shared" si="59"/>
        <v>33998.15457</v>
      </c>
      <c r="AH101" s="57">
        <f t="shared" si="59"/>
        <v>35002.45359</v>
      </c>
      <c r="AI101" s="57">
        <f>AH101*1.04</f>
        <v>36402.55173</v>
      </c>
      <c r="AJ101" s="7"/>
      <c r="AK101" s="7"/>
      <c r="AL101" s="24"/>
    </row>
    <row r="102">
      <c r="A102" s="96"/>
      <c r="B102" s="95" t="s">
        <v>65</v>
      </c>
      <c r="C102" s="99">
        <f>O101</f>
        <v>485360.9378</v>
      </c>
      <c r="D102" s="96"/>
      <c r="E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100"/>
      <c r="T102" s="96"/>
      <c r="U102" s="96"/>
      <c r="V102" s="10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  <c r="AH102" s="61"/>
      <c r="AI102" s="61"/>
      <c r="AJ102" s="96"/>
      <c r="AK102" s="96"/>
      <c r="AL102" s="100"/>
    </row>
    <row r="103">
      <c r="A103" s="8"/>
      <c r="B103" s="31" t="s">
        <v>48</v>
      </c>
      <c r="C103" s="46">
        <v>22185.0</v>
      </c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28"/>
      <c r="U103" s="8"/>
      <c r="V103" s="1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  <c r="AH103" s="61"/>
      <c r="AI103" s="61"/>
      <c r="AJ103" s="7"/>
      <c r="AK103" s="7"/>
      <c r="AL103" s="24"/>
    </row>
    <row r="104">
      <c r="A104" s="8"/>
      <c r="B104" s="31" t="s">
        <v>49</v>
      </c>
      <c r="C104" s="90">
        <v>3099.0</v>
      </c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28"/>
      <c r="U104" s="8"/>
      <c r="V104" s="1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  <c r="AH104" s="61"/>
      <c r="AI104" s="61"/>
      <c r="AJ104" s="7"/>
      <c r="AK104" s="7"/>
      <c r="AL104" s="24"/>
    </row>
    <row r="105">
      <c r="A105" s="8"/>
      <c r="B105" s="52" t="s">
        <v>50</v>
      </c>
      <c r="C105" s="94">
        <f>C102+C103-C104</f>
        <v>504446.9378</v>
      </c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28"/>
      <c r="U105" s="8"/>
      <c r="V105" s="10"/>
      <c r="W105" s="31" t="s">
        <v>39</v>
      </c>
      <c r="X105" s="7"/>
      <c r="Y105" s="7"/>
      <c r="Z105" s="44"/>
      <c r="AA105" s="44"/>
      <c r="AB105" s="44"/>
      <c r="AC105" s="44"/>
      <c r="AD105" s="44"/>
      <c r="AE105" s="44"/>
      <c r="AF105" s="44"/>
      <c r="AG105" s="44"/>
      <c r="AH105" s="41">
        <f>AH101*(1.04)/(0.12-0.04)</f>
        <v>455031.8967</v>
      </c>
      <c r="AI105" s="40" t="s">
        <v>33</v>
      </c>
      <c r="AJ105" s="8"/>
      <c r="AK105" s="44">
        <f>AI101/(0.12-0.04)</f>
        <v>455031.8967</v>
      </c>
      <c r="AL105" s="24"/>
    </row>
    <row r="106">
      <c r="A106" s="8"/>
      <c r="B106" s="52" t="s">
        <v>51</v>
      </c>
      <c r="C106" s="52">
        <v>3518.0</v>
      </c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28"/>
      <c r="U106" s="8"/>
      <c r="V106" s="13"/>
      <c r="W106" s="8"/>
      <c r="X106" s="60"/>
      <c r="Y106" s="8"/>
      <c r="Z106" s="8"/>
      <c r="AA106" s="7"/>
      <c r="AB106" s="7"/>
      <c r="AC106" s="7"/>
      <c r="AD106" s="7"/>
      <c r="AE106" s="7"/>
      <c r="AF106" s="7"/>
      <c r="AG106" s="7"/>
      <c r="AH106" s="7"/>
      <c r="AI106" s="41">
        <f>AH105+AH101</f>
        <v>490034.3503</v>
      </c>
      <c r="AJ106" s="7"/>
      <c r="AK106" s="7"/>
      <c r="AL106" s="24"/>
    </row>
    <row r="107">
      <c r="A107" s="8"/>
      <c r="B107" s="52" t="s">
        <v>52</v>
      </c>
      <c r="C107" s="81">
        <f>C105/C106</f>
        <v>143.3902609</v>
      </c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28"/>
      <c r="U107" s="8"/>
      <c r="V107" s="11"/>
      <c r="W107" s="40" t="s">
        <v>41</v>
      </c>
      <c r="X107" s="7"/>
      <c r="Y107" s="7"/>
      <c r="Z107" s="64">
        <f t="array" ref="Z107">npv(0.12,AA101:AG101,AI106)</f>
        <v>298370.2736</v>
      </c>
      <c r="AA107" s="63"/>
      <c r="AB107" s="7"/>
      <c r="AC107" s="7"/>
      <c r="AD107" s="7"/>
      <c r="AE107" s="7"/>
      <c r="AF107" s="7"/>
      <c r="AG107" s="7"/>
      <c r="AH107" s="7"/>
      <c r="AI107" s="7"/>
      <c r="AJ107" s="40" t="s">
        <v>37</v>
      </c>
      <c r="AK107" s="7"/>
      <c r="AL107" s="24"/>
    </row>
    <row r="108">
      <c r="A108" s="8"/>
      <c r="B108" s="83" t="s">
        <v>54</v>
      </c>
      <c r="C108" s="88">
        <f>C83</f>
        <v>175</v>
      </c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28"/>
      <c r="U108" s="8"/>
      <c r="V108" s="13"/>
      <c r="W108" s="7"/>
      <c r="X108" s="13"/>
      <c r="Y108" s="13"/>
      <c r="Z108" s="13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24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28"/>
      <c r="U109" s="8"/>
      <c r="V109" s="11"/>
      <c r="W109" s="65" t="s">
        <v>44</v>
      </c>
      <c r="X109" s="13"/>
      <c r="Y109" s="13"/>
      <c r="Z109" s="67">
        <f>pv(Y83,AA89-2023,0,-Z101)</f>
        <v>52507.49107</v>
      </c>
      <c r="AA109" s="67">
        <f>pv($D$20,1,0,-AA101)</f>
        <v>9818.732497</v>
      </c>
      <c r="AB109" s="67">
        <f>pv($D$20,2,0,-AB101)</f>
        <v>12778.03911</v>
      </c>
      <c r="AC109" s="67">
        <f>pv($D$20, 3,0,-AC101)</f>
        <v>14671.93355</v>
      </c>
      <c r="AD109" s="67">
        <f>pv($D$20,2027-2023,0,-AD101)</f>
        <v>15641.10606</v>
      </c>
      <c r="AE109" s="67">
        <f>pv(Y83,2028-2023,0,-AE101)</f>
        <v>16090.68152</v>
      </c>
      <c r="AF109" s="67">
        <f>pv(Y83,6,0,-AF101)</f>
        <v>16074.08711</v>
      </c>
      <c r="AG109" s="67">
        <f>pv(Y83,2030-2023,0,-AG101)</f>
        <v>15379.03854</v>
      </c>
      <c r="AH109" s="67">
        <f>pv($D$20,2031-2023,0,-AH101)</f>
        <v>14136.90394</v>
      </c>
      <c r="AI109" s="68">
        <f>pv(Y83,8,0,-AI106)</f>
        <v>197916.6552</v>
      </c>
      <c r="AJ109" s="7"/>
      <c r="AK109" s="7"/>
      <c r="AL109" s="24"/>
    </row>
    <row r="110">
      <c r="A110" s="61"/>
      <c r="B110" s="61"/>
      <c r="C110" s="8"/>
      <c r="D110" s="8"/>
      <c r="E110" s="69"/>
      <c r="F110" s="69"/>
      <c r="G110" s="69"/>
      <c r="H110" s="69"/>
      <c r="I110" s="69"/>
      <c r="J110" s="69"/>
      <c r="K110" s="69"/>
      <c r="L110" s="69"/>
      <c r="M110" s="10"/>
      <c r="N110" s="8"/>
      <c r="O110" s="8"/>
      <c r="P110" s="8"/>
      <c r="Q110" s="8"/>
      <c r="R110" s="8"/>
      <c r="S110" s="8"/>
      <c r="T110" s="28"/>
      <c r="U110" s="8"/>
      <c r="V110" s="13"/>
      <c r="W110" s="11" t="s">
        <v>45</v>
      </c>
      <c r="X110" s="62">
        <f>sum(AA109:AG109,AI109)</f>
        <v>298370.2736</v>
      </c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7"/>
      <c r="AJ110" s="7"/>
      <c r="AK110" s="7"/>
      <c r="AL110" s="24"/>
    </row>
    <row r="111">
      <c r="A111" s="10"/>
      <c r="B111" s="101"/>
      <c r="C111" s="8"/>
      <c r="D111" s="8"/>
      <c r="E111" s="10"/>
      <c r="F111" s="10"/>
      <c r="G111" s="10"/>
      <c r="H111" s="10"/>
      <c r="I111" s="10"/>
      <c r="J111" s="10"/>
      <c r="K111" s="10"/>
      <c r="L111" s="10"/>
      <c r="M111" s="10"/>
      <c r="N111" s="8"/>
      <c r="O111" s="8"/>
      <c r="P111" s="8"/>
      <c r="Q111" s="8"/>
      <c r="R111" s="8"/>
      <c r="S111" s="8"/>
      <c r="T111" s="28"/>
      <c r="U111" s="8"/>
      <c r="V111" s="13"/>
      <c r="W111" s="7"/>
      <c r="X111" s="13"/>
      <c r="Y111" s="13"/>
      <c r="Z111" s="13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24"/>
    </row>
    <row r="112">
      <c r="A112" s="10"/>
      <c r="B112" s="102" t="s">
        <v>67</v>
      </c>
      <c r="C112" s="8"/>
      <c r="D112" s="8"/>
      <c r="E112" s="10"/>
      <c r="F112" s="10"/>
      <c r="G112" s="10"/>
      <c r="H112" s="10"/>
      <c r="I112" s="10"/>
      <c r="J112" s="10"/>
      <c r="K112" s="10"/>
      <c r="L112" s="10"/>
      <c r="M112" s="10"/>
      <c r="N112" s="8"/>
      <c r="O112" s="8"/>
      <c r="P112" s="8"/>
      <c r="Q112" s="8"/>
      <c r="R112" s="8"/>
      <c r="S112" s="8"/>
      <c r="T112" s="28"/>
      <c r="U112" s="8"/>
      <c r="V112" s="13"/>
      <c r="W112" s="69" t="s">
        <v>46</v>
      </c>
      <c r="X112" s="10"/>
      <c r="Y112" s="10"/>
      <c r="Z112" s="67">
        <f>Y116+Y115-Y114</f>
        <v>298370.2736</v>
      </c>
      <c r="AA112" s="13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24"/>
    </row>
    <row r="113">
      <c r="A113" s="10"/>
      <c r="B113" s="101"/>
      <c r="C113" s="10"/>
      <c r="D113" s="75"/>
      <c r="E113" s="10"/>
      <c r="F113" s="10"/>
      <c r="G113" s="10"/>
      <c r="H113" s="10"/>
      <c r="I113" s="10"/>
      <c r="J113" s="10"/>
      <c r="K113" s="10"/>
      <c r="L113" s="10"/>
      <c r="M113" s="10"/>
      <c r="N113" s="8"/>
      <c r="O113" s="8"/>
      <c r="P113" s="8"/>
      <c r="Q113" s="8"/>
      <c r="R113" s="8"/>
      <c r="S113" s="8"/>
      <c r="T113" s="28"/>
      <c r="U113" s="8"/>
      <c r="V113" s="13"/>
      <c r="W113" s="8"/>
      <c r="X113" s="10"/>
      <c r="Y113" s="10"/>
      <c r="Z113" s="13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24"/>
    </row>
    <row r="114">
      <c r="A114" s="10"/>
      <c r="B114" s="101"/>
      <c r="C114" s="10"/>
      <c r="D114" s="75"/>
      <c r="E114" s="10"/>
      <c r="F114" s="10"/>
      <c r="G114" s="10"/>
      <c r="H114" s="10"/>
      <c r="I114" s="10"/>
      <c r="J114" s="10"/>
      <c r="K114" s="10"/>
      <c r="L114" s="10"/>
      <c r="M114" s="10"/>
      <c r="N114" s="8"/>
      <c r="O114" s="8"/>
      <c r="P114" s="8"/>
      <c r="Q114" s="8"/>
      <c r="R114" s="8"/>
      <c r="S114" s="8"/>
      <c r="T114" s="28"/>
      <c r="U114" s="8"/>
      <c r="V114" s="69"/>
      <c r="W114" s="31" t="s">
        <v>48</v>
      </c>
      <c r="X114" s="13"/>
      <c r="Y114" s="74">
        <v>22185.0</v>
      </c>
      <c r="Z114" s="75"/>
      <c r="AA114" s="8"/>
      <c r="AB114" s="8"/>
      <c r="AC114" s="8"/>
      <c r="AD114" s="8"/>
      <c r="AE114" s="8"/>
      <c r="AF114" s="8"/>
      <c r="AG114" s="8"/>
      <c r="AH114" s="8"/>
      <c r="AI114" s="8"/>
      <c r="AJ114" s="7"/>
      <c r="AK114" s="7"/>
      <c r="AL114" s="24"/>
    </row>
    <row r="115">
      <c r="A115" s="103" t="s">
        <v>68</v>
      </c>
      <c r="B115" s="16" t="s">
        <v>0</v>
      </c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8"/>
      <c r="O115" s="18"/>
      <c r="P115" s="15"/>
      <c r="Q115" s="104"/>
      <c r="R115" s="8"/>
      <c r="S115" s="8"/>
      <c r="T115" s="28"/>
      <c r="U115" s="8"/>
      <c r="V115" s="8"/>
      <c r="W115" s="31" t="s">
        <v>49</v>
      </c>
      <c r="X115" s="13"/>
      <c r="Y115" s="76">
        <v>3099.0</v>
      </c>
      <c r="Z115" s="75"/>
      <c r="AA115" s="8"/>
      <c r="AB115" s="8"/>
      <c r="AC115" s="8"/>
      <c r="AD115" s="8"/>
      <c r="AE115" s="8"/>
      <c r="AF115" s="8"/>
      <c r="AG115" s="8"/>
      <c r="AH115" s="8"/>
      <c r="AI115" s="8"/>
      <c r="AJ115" s="7"/>
      <c r="AK115" s="7"/>
      <c r="AL115" s="24"/>
    </row>
    <row r="116">
      <c r="A116" s="105"/>
      <c r="B116" s="20" t="s">
        <v>2</v>
      </c>
      <c r="D116" s="21"/>
      <c r="E116" s="22">
        <v>2024.0</v>
      </c>
      <c r="F116" s="22">
        <v>2025.0</v>
      </c>
      <c r="G116" s="22">
        <v>2026.0</v>
      </c>
      <c r="H116" s="22">
        <v>2027.0</v>
      </c>
      <c r="I116" s="22">
        <v>2028.0</v>
      </c>
      <c r="J116" s="22">
        <v>2029.0</v>
      </c>
      <c r="K116" s="22">
        <v>2030.0</v>
      </c>
      <c r="L116" s="22">
        <v>2031.0</v>
      </c>
      <c r="M116" s="21"/>
      <c r="N116" s="7"/>
      <c r="O116" s="7"/>
      <c r="P116" s="8"/>
      <c r="Q116" s="33"/>
      <c r="R116" s="8"/>
      <c r="S116" s="8"/>
      <c r="T116" s="28"/>
      <c r="U116" s="8"/>
      <c r="V116" s="79" t="s">
        <v>59</v>
      </c>
      <c r="W116" s="52" t="s">
        <v>50</v>
      </c>
      <c r="X116" s="10"/>
      <c r="Y116" s="77">
        <f>X110+Y114-Y115</f>
        <v>317456.2736</v>
      </c>
      <c r="Z116" s="75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7"/>
      <c r="AL116" s="24"/>
    </row>
    <row r="117">
      <c r="A117" s="105"/>
      <c r="B117" s="25" t="s">
        <v>3</v>
      </c>
      <c r="C117" s="21"/>
      <c r="D117" s="21"/>
      <c r="E117" s="26">
        <v>0.35</v>
      </c>
      <c r="F117" s="26">
        <v>0.3</v>
      </c>
      <c r="G117" s="26">
        <v>0.28</v>
      </c>
      <c r="H117" s="26">
        <v>0.25</v>
      </c>
      <c r="I117" s="26">
        <v>0.17</v>
      </c>
      <c r="J117" s="26">
        <v>0.15</v>
      </c>
      <c r="K117" s="26">
        <v>0.13</v>
      </c>
      <c r="L117" s="26">
        <v>0.1</v>
      </c>
      <c r="M117" s="21"/>
      <c r="N117" s="7"/>
      <c r="O117" s="7"/>
      <c r="P117" s="8"/>
      <c r="Q117" s="33"/>
      <c r="R117" s="8"/>
      <c r="S117" s="8"/>
      <c r="T117" s="28"/>
      <c r="U117" s="8"/>
      <c r="V117" s="8"/>
      <c r="W117" s="52" t="s">
        <v>51</v>
      </c>
      <c r="X117" s="10"/>
      <c r="Y117" s="75">
        <v>3518.0</v>
      </c>
      <c r="Z117" s="75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7"/>
      <c r="AL117" s="24"/>
    </row>
    <row r="118">
      <c r="A118" s="105"/>
      <c r="B118" s="25" t="s">
        <v>5</v>
      </c>
      <c r="C118" s="21"/>
      <c r="D118" s="21"/>
      <c r="E118" s="26">
        <v>0.2</v>
      </c>
      <c r="F118" s="26">
        <v>0.18</v>
      </c>
      <c r="G118" s="26">
        <v>0.15</v>
      </c>
      <c r="H118" s="26">
        <v>0.11</v>
      </c>
      <c r="I118" s="26">
        <v>0.08</v>
      </c>
      <c r="J118" s="26">
        <v>0.05</v>
      </c>
      <c r="K118" s="26">
        <v>0.03</v>
      </c>
      <c r="L118" s="26">
        <v>0.03</v>
      </c>
      <c r="M118" s="21"/>
      <c r="N118" s="7"/>
      <c r="O118" s="7"/>
      <c r="P118" s="8"/>
      <c r="Q118" s="33"/>
      <c r="R118" s="8"/>
      <c r="S118" s="8"/>
      <c r="T118" s="28"/>
      <c r="U118" s="8"/>
      <c r="V118" s="79" t="s">
        <v>59</v>
      </c>
      <c r="W118" s="52" t="s">
        <v>52</v>
      </c>
      <c r="X118" s="10"/>
      <c r="Y118" s="81">
        <f>Y116/Y117</f>
        <v>90.23771279</v>
      </c>
      <c r="Z118" s="10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33"/>
    </row>
    <row r="119">
      <c r="A119" s="106"/>
      <c r="B119" s="58" t="s">
        <v>69</v>
      </c>
      <c r="C119" s="21"/>
      <c r="D119" s="21"/>
      <c r="E119" s="107">
        <v>0.31</v>
      </c>
      <c r="F119" s="107">
        <v>0.299</v>
      </c>
      <c r="G119" s="108">
        <v>0.282</v>
      </c>
      <c r="H119" s="107">
        <v>0.26</v>
      </c>
      <c r="I119" s="107">
        <v>0.2395</v>
      </c>
      <c r="J119" s="107">
        <v>0.22</v>
      </c>
      <c r="K119" s="107">
        <v>0.2</v>
      </c>
      <c r="L119" s="107">
        <v>0.18</v>
      </c>
      <c r="M119" s="21"/>
      <c r="N119" s="7"/>
      <c r="O119" s="7"/>
      <c r="P119" s="8"/>
      <c r="Q119" s="33"/>
      <c r="R119" s="8"/>
      <c r="S119" s="8"/>
      <c r="T119" s="28"/>
      <c r="U119" s="8"/>
      <c r="V119" s="8"/>
      <c r="W119" s="52" t="s">
        <v>54</v>
      </c>
      <c r="X119" s="10"/>
      <c r="Y119" s="76">
        <v>175.0</v>
      </c>
      <c r="Z119" s="10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33"/>
    </row>
    <row r="120">
      <c r="A120" s="109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7"/>
      <c r="O120" s="7"/>
      <c r="P120" s="8"/>
      <c r="Q120" s="33"/>
      <c r="R120" s="8"/>
      <c r="S120" s="8"/>
      <c r="T120" s="28"/>
      <c r="U120" s="8"/>
      <c r="V120" s="8"/>
      <c r="W120" s="8"/>
      <c r="X120" s="10"/>
      <c r="Y120" s="10"/>
      <c r="Z120" s="10"/>
      <c r="AA120" s="52" t="s">
        <v>53</v>
      </c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33"/>
    </row>
    <row r="121">
      <c r="A121" s="105"/>
      <c r="B121" s="25" t="s">
        <v>7</v>
      </c>
      <c r="C121" s="21"/>
      <c r="D121" s="21"/>
      <c r="E121" s="29">
        <v>0.75</v>
      </c>
      <c r="F121" s="29">
        <v>0.74</v>
      </c>
      <c r="G121" s="29">
        <v>0.74</v>
      </c>
      <c r="H121" s="29">
        <v>0.74</v>
      </c>
      <c r="I121" s="29">
        <v>0.74</v>
      </c>
      <c r="J121" s="29">
        <v>0.74</v>
      </c>
      <c r="K121" s="29">
        <v>0.74</v>
      </c>
      <c r="L121" s="29">
        <v>0.74</v>
      </c>
      <c r="M121" s="21"/>
      <c r="N121" s="7"/>
      <c r="O121" s="7"/>
      <c r="P121" s="8"/>
      <c r="Q121" s="33"/>
      <c r="R121" s="8"/>
      <c r="S121" s="8"/>
      <c r="T121" s="2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33"/>
    </row>
    <row r="122">
      <c r="A122" s="105"/>
      <c r="B122" s="25" t="s">
        <v>8</v>
      </c>
      <c r="C122" s="21"/>
      <c r="D122" s="21"/>
      <c r="E122" s="29">
        <v>0.19</v>
      </c>
      <c r="F122" s="29">
        <v>0.21</v>
      </c>
      <c r="G122" s="29">
        <v>0.18</v>
      </c>
      <c r="H122" s="29">
        <v>0.16</v>
      </c>
      <c r="I122" s="29">
        <v>0.14</v>
      </c>
      <c r="J122" s="29">
        <v>0.12</v>
      </c>
      <c r="K122" s="29">
        <v>0.1</v>
      </c>
      <c r="L122" s="29">
        <v>0.08</v>
      </c>
      <c r="M122" s="21"/>
      <c r="N122" s="7"/>
      <c r="O122" s="7"/>
      <c r="P122" s="8"/>
      <c r="Q122" s="33"/>
      <c r="R122" s="8"/>
      <c r="S122" s="8"/>
      <c r="T122" s="2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33"/>
    </row>
    <row r="123">
      <c r="A123" s="105"/>
      <c r="B123" s="25" t="s">
        <v>9</v>
      </c>
      <c r="C123" s="21"/>
      <c r="D123" s="21"/>
      <c r="E123" s="29">
        <v>0.08</v>
      </c>
      <c r="F123" s="29">
        <v>0.07</v>
      </c>
      <c r="G123" s="29">
        <v>0.05</v>
      </c>
      <c r="H123" s="29">
        <v>0.04</v>
      </c>
      <c r="I123" s="29">
        <v>0.03</v>
      </c>
      <c r="J123" s="29">
        <v>0.02</v>
      </c>
      <c r="K123" s="29">
        <v>0.02</v>
      </c>
      <c r="L123" s="29">
        <v>0.02</v>
      </c>
      <c r="M123" s="21"/>
      <c r="N123" s="7"/>
      <c r="O123" s="7"/>
      <c r="P123" s="8"/>
      <c r="Q123" s="33"/>
      <c r="R123" s="8"/>
      <c r="S123" s="8"/>
      <c r="T123" s="2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33"/>
    </row>
    <row r="124">
      <c r="A124" s="105"/>
      <c r="B124" s="25" t="s">
        <v>10</v>
      </c>
      <c r="C124" s="21"/>
      <c r="D124" s="21"/>
      <c r="E124" s="29">
        <v>0.048</v>
      </c>
      <c r="F124" s="29">
        <v>0.045</v>
      </c>
      <c r="G124" s="29">
        <v>0.04</v>
      </c>
      <c r="H124" s="29">
        <v>0.038</v>
      </c>
      <c r="I124" s="29">
        <v>0.035</v>
      </c>
      <c r="J124" s="29">
        <v>0.03</v>
      </c>
      <c r="K124" s="29">
        <v>0.03</v>
      </c>
      <c r="L124" s="29">
        <v>0.03</v>
      </c>
      <c r="M124" s="21"/>
      <c r="N124" s="7"/>
      <c r="O124" s="7"/>
      <c r="P124" s="8"/>
      <c r="Q124" s="33"/>
      <c r="R124" s="8"/>
      <c r="S124" s="8"/>
      <c r="T124" s="2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33"/>
    </row>
    <row r="125">
      <c r="A125" s="105"/>
      <c r="B125" s="25" t="s">
        <v>11</v>
      </c>
      <c r="C125" s="21"/>
      <c r="D125" s="21"/>
      <c r="E125" s="29">
        <v>0.85</v>
      </c>
      <c r="F125" s="29">
        <v>0.8</v>
      </c>
      <c r="G125" s="29">
        <v>0.75</v>
      </c>
      <c r="H125" s="29">
        <v>0.7</v>
      </c>
      <c r="I125" s="29">
        <v>0.7</v>
      </c>
      <c r="J125" s="29">
        <v>0.7</v>
      </c>
      <c r="K125" s="29">
        <v>0.7</v>
      </c>
      <c r="L125" s="29">
        <v>0.7</v>
      </c>
      <c r="M125" s="21"/>
      <c r="N125" s="7"/>
      <c r="O125" s="7"/>
      <c r="P125" s="8"/>
      <c r="Q125" s="33"/>
      <c r="R125" s="8"/>
      <c r="S125" s="8"/>
      <c r="T125" s="28"/>
      <c r="U125" s="8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  <c r="AH125" s="61"/>
      <c r="AI125" s="61"/>
      <c r="AJ125" s="8"/>
      <c r="AK125" s="8"/>
      <c r="AL125" s="33"/>
    </row>
    <row r="126">
      <c r="A126" s="109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7"/>
      <c r="O126" s="7"/>
      <c r="P126" s="8"/>
      <c r="Q126" s="33"/>
      <c r="R126" s="88"/>
      <c r="S126" s="88"/>
      <c r="T126" s="110"/>
      <c r="U126" s="88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  <c r="AH126" s="61"/>
      <c r="AI126" s="61"/>
      <c r="AJ126" s="8"/>
      <c r="AK126" s="8"/>
      <c r="AL126" s="8"/>
    </row>
    <row r="127">
      <c r="A127" s="105"/>
      <c r="B127" s="25" t="s">
        <v>12</v>
      </c>
      <c r="C127" s="21"/>
      <c r="D127" s="21"/>
      <c r="E127" s="29">
        <v>0.78</v>
      </c>
      <c r="F127" s="29">
        <v>0.79</v>
      </c>
      <c r="G127" s="29">
        <v>0.8</v>
      </c>
      <c r="H127" s="29">
        <v>0.82</v>
      </c>
      <c r="I127" s="29">
        <v>0.85</v>
      </c>
      <c r="J127" s="29">
        <v>0.85</v>
      </c>
      <c r="K127" s="29">
        <v>0.85</v>
      </c>
      <c r="L127" s="29">
        <v>0.85</v>
      </c>
      <c r="M127" s="21"/>
      <c r="N127" s="7"/>
      <c r="O127" s="7"/>
      <c r="P127" s="8"/>
      <c r="Q127" s="33"/>
      <c r="R127" s="88"/>
      <c r="S127" s="88"/>
      <c r="T127" s="110"/>
      <c r="U127" s="8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33"/>
    </row>
    <row r="128">
      <c r="A128" s="109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7"/>
      <c r="O128" s="7"/>
      <c r="P128" s="8"/>
      <c r="Q128" s="33"/>
      <c r="R128" s="88"/>
      <c r="S128" s="88"/>
      <c r="T128" s="110"/>
      <c r="U128" s="8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33"/>
    </row>
    <row r="129">
      <c r="A129" s="105"/>
      <c r="B129" s="25" t="s">
        <v>13</v>
      </c>
      <c r="C129" s="21"/>
      <c r="D129" s="111">
        <v>81462.0</v>
      </c>
      <c r="E129" s="21"/>
      <c r="F129" s="21"/>
      <c r="G129" s="21"/>
      <c r="H129" s="21"/>
      <c r="I129" s="21"/>
      <c r="J129" s="21"/>
      <c r="K129" s="21"/>
      <c r="L129" s="21"/>
      <c r="M129" s="21"/>
      <c r="N129" s="7"/>
      <c r="O129" s="7"/>
      <c r="P129" s="8"/>
      <c r="Q129" s="33"/>
      <c r="R129" s="88"/>
      <c r="S129" s="88"/>
      <c r="T129" s="110"/>
      <c r="U129" s="8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33"/>
    </row>
    <row r="130">
      <c r="A130" s="105"/>
      <c r="B130" s="25" t="s">
        <v>14</v>
      </c>
      <c r="C130" s="21"/>
      <c r="D130" s="111">
        <v>3075.0</v>
      </c>
      <c r="E130" s="21"/>
      <c r="F130" s="21"/>
      <c r="G130" s="21"/>
      <c r="H130" s="21"/>
      <c r="I130" s="21"/>
      <c r="J130" s="21"/>
      <c r="K130" s="21"/>
      <c r="L130" s="21"/>
      <c r="M130" s="21"/>
      <c r="N130" s="7"/>
      <c r="O130" s="7"/>
      <c r="P130" s="8"/>
      <c r="Q130" s="33"/>
      <c r="R130" s="90"/>
      <c r="S130" s="90"/>
      <c r="T130" s="112"/>
      <c r="U130" s="90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33"/>
    </row>
    <row r="131">
      <c r="A131" s="105"/>
      <c r="B131" s="25" t="s">
        <v>15</v>
      </c>
      <c r="C131" s="21"/>
      <c r="D131" s="111">
        <v>3946.0</v>
      </c>
      <c r="E131" s="21"/>
      <c r="F131" s="21"/>
      <c r="G131" s="21"/>
      <c r="H131" s="21"/>
      <c r="I131" s="21"/>
      <c r="J131" s="21"/>
      <c r="K131" s="21"/>
      <c r="L131" s="21"/>
      <c r="M131" s="21"/>
      <c r="N131" s="7"/>
      <c r="O131" s="7"/>
      <c r="P131" s="8"/>
      <c r="Q131" s="33"/>
      <c r="R131" s="88"/>
      <c r="S131" s="88"/>
      <c r="T131" s="113"/>
      <c r="U131" s="114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04"/>
    </row>
    <row r="132">
      <c r="A132" s="105"/>
      <c r="B132" s="25" t="s">
        <v>16</v>
      </c>
      <c r="C132" s="21"/>
      <c r="D132" s="26">
        <v>0.12</v>
      </c>
      <c r="E132" s="21"/>
      <c r="F132" s="21"/>
      <c r="G132" s="21"/>
      <c r="H132" s="21"/>
      <c r="I132" s="21"/>
      <c r="J132" s="21"/>
      <c r="K132" s="21"/>
      <c r="L132" s="21"/>
      <c r="M132" s="21"/>
      <c r="N132" s="7"/>
      <c r="O132" s="7"/>
      <c r="P132" s="8"/>
      <c r="Q132" s="33"/>
      <c r="R132" s="88"/>
      <c r="S132" s="88"/>
      <c r="T132" s="89" t="s">
        <v>58</v>
      </c>
      <c r="U132" s="8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33"/>
    </row>
    <row r="133">
      <c r="A133" s="105"/>
      <c r="B133" s="25" t="s">
        <v>17</v>
      </c>
      <c r="C133" s="21"/>
      <c r="D133" s="26">
        <v>0.04</v>
      </c>
      <c r="E133" s="21"/>
      <c r="F133" s="21"/>
      <c r="G133" s="21"/>
      <c r="H133" s="21"/>
      <c r="I133" s="21"/>
      <c r="J133" s="21"/>
      <c r="K133" s="21"/>
      <c r="L133" s="21"/>
      <c r="M133" s="21"/>
      <c r="N133" s="7"/>
      <c r="O133" s="7"/>
      <c r="P133" s="8"/>
      <c r="Q133" s="33"/>
      <c r="R133" s="88"/>
      <c r="S133" s="88"/>
      <c r="T133" s="110"/>
      <c r="U133" s="8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33"/>
    </row>
    <row r="134">
      <c r="A134" s="115"/>
      <c r="B134" s="31" t="s">
        <v>18</v>
      </c>
      <c r="C134" s="7"/>
      <c r="D134" s="32">
        <v>0.21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8"/>
      <c r="Q134" s="33"/>
      <c r="R134" s="88"/>
      <c r="S134" s="88"/>
      <c r="T134" s="116" t="str">
        <f>T64</f>
        <v>If R&amp;D grows at 16% from 2027 onwards</v>
      </c>
      <c r="U134" s="88"/>
      <c r="V134" s="5"/>
      <c r="W134" s="5" t="s">
        <v>0</v>
      </c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7"/>
      <c r="AJ134" s="7"/>
      <c r="AK134" s="7"/>
      <c r="AL134" s="24"/>
    </row>
    <row r="135">
      <c r="A135" s="11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8"/>
      <c r="Q135" s="33"/>
      <c r="R135" s="88"/>
      <c r="S135" s="88"/>
      <c r="T135" s="27" t="s">
        <v>70</v>
      </c>
      <c r="U135" s="88"/>
      <c r="V135" s="20"/>
      <c r="W135" s="20" t="s">
        <v>2</v>
      </c>
      <c r="Y135" s="21"/>
      <c r="Z135" s="22">
        <v>2024.0</v>
      </c>
      <c r="AA135" s="22">
        <v>2025.0</v>
      </c>
      <c r="AB135" s="22">
        <v>2026.0</v>
      </c>
      <c r="AC135" s="22">
        <v>2027.0</v>
      </c>
      <c r="AD135" s="22">
        <v>2028.0</v>
      </c>
      <c r="AE135" s="22">
        <v>2029.0</v>
      </c>
      <c r="AF135" s="22">
        <v>2030.0</v>
      </c>
      <c r="AG135" s="22">
        <v>2031.0</v>
      </c>
      <c r="AH135" s="21"/>
      <c r="AI135" s="7"/>
      <c r="AJ135" s="7"/>
      <c r="AK135" s="7"/>
      <c r="AL135" s="24"/>
    </row>
    <row r="136">
      <c r="A136" s="11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8"/>
      <c r="Q136" s="33"/>
      <c r="R136" s="88"/>
      <c r="S136" s="88"/>
      <c r="T136" s="110"/>
      <c r="U136" s="88"/>
      <c r="V136" s="25"/>
      <c r="W136" s="25" t="s">
        <v>3</v>
      </c>
      <c r="X136" s="21"/>
      <c r="Y136" s="21"/>
      <c r="Z136" s="26">
        <v>0.35</v>
      </c>
      <c r="AA136" s="26">
        <v>0.3</v>
      </c>
      <c r="AB136" s="26">
        <v>0.28</v>
      </c>
      <c r="AC136" s="26">
        <v>0.25</v>
      </c>
      <c r="AD136" s="26">
        <v>0.17</v>
      </c>
      <c r="AE136" s="26">
        <v>0.15</v>
      </c>
      <c r="AF136" s="26">
        <v>0.13</v>
      </c>
      <c r="AG136" s="26">
        <v>0.1</v>
      </c>
      <c r="AH136" s="21"/>
      <c r="AI136" s="7"/>
      <c r="AJ136" s="7"/>
      <c r="AK136" s="7"/>
      <c r="AL136" s="24"/>
    </row>
    <row r="137">
      <c r="A137" s="118" t="s">
        <v>71</v>
      </c>
      <c r="B137" s="31" t="s">
        <v>19</v>
      </c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8"/>
      <c r="Q137" s="33"/>
      <c r="R137" s="88"/>
      <c r="S137" s="88"/>
      <c r="T137" s="110"/>
      <c r="U137" s="88"/>
      <c r="V137" s="25"/>
      <c r="W137" s="25" t="s">
        <v>5</v>
      </c>
      <c r="X137" s="21"/>
      <c r="Y137" s="21"/>
      <c r="Z137" s="26">
        <v>0.2</v>
      </c>
      <c r="AA137" s="26">
        <v>0.18</v>
      </c>
      <c r="AB137" s="26">
        <v>0.15</v>
      </c>
      <c r="AC137" s="26">
        <v>0.11</v>
      </c>
      <c r="AD137" s="26">
        <v>0.08</v>
      </c>
      <c r="AE137" s="26">
        <v>0.05</v>
      </c>
      <c r="AF137" s="26">
        <v>0.03</v>
      </c>
      <c r="AG137" s="26">
        <v>0.03</v>
      </c>
      <c r="AH137" s="21"/>
      <c r="AI137" s="7"/>
      <c r="AJ137" s="7"/>
      <c r="AK137" s="7"/>
      <c r="AL137" s="24"/>
    </row>
    <row r="138">
      <c r="A138" s="117"/>
      <c r="B138" s="7"/>
      <c r="C138" s="7"/>
      <c r="D138" s="34"/>
      <c r="E138" s="38">
        <v>2023.0</v>
      </c>
      <c r="F138" s="38">
        <v>2024.0</v>
      </c>
      <c r="G138" s="38">
        <v>2025.0</v>
      </c>
      <c r="H138" s="38">
        <v>2026.0</v>
      </c>
      <c r="I138" s="38">
        <v>2027.0</v>
      </c>
      <c r="J138" s="38">
        <v>2028.0</v>
      </c>
      <c r="K138" s="38">
        <v>2029.0</v>
      </c>
      <c r="L138" s="38">
        <v>2030.0</v>
      </c>
      <c r="M138" s="38">
        <v>2031.0</v>
      </c>
      <c r="N138" s="7"/>
      <c r="O138" s="7"/>
      <c r="P138" s="8"/>
      <c r="Q138" s="33"/>
      <c r="R138" s="88"/>
      <c r="S138" s="88"/>
      <c r="T138" s="110"/>
      <c r="U138" s="88"/>
      <c r="V138" s="25"/>
      <c r="W138" s="25"/>
      <c r="X138" s="21"/>
      <c r="Y138" s="21"/>
      <c r="Z138" s="26"/>
      <c r="AA138" s="26"/>
      <c r="AB138" s="26"/>
      <c r="AC138" s="26"/>
      <c r="AD138" s="26"/>
      <c r="AE138" s="26"/>
      <c r="AF138" s="26"/>
      <c r="AG138" s="26"/>
      <c r="AH138" s="21"/>
      <c r="AI138" s="7"/>
      <c r="AJ138" s="7"/>
      <c r="AK138" s="7"/>
      <c r="AL138" s="24"/>
    </row>
    <row r="139">
      <c r="A139" s="115"/>
      <c r="B139" s="31" t="s">
        <v>20</v>
      </c>
      <c r="C139" s="7"/>
      <c r="D139" s="7"/>
      <c r="E139" s="44">
        <f>D129</f>
        <v>81462</v>
      </c>
      <c r="F139" s="44">
        <f t="shared" ref="F139:M139" si="60">E139*(1+E119)</f>
        <v>106715.22</v>
      </c>
      <c r="G139" s="44">
        <f t="shared" si="60"/>
        <v>138623.0708</v>
      </c>
      <c r="H139" s="44">
        <f t="shared" si="60"/>
        <v>177714.7767</v>
      </c>
      <c r="I139" s="44">
        <f t="shared" si="60"/>
        <v>223920.6187</v>
      </c>
      <c r="J139" s="44">
        <f t="shared" si="60"/>
        <v>277549.6069</v>
      </c>
      <c r="K139" s="44">
        <f t="shared" si="60"/>
        <v>338610.5204</v>
      </c>
      <c r="L139" s="44">
        <f t="shared" si="60"/>
        <v>406332.6245</v>
      </c>
      <c r="M139" s="44">
        <f t="shared" si="60"/>
        <v>479472.4969</v>
      </c>
      <c r="N139" s="7"/>
      <c r="O139" s="7"/>
      <c r="P139" s="8"/>
      <c r="Q139" s="33"/>
      <c r="R139" s="88"/>
      <c r="S139" s="88"/>
      <c r="T139" s="110"/>
      <c r="U139" s="88"/>
      <c r="V139" s="25"/>
      <c r="W139" s="25"/>
      <c r="X139" s="21"/>
      <c r="Y139" s="21"/>
      <c r="Z139" s="26"/>
      <c r="AA139" s="26"/>
      <c r="AB139" s="26"/>
      <c r="AC139" s="26"/>
      <c r="AD139" s="26"/>
      <c r="AE139" s="26"/>
      <c r="AF139" s="26"/>
      <c r="AG139" s="26"/>
      <c r="AH139" s="21"/>
      <c r="AI139" s="7"/>
      <c r="AJ139" s="7"/>
      <c r="AK139" s="7"/>
      <c r="AL139" s="24"/>
    </row>
    <row r="140">
      <c r="A140" s="115"/>
      <c r="B140" s="31" t="s">
        <v>21</v>
      </c>
      <c r="C140" s="7"/>
      <c r="D140" s="7"/>
      <c r="E140" s="44">
        <f>E139*E121</f>
        <v>61096.5</v>
      </c>
      <c r="F140" s="44">
        <f t="shared" ref="F140:M140" si="61">E121*F139</f>
        <v>80036.415</v>
      </c>
      <c r="G140" s="44">
        <f t="shared" si="61"/>
        <v>102581.0724</v>
      </c>
      <c r="H140" s="44">
        <f t="shared" si="61"/>
        <v>131508.9348</v>
      </c>
      <c r="I140" s="44">
        <f t="shared" si="61"/>
        <v>165701.2578</v>
      </c>
      <c r="J140" s="44">
        <f t="shared" si="61"/>
        <v>205386.7091</v>
      </c>
      <c r="K140" s="44">
        <f t="shared" si="61"/>
        <v>250571.7851</v>
      </c>
      <c r="L140" s="44">
        <f t="shared" si="61"/>
        <v>300686.1421</v>
      </c>
      <c r="M140" s="44">
        <f t="shared" si="61"/>
        <v>354809.6477</v>
      </c>
      <c r="N140" s="7"/>
      <c r="O140" s="7"/>
      <c r="P140" s="8"/>
      <c r="Q140" s="33"/>
      <c r="R140" s="88"/>
      <c r="S140" s="88"/>
      <c r="T140" s="110"/>
      <c r="U140" s="88"/>
      <c r="V140" s="25"/>
      <c r="W140" s="25"/>
      <c r="X140" s="21"/>
      <c r="Y140" s="21"/>
      <c r="Z140" s="26"/>
      <c r="AA140" s="26"/>
      <c r="AB140" s="26"/>
      <c r="AC140" s="26"/>
      <c r="AD140" s="26"/>
      <c r="AE140" s="26"/>
      <c r="AF140" s="26"/>
      <c r="AG140" s="26"/>
      <c r="AH140" s="21"/>
      <c r="AI140" s="7"/>
      <c r="AJ140" s="7"/>
      <c r="AK140" s="7"/>
      <c r="AL140" s="24"/>
    </row>
    <row r="141">
      <c r="A141" s="115"/>
      <c r="B141" s="31" t="s">
        <v>22</v>
      </c>
      <c r="C141" s="7"/>
      <c r="D141" s="7"/>
      <c r="E141" s="44">
        <f t="shared" ref="E141:E142" si="62">D130</f>
        <v>3075</v>
      </c>
      <c r="F141" s="44">
        <f>E141*1.19</f>
        <v>3659.25</v>
      </c>
      <c r="G141" s="44">
        <f>F141*1.21</f>
        <v>4427.6925</v>
      </c>
      <c r="H141" s="44">
        <f>G141*1.18</f>
        <v>5224.67715</v>
      </c>
      <c r="I141" s="44">
        <f>H141*1.16</f>
        <v>6060.625494</v>
      </c>
      <c r="J141" s="44">
        <f>I141*1.14</f>
        <v>6909.113063</v>
      </c>
      <c r="K141" s="44">
        <f>J141*1.12</f>
        <v>7738.206631</v>
      </c>
      <c r="L141" s="44">
        <f>K141*1.1</f>
        <v>8512.027294</v>
      </c>
      <c r="M141" s="44">
        <f>L141*1.08</f>
        <v>9192.989477</v>
      </c>
      <c r="N141" s="7"/>
      <c r="O141" s="7"/>
      <c r="P141" s="8"/>
      <c r="Q141" s="33"/>
      <c r="R141" s="88"/>
      <c r="S141" s="88"/>
      <c r="T141" s="110"/>
      <c r="U141" s="88"/>
      <c r="V141" s="5"/>
      <c r="W141" s="5" t="s">
        <v>6</v>
      </c>
      <c r="X141" s="21"/>
      <c r="Y141" s="21"/>
      <c r="Z141" s="26">
        <v>0.27</v>
      </c>
      <c r="AA141" s="26">
        <v>0.25</v>
      </c>
      <c r="AB141" s="26">
        <v>0.2</v>
      </c>
      <c r="AC141" s="26">
        <v>0.15</v>
      </c>
      <c r="AD141" s="26">
        <v>0.13</v>
      </c>
      <c r="AE141" s="26">
        <v>0.1</v>
      </c>
      <c r="AF141" s="26">
        <v>0.08</v>
      </c>
      <c r="AG141" s="26">
        <v>0.05</v>
      </c>
      <c r="AH141" s="21"/>
      <c r="AI141" s="7"/>
      <c r="AJ141" s="7"/>
      <c r="AK141" s="7"/>
      <c r="AL141" s="24"/>
    </row>
    <row r="142">
      <c r="A142" s="115"/>
      <c r="B142" s="31" t="s">
        <v>23</v>
      </c>
      <c r="C142" s="7"/>
      <c r="D142" s="7"/>
      <c r="E142" s="44">
        <f t="shared" si="62"/>
        <v>3946</v>
      </c>
      <c r="F142" s="44">
        <f t="shared" ref="F142:M142" si="63">E142*(1+E123)</f>
        <v>4261.68</v>
      </c>
      <c r="G142" s="44">
        <f t="shared" si="63"/>
        <v>4559.9976</v>
      </c>
      <c r="H142" s="44">
        <f t="shared" si="63"/>
        <v>4787.99748</v>
      </c>
      <c r="I142" s="44">
        <f t="shared" si="63"/>
        <v>4979.517379</v>
      </c>
      <c r="J142" s="44">
        <f t="shared" si="63"/>
        <v>5128.902901</v>
      </c>
      <c r="K142" s="44">
        <f t="shared" si="63"/>
        <v>5231.480959</v>
      </c>
      <c r="L142" s="44">
        <f t="shared" si="63"/>
        <v>5336.110578</v>
      </c>
      <c r="M142" s="44">
        <f t="shared" si="63"/>
        <v>5442.832789</v>
      </c>
      <c r="N142" s="7"/>
      <c r="O142" s="7"/>
      <c r="P142" s="8"/>
      <c r="Q142" s="33"/>
      <c r="R142" s="88"/>
      <c r="S142" s="88"/>
      <c r="T142" s="110"/>
      <c r="U142" s="88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  <c r="AH142" s="21"/>
      <c r="AI142" s="7"/>
      <c r="AJ142" s="7"/>
      <c r="AK142" s="7"/>
      <c r="AL142" s="24"/>
    </row>
    <row r="143">
      <c r="A143" s="115"/>
      <c r="B143" s="31" t="s">
        <v>25</v>
      </c>
      <c r="C143" s="7"/>
      <c r="D143" s="7"/>
      <c r="E143" s="46">
        <v>0.0</v>
      </c>
      <c r="F143" s="44">
        <f t="shared" ref="F143:M143" si="64">F139*E124</f>
        <v>5122.33056</v>
      </c>
      <c r="G143" s="44">
        <f t="shared" si="64"/>
        <v>6238.038185</v>
      </c>
      <c r="H143" s="44">
        <f t="shared" si="64"/>
        <v>7108.59107</v>
      </c>
      <c r="I143" s="44">
        <f t="shared" si="64"/>
        <v>8508.98351</v>
      </c>
      <c r="J143" s="44">
        <f t="shared" si="64"/>
        <v>9714.23624</v>
      </c>
      <c r="K143" s="44">
        <f t="shared" si="64"/>
        <v>10158.31561</v>
      </c>
      <c r="L143" s="44">
        <f t="shared" si="64"/>
        <v>12189.97873</v>
      </c>
      <c r="M143" s="44">
        <f t="shared" si="64"/>
        <v>14384.17491</v>
      </c>
      <c r="N143" s="7"/>
      <c r="O143" s="7"/>
      <c r="P143" s="8"/>
      <c r="Q143" s="33"/>
      <c r="R143" s="88"/>
      <c r="S143" s="88"/>
      <c r="T143" s="110"/>
      <c r="U143" s="88"/>
      <c r="V143" s="25"/>
      <c r="W143" s="25" t="s">
        <v>7</v>
      </c>
      <c r="X143" s="21"/>
      <c r="Y143" s="21"/>
      <c r="Z143" s="29">
        <v>0.75</v>
      </c>
      <c r="AA143" s="29">
        <v>0.74</v>
      </c>
      <c r="AB143" s="29">
        <v>0.74</v>
      </c>
      <c r="AC143" s="29">
        <v>0.74</v>
      </c>
      <c r="AD143" s="29">
        <v>0.74</v>
      </c>
      <c r="AE143" s="29">
        <v>0.74</v>
      </c>
      <c r="AF143" s="29">
        <v>0.74</v>
      </c>
      <c r="AG143" s="29">
        <v>0.74</v>
      </c>
      <c r="AH143" s="21"/>
      <c r="AI143" s="7"/>
      <c r="AJ143" s="7"/>
      <c r="AK143" s="7"/>
      <c r="AL143" s="24"/>
    </row>
    <row r="144">
      <c r="A144" s="115"/>
      <c r="B144" s="31" t="s">
        <v>27</v>
      </c>
      <c r="C144" s="7"/>
      <c r="D144" s="7"/>
      <c r="E144" s="46">
        <v>0.0</v>
      </c>
      <c r="F144" s="44">
        <f t="shared" ref="F144:M144" si="65">F143*E125</f>
        <v>4353.980976</v>
      </c>
      <c r="G144" s="44">
        <f t="shared" si="65"/>
        <v>4990.430548</v>
      </c>
      <c r="H144" s="44">
        <f t="shared" si="65"/>
        <v>5331.443302</v>
      </c>
      <c r="I144" s="44">
        <f t="shared" si="65"/>
        <v>5956.288457</v>
      </c>
      <c r="J144" s="44">
        <f t="shared" si="65"/>
        <v>6799.965368</v>
      </c>
      <c r="K144" s="44">
        <f t="shared" si="65"/>
        <v>7110.820928</v>
      </c>
      <c r="L144" s="44">
        <f t="shared" si="65"/>
        <v>8532.985114</v>
      </c>
      <c r="M144" s="44">
        <f t="shared" si="65"/>
        <v>10068.92243</v>
      </c>
      <c r="N144" s="7"/>
      <c r="O144" s="7"/>
      <c r="P144" s="8"/>
      <c r="Q144" s="33"/>
      <c r="R144" s="8"/>
      <c r="S144" s="8"/>
      <c r="T144" s="28"/>
      <c r="U144" s="8"/>
      <c r="V144" s="25"/>
      <c r="W144" s="5" t="s">
        <v>62</v>
      </c>
      <c r="X144" s="21"/>
      <c r="Y144" s="21"/>
      <c r="Z144" s="29">
        <v>0.19</v>
      </c>
      <c r="AA144" s="29">
        <v>0.21</v>
      </c>
      <c r="AB144" s="29">
        <v>0.18</v>
      </c>
      <c r="AC144" s="29">
        <v>0.16</v>
      </c>
      <c r="AD144" s="29">
        <v>0.16</v>
      </c>
      <c r="AE144" s="29">
        <v>0.16</v>
      </c>
      <c r="AF144" s="29">
        <v>0.16</v>
      </c>
      <c r="AG144" s="29">
        <v>0.16</v>
      </c>
      <c r="AH144" s="21"/>
      <c r="AI144" s="7"/>
      <c r="AJ144" s="7"/>
      <c r="AK144" s="7"/>
      <c r="AL144" s="24"/>
    </row>
    <row r="145">
      <c r="A145" s="117"/>
      <c r="B145" s="40" t="s">
        <v>26</v>
      </c>
      <c r="C145" s="7"/>
      <c r="D145" s="7"/>
      <c r="E145" s="49">
        <f t="shared" ref="E145:M145" si="66">E139-E141-E142-E143-E140</f>
        <v>13344.5</v>
      </c>
      <c r="F145" s="49">
        <f t="shared" si="66"/>
        <v>13635.54444</v>
      </c>
      <c r="G145" s="49">
        <f t="shared" si="66"/>
        <v>20816.27012</v>
      </c>
      <c r="H145" s="49">
        <f t="shared" si="66"/>
        <v>29084.57625</v>
      </c>
      <c r="I145" s="49">
        <f t="shared" si="66"/>
        <v>38670.23448</v>
      </c>
      <c r="J145" s="49">
        <f t="shared" si="66"/>
        <v>50410.64558</v>
      </c>
      <c r="K145" s="49">
        <f t="shared" si="66"/>
        <v>64910.7321</v>
      </c>
      <c r="L145" s="49">
        <f t="shared" si="66"/>
        <v>79608.36575</v>
      </c>
      <c r="M145" s="49">
        <f t="shared" si="66"/>
        <v>95642.85201</v>
      </c>
      <c r="N145" s="7"/>
      <c r="O145" s="7"/>
      <c r="P145" s="7"/>
      <c r="Q145" s="24"/>
      <c r="R145" s="8"/>
      <c r="S145" s="8"/>
      <c r="T145" s="28"/>
      <c r="U145" s="8"/>
      <c r="V145" s="25"/>
      <c r="W145" s="25" t="s">
        <v>9</v>
      </c>
      <c r="X145" s="21"/>
      <c r="Y145" s="21"/>
      <c r="Z145" s="29">
        <v>0.08</v>
      </c>
      <c r="AA145" s="29">
        <v>0.07</v>
      </c>
      <c r="AB145" s="29">
        <v>0.05</v>
      </c>
      <c r="AC145" s="29">
        <v>0.04</v>
      </c>
      <c r="AD145" s="29">
        <v>0.03</v>
      </c>
      <c r="AE145" s="29">
        <v>0.02</v>
      </c>
      <c r="AF145" s="29">
        <v>0.02</v>
      </c>
      <c r="AG145" s="29">
        <v>0.02</v>
      </c>
      <c r="AH145" s="21"/>
      <c r="AI145" s="7"/>
      <c r="AJ145" s="7"/>
      <c r="AK145" s="7"/>
      <c r="AL145" s="24"/>
    </row>
    <row r="146">
      <c r="A146" s="117"/>
      <c r="B146" s="52" t="s">
        <v>28</v>
      </c>
      <c r="C146" s="7"/>
      <c r="D146" s="7"/>
      <c r="E146" s="44">
        <f t="shared" ref="E146:M146" si="67">E145*$D$22</f>
        <v>2802.345</v>
      </c>
      <c r="F146" s="44">
        <f t="shared" si="67"/>
        <v>2863.464332</v>
      </c>
      <c r="G146" s="44">
        <f t="shared" si="67"/>
        <v>4371.416725</v>
      </c>
      <c r="H146" s="44">
        <f t="shared" si="67"/>
        <v>6107.761013</v>
      </c>
      <c r="I146" s="44">
        <f t="shared" si="67"/>
        <v>8120.74924</v>
      </c>
      <c r="J146" s="44">
        <f t="shared" si="67"/>
        <v>10586.23557</v>
      </c>
      <c r="K146" s="44">
        <f t="shared" si="67"/>
        <v>13631.25374</v>
      </c>
      <c r="L146" s="44">
        <f t="shared" si="67"/>
        <v>16717.75681</v>
      </c>
      <c r="M146" s="44">
        <f t="shared" si="67"/>
        <v>20084.99892</v>
      </c>
      <c r="N146" s="7"/>
      <c r="O146" s="7"/>
      <c r="P146" s="7"/>
      <c r="Q146" s="24"/>
      <c r="R146" s="8"/>
      <c r="S146" s="8"/>
      <c r="T146" s="28"/>
      <c r="U146" s="8"/>
      <c r="V146" s="25"/>
      <c r="W146" s="25" t="s">
        <v>10</v>
      </c>
      <c r="X146" s="21"/>
      <c r="Y146" s="21"/>
      <c r="Z146" s="29">
        <v>0.048</v>
      </c>
      <c r="AA146" s="29">
        <v>0.045</v>
      </c>
      <c r="AB146" s="29">
        <v>0.04</v>
      </c>
      <c r="AC146" s="29">
        <v>0.038</v>
      </c>
      <c r="AD146" s="29">
        <v>0.035</v>
      </c>
      <c r="AE146" s="29">
        <v>0.03</v>
      </c>
      <c r="AF146" s="29">
        <v>0.03</v>
      </c>
      <c r="AG146" s="29">
        <v>0.03</v>
      </c>
      <c r="AH146" s="21"/>
      <c r="AI146" s="7"/>
      <c r="AJ146" s="7"/>
      <c r="AK146" s="7"/>
      <c r="AL146" s="24"/>
    </row>
    <row r="147">
      <c r="A147" s="117"/>
      <c r="B147" s="53" t="s">
        <v>30</v>
      </c>
      <c r="C147" s="7"/>
      <c r="D147" s="7"/>
      <c r="E147" s="49">
        <f t="shared" ref="E147:M147" si="68">E145+E143-E146</f>
        <v>10542.155</v>
      </c>
      <c r="F147" s="49">
        <f t="shared" si="68"/>
        <v>15894.41067</v>
      </c>
      <c r="G147" s="49">
        <f t="shared" si="68"/>
        <v>22682.89158</v>
      </c>
      <c r="H147" s="49">
        <f t="shared" si="68"/>
        <v>30085.40631</v>
      </c>
      <c r="I147" s="49">
        <f t="shared" si="68"/>
        <v>39058.46875</v>
      </c>
      <c r="J147" s="49">
        <f t="shared" si="68"/>
        <v>49538.64625</v>
      </c>
      <c r="K147" s="49">
        <f t="shared" si="68"/>
        <v>61437.79397</v>
      </c>
      <c r="L147" s="49">
        <f t="shared" si="68"/>
        <v>75080.58768</v>
      </c>
      <c r="M147" s="49">
        <f t="shared" si="68"/>
        <v>89942.02799</v>
      </c>
      <c r="N147" s="7"/>
      <c r="O147" s="7"/>
      <c r="P147" s="7"/>
      <c r="Q147" s="24"/>
      <c r="R147" s="8"/>
      <c r="S147" s="8"/>
      <c r="T147" s="28"/>
      <c r="U147" s="8"/>
      <c r="V147" s="25"/>
      <c r="W147" s="25" t="s">
        <v>11</v>
      </c>
      <c r="X147" s="21"/>
      <c r="Y147" s="21"/>
      <c r="Z147" s="29">
        <v>0.85</v>
      </c>
      <c r="AA147" s="29">
        <v>0.8</v>
      </c>
      <c r="AB147" s="29">
        <v>0.75</v>
      </c>
      <c r="AC147" s="29">
        <v>0.7</v>
      </c>
      <c r="AD147" s="29">
        <v>0.7</v>
      </c>
      <c r="AE147" s="29">
        <v>0.7</v>
      </c>
      <c r="AF147" s="29">
        <v>0.7</v>
      </c>
      <c r="AG147" s="29">
        <v>0.7</v>
      </c>
      <c r="AH147" s="21"/>
      <c r="AI147" s="7"/>
      <c r="AJ147" s="7"/>
      <c r="AK147" s="7"/>
      <c r="AL147" s="24"/>
    </row>
    <row r="148">
      <c r="A148" s="119"/>
      <c r="B148" s="31" t="s">
        <v>31</v>
      </c>
      <c r="C148" s="7"/>
      <c r="D148" s="7"/>
      <c r="E148" s="44"/>
      <c r="F148" s="44">
        <f t="shared" ref="F148:M148" si="69">-F144</f>
        <v>-4353.980976</v>
      </c>
      <c r="G148" s="44">
        <f t="shared" si="69"/>
        <v>-4990.430548</v>
      </c>
      <c r="H148" s="44">
        <f t="shared" si="69"/>
        <v>-5331.443302</v>
      </c>
      <c r="I148" s="44">
        <f t="shared" si="69"/>
        <v>-5956.288457</v>
      </c>
      <c r="J148" s="44">
        <f t="shared" si="69"/>
        <v>-6799.965368</v>
      </c>
      <c r="K148" s="44">
        <f t="shared" si="69"/>
        <v>-7110.820928</v>
      </c>
      <c r="L148" s="44">
        <f t="shared" si="69"/>
        <v>-8532.985114</v>
      </c>
      <c r="M148" s="44">
        <f t="shared" si="69"/>
        <v>-10068.92243</v>
      </c>
      <c r="N148" s="7"/>
      <c r="O148" s="7"/>
      <c r="P148" s="7"/>
      <c r="Q148" s="24"/>
      <c r="R148" s="8"/>
      <c r="S148" s="8"/>
      <c r="T148" s="28"/>
      <c r="U148" s="8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  <c r="AH148" s="21"/>
      <c r="AI148" s="7"/>
      <c r="AJ148" s="7"/>
      <c r="AK148" s="7"/>
      <c r="AL148" s="24"/>
    </row>
    <row r="149">
      <c r="A149" s="23"/>
      <c r="B149" s="40" t="s">
        <v>32</v>
      </c>
      <c r="C149" s="7"/>
      <c r="D149" s="7"/>
      <c r="E149" s="57">
        <f>E147</f>
        <v>10542.155</v>
      </c>
      <c r="F149" s="57">
        <f t="shared" ref="F149:M149" si="70">F147+F148</f>
        <v>11540.42969</v>
      </c>
      <c r="G149" s="57">
        <f t="shared" si="70"/>
        <v>17692.46103</v>
      </c>
      <c r="H149" s="57">
        <f t="shared" si="70"/>
        <v>24753.96301</v>
      </c>
      <c r="I149" s="57">
        <f t="shared" si="70"/>
        <v>33102.18029</v>
      </c>
      <c r="J149" s="57">
        <f t="shared" si="70"/>
        <v>42738.68088</v>
      </c>
      <c r="K149" s="57">
        <f t="shared" si="70"/>
        <v>54326.97304</v>
      </c>
      <c r="L149" s="57">
        <f t="shared" si="70"/>
        <v>66547.60257</v>
      </c>
      <c r="M149" s="57">
        <f t="shared" si="70"/>
        <v>79873.10556</v>
      </c>
      <c r="N149" s="57">
        <f>M149*1.04</f>
        <v>83068.02978</v>
      </c>
      <c r="O149" s="8"/>
      <c r="P149" s="7"/>
      <c r="Q149" s="24"/>
      <c r="R149" s="8"/>
      <c r="S149" s="8"/>
      <c r="T149" s="28"/>
      <c r="U149" s="8"/>
      <c r="V149" s="25"/>
      <c r="W149" s="25" t="s">
        <v>12</v>
      </c>
      <c r="X149" s="21"/>
      <c r="Y149" s="21"/>
      <c r="Z149" s="29">
        <v>0.78</v>
      </c>
      <c r="AA149" s="29">
        <v>0.79</v>
      </c>
      <c r="AB149" s="29">
        <v>0.8</v>
      </c>
      <c r="AC149" s="29">
        <v>0.82</v>
      </c>
      <c r="AD149" s="29">
        <v>0.85</v>
      </c>
      <c r="AE149" s="29">
        <v>0.85</v>
      </c>
      <c r="AF149" s="29">
        <v>0.85</v>
      </c>
      <c r="AG149" s="29">
        <v>0.85</v>
      </c>
      <c r="AH149" s="21"/>
      <c r="AI149" s="7"/>
      <c r="AJ149" s="7"/>
      <c r="AK149" s="7"/>
      <c r="AL149" s="24"/>
    </row>
    <row r="150">
      <c r="A150" s="119"/>
      <c r="B150" s="31" t="s">
        <v>39</v>
      </c>
      <c r="C150" s="7"/>
      <c r="D150" s="7"/>
      <c r="E150" s="44"/>
      <c r="F150" s="44"/>
      <c r="G150" s="44"/>
      <c r="H150" s="44"/>
      <c r="I150" s="44"/>
      <c r="J150" s="44"/>
      <c r="K150" s="44"/>
      <c r="L150" s="44"/>
      <c r="M150" s="41">
        <f>M149*(1.04)/(0.12-0.04)</f>
        <v>1038350.372</v>
      </c>
      <c r="N150" s="40" t="s">
        <v>33</v>
      </c>
      <c r="O150" s="44">
        <f>N149/(0.12-0.04)</f>
        <v>1038350.372</v>
      </c>
      <c r="P150" s="7"/>
      <c r="Q150" s="24"/>
      <c r="R150" s="8"/>
      <c r="S150" s="8"/>
      <c r="T150" s="28"/>
      <c r="U150" s="8"/>
      <c r="V150" s="21"/>
      <c r="W150" s="21"/>
      <c r="X150" s="21"/>
      <c r="Y150" s="21"/>
      <c r="Z150" s="21"/>
      <c r="AA150" s="21"/>
      <c r="AB150" s="21"/>
      <c r="AC150" s="21"/>
      <c r="AD150" s="21"/>
      <c r="AE150" s="21"/>
      <c r="AF150" s="21"/>
      <c r="AG150" s="21"/>
      <c r="AH150" s="21"/>
      <c r="AI150" s="7"/>
      <c r="AJ150" s="7"/>
      <c r="AK150" s="7"/>
      <c r="AL150" s="24"/>
    </row>
    <row r="151">
      <c r="A151" s="115"/>
      <c r="B151" s="8"/>
      <c r="C151" s="60"/>
      <c r="D151" s="8"/>
      <c r="E151" s="8"/>
      <c r="F151" s="7"/>
      <c r="G151" s="7"/>
      <c r="H151" s="7"/>
      <c r="I151" s="7"/>
      <c r="J151" s="7"/>
      <c r="K151" s="7"/>
      <c r="L151" s="7"/>
      <c r="M151" s="120">
        <f>M150+M149</f>
        <v>1118223.478</v>
      </c>
      <c r="N151" s="40" t="s">
        <v>37</v>
      </c>
      <c r="O151" s="8"/>
      <c r="P151" s="7"/>
      <c r="Q151" s="24"/>
      <c r="R151" s="8"/>
      <c r="S151" s="8"/>
      <c r="T151" s="28"/>
      <c r="U151" s="8"/>
      <c r="V151" s="25"/>
      <c r="W151" s="25" t="s">
        <v>13</v>
      </c>
      <c r="X151" s="21"/>
      <c r="Y151" s="30">
        <v>81462.0</v>
      </c>
      <c r="Z151" s="21"/>
      <c r="AA151" s="21"/>
      <c r="AB151" s="21"/>
      <c r="AC151" s="21"/>
      <c r="AD151" s="21"/>
      <c r="AE151" s="21"/>
      <c r="AF151" s="21"/>
      <c r="AG151" s="21"/>
      <c r="AH151" s="21"/>
      <c r="AI151" s="7"/>
      <c r="AJ151" s="7"/>
      <c r="AK151" s="7"/>
      <c r="AL151" s="24"/>
    </row>
    <row r="152">
      <c r="A152" s="115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24"/>
      <c r="R152" s="8"/>
      <c r="S152" s="8"/>
      <c r="T152" s="28"/>
      <c r="U152" s="8"/>
      <c r="V152" s="25"/>
      <c r="W152" s="25"/>
      <c r="X152" s="21"/>
      <c r="Y152" s="30"/>
      <c r="Z152" s="21"/>
      <c r="AA152" s="21"/>
      <c r="AB152" s="21"/>
      <c r="AC152" s="21"/>
      <c r="AD152" s="21"/>
      <c r="AE152" s="21"/>
      <c r="AF152" s="21"/>
      <c r="AG152" s="21"/>
      <c r="AH152" s="21"/>
      <c r="AI152" s="7"/>
      <c r="AJ152" s="7"/>
      <c r="AK152" s="7"/>
      <c r="AL152" s="24"/>
    </row>
    <row r="153">
      <c r="A153" s="121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8"/>
      <c r="O153" s="8"/>
      <c r="P153" s="8"/>
      <c r="Q153" s="24"/>
      <c r="R153" s="8"/>
      <c r="S153" s="8"/>
      <c r="T153" s="28"/>
      <c r="U153" s="8"/>
      <c r="V153" s="25"/>
      <c r="W153" s="25" t="s">
        <v>14</v>
      </c>
      <c r="X153" s="21"/>
      <c r="Y153" s="30">
        <v>3075.0</v>
      </c>
      <c r="Z153" s="21"/>
      <c r="AA153" s="21"/>
      <c r="AB153" s="21"/>
      <c r="AC153" s="21"/>
      <c r="AD153" s="21"/>
      <c r="AE153" s="21"/>
      <c r="AF153" s="21"/>
      <c r="AG153" s="21"/>
      <c r="AH153" s="21"/>
      <c r="AI153" s="7"/>
      <c r="AJ153" s="7"/>
      <c r="AK153" s="7"/>
      <c r="AL153" s="24"/>
    </row>
    <row r="154">
      <c r="A154" s="121"/>
      <c r="B154" s="40" t="s">
        <v>41</v>
      </c>
      <c r="C154" s="7"/>
      <c r="D154" s="7"/>
      <c r="E154" s="62">
        <f t="array" ref="E154">npv(0.12,F149:L149,M151)</f>
        <v>596573.9668</v>
      </c>
      <c r="F154" s="63"/>
      <c r="G154" s="7"/>
      <c r="H154" s="7"/>
      <c r="I154" s="7"/>
      <c r="J154" s="7"/>
      <c r="K154" s="7"/>
      <c r="L154" s="7"/>
      <c r="M154" s="7"/>
      <c r="N154" s="8"/>
      <c r="O154" s="8"/>
      <c r="P154" s="8"/>
      <c r="Q154" s="24"/>
      <c r="R154" s="8"/>
      <c r="S154" s="8"/>
      <c r="T154" s="28"/>
      <c r="U154" s="8"/>
      <c r="V154" s="25"/>
      <c r="W154" s="25" t="s">
        <v>15</v>
      </c>
      <c r="X154" s="21"/>
      <c r="Y154" s="30">
        <v>3946.0</v>
      </c>
      <c r="Z154" s="21"/>
      <c r="AA154" s="21"/>
      <c r="AB154" s="21"/>
      <c r="AC154" s="21"/>
      <c r="AD154" s="21"/>
      <c r="AE154" s="21"/>
      <c r="AF154" s="21"/>
      <c r="AG154" s="21"/>
      <c r="AH154" s="21"/>
      <c r="AI154" s="7"/>
      <c r="AJ154" s="7"/>
      <c r="AK154" s="7"/>
      <c r="AL154" s="24"/>
    </row>
    <row r="155">
      <c r="A155" s="50"/>
      <c r="B155" s="7"/>
      <c r="C155" s="13"/>
      <c r="D155" s="13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24"/>
      <c r="R155" s="8"/>
      <c r="S155" s="8"/>
      <c r="T155" s="28"/>
      <c r="U155" s="8"/>
      <c r="V155" s="25"/>
      <c r="W155" s="25" t="s">
        <v>16</v>
      </c>
      <c r="X155" s="21"/>
      <c r="Y155" s="26">
        <v>0.12</v>
      </c>
      <c r="Z155" s="21"/>
      <c r="AA155" s="21"/>
      <c r="AB155" s="21"/>
      <c r="AC155" s="21"/>
      <c r="AD155" s="21"/>
      <c r="AE155" s="21"/>
      <c r="AF155" s="21"/>
      <c r="AG155" s="21"/>
      <c r="AH155" s="21"/>
      <c r="AI155" s="7"/>
      <c r="AJ155" s="7"/>
      <c r="AK155" s="7"/>
      <c r="AL155" s="24"/>
    </row>
    <row r="156">
      <c r="A156" s="122"/>
      <c r="B156" s="65" t="s">
        <v>44</v>
      </c>
      <c r="C156" s="13"/>
      <c r="D156" s="13"/>
      <c r="E156" s="67">
        <f>pv(D132,F138-2023,0,-E149)</f>
        <v>9412.638393</v>
      </c>
      <c r="F156" s="67">
        <f>pv($D$20,1,0,-F149)</f>
        <v>10303.95508</v>
      </c>
      <c r="G156" s="67">
        <f>pv($D$20,2,0,-G149)</f>
        <v>14104.32161</v>
      </c>
      <c r="H156" s="67">
        <f>pv($D$20, 3,0,-H149)</f>
        <v>17619.38192</v>
      </c>
      <c r="I156" s="67">
        <f>pv($D$20,2027-2023,0,-I149)</f>
        <v>21037.03401</v>
      </c>
      <c r="J156" s="67">
        <f>pv(D132,2028-2023,0,-J149)</f>
        <v>24251.07531</v>
      </c>
      <c r="K156" s="67">
        <f>pv(D132,6,0,-K149)</f>
        <v>27523.73526</v>
      </c>
      <c r="L156" s="67">
        <f>pv(D132,2030-2023,0,-L149)</f>
        <v>30102.7558</v>
      </c>
      <c r="M156" s="67">
        <f>pv($D$20,2031-2023,0,-M149)</f>
        <v>32259.4077</v>
      </c>
      <c r="N156" s="68">
        <f>pv(D132,8,0,-M151)</f>
        <v>451631.7078</v>
      </c>
      <c r="O156" s="7"/>
      <c r="P156" s="7"/>
      <c r="Q156" s="24"/>
      <c r="R156" s="8"/>
      <c r="S156" s="8"/>
      <c r="T156" s="28"/>
      <c r="U156" s="8"/>
      <c r="V156" s="25"/>
      <c r="W156" s="25"/>
      <c r="X156" s="21"/>
      <c r="Y156" s="26"/>
      <c r="Z156" s="21"/>
      <c r="AA156" s="21"/>
      <c r="AB156" s="21"/>
      <c r="AC156" s="21"/>
      <c r="AD156" s="21"/>
      <c r="AE156" s="21"/>
      <c r="AF156" s="21"/>
      <c r="AG156" s="21"/>
      <c r="AH156" s="21"/>
      <c r="AI156" s="7"/>
      <c r="AJ156" s="7"/>
      <c r="AK156" s="7"/>
      <c r="AL156" s="24"/>
    </row>
    <row r="157">
      <c r="A157" s="121"/>
      <c r="B157" s="11" t="s">
        <v>45</v>
      </c>
      <c r="C157" s="66">
        <f>sum(F156:L156,N156)</f>
        <v>596573.9668</v>
      </c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7"/>
      <c r="O157" s="7"/>
      <c r="P157" s="7"/>
      <c r="Q157" s="24"/>
      <c r="R157" s="8"/>
      <c r="S157" s="8"/>
      <c r="T157" s="28"/>
      <c r="U157" s="8"/>
      <c r="V157" s="25"/>
      <c r="W157" s="25" t="s">
        <v>17</v>
      </c>
      <c r="X157" s="21"/>
      <c r="Y157" s="26">
        <v>0.04</v>
      </c>
      <c r="Z157" s="21"/>
      <c r="AA157" s="21"/>
      <c r="AB157" s="21"/>
      <c r="AC157" s="21"/>
      <c r="AD157" s="21"/>
      <c r="AE157" s="21"/>
      <c r="AF157" s="21"/>
      <c r="AG157" s="21"/>
      <c r="AH157" s="21"/>
      <c r="AI157" s="7"/>
      <c r="AJ157" s="7"/>
      <c r="AK157" s="7"/>
      <c r="AL157" s="24"/>
    </row>
    <row r="158">
      <c r="A158" s="122"/>
      <c r="B158" s="7"/>
      <c r="C158" s="13"/>
      <c r="D158" s="13"/>
      <c r="E158" s="7"/>
      <c r="F158" s="7"/>
      <c r="G158" s="7"/>
      <c r="H158" s="7"/>
      <c r="I158" s="7"/>
      <c r="J158" s="7"/>
      <c r="K158" s="7"/>
      <c r="L158" s="7"/>
      <c r="M158" s="7"/>
      <c r="O158" s="7"/>
      <c r="P158" s="7"/>
      <c r="Q158" s="24"/>
      <c r="R158" s="8"/>
      <c r="S158" s="8"/>
      <c r="T158" s="28"/>
      <c r="U158" s="8"/>
      <c r="V158" s="31"/>
      <c r="W158" s="31" t="s">
        <v>18</v>
      </c>
      <c r="X158" s="7"/>
      <c r="Y158" s="32">
        <v>0.21</v>
      </c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24"/>
    </row>
    <row r="159">
      <c r="A159" s="121"/>
      <c r="B159" s="69" t="s">
        <v>46</v>
      </c>
      <c r="C159" s="10"/>
      <c r="D159" s="10"/>
      <c r="E159" s="70">
        <f>D163+D162-D161</f>
        <v>596573.9668</v>
      </c>
      <c r="F159" s="13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24"/>
      <c r="R159" s="8"/>
      <c r="S159" s="8"/>
      <c r="T159" s="28"/>
      <c r="U159" s="8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24"/>
    </row>
    <row r="160">
      <c r="A160" s="122"/>
      <c r="B160" s="8"/>
      <c r="C160" s="10"/>
      <c r="D160" s="10"/>
      <c r="E160" s="7"/>
      <c r="F160" s="13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24"/>
      <c r="R160" s="8"/>
      <c r="S160" s="8"/>
      <c r="T160" s="28"/>
      <c r="U160" s="8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24"/>
    </row>
    <row r="161">
      <c r="A161" s="122"/>
      <c r="B161" s="31" t="s">
        <v>48</v>
      </c>
      <c r="C161" s="13"/>
      <c r="D161" s="74">
        <v>22185.0</v>
      </c>
      <c r="E161" s="52"/>
      <c r="F161" s="10"/>
      <c r="G161" s="8"/>
      <c r="H161" s="8"/>
      <c r="I161" s="8"/>
      <c r="J161" s="8"/>
      <c r="K161" s="8"/>
      <c r="L161" s="8"/>
      <c r="M161" s="8"/>
      <c r="N161" s="7"/>
      <c r="O161" s="7"/>
      <c r="P161" s="7"/>
      <c r="Q161" s="24"/>
      <c r="R161" s="8"/>
      <c r="S161" s="8"/>
      <c r="T161" s="28"/>
      <c r="U161" s="8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24"/>
    </row>
    <row r="162">
      <c r="A162" s="122"/>
      <c r="B162" s="31" t="s">
        <v>49</v>
      </c>
      <c r="C162" s="13"/>
      <c r="D162" s="76">
        <v>3099.0</v>
      </c>
      <c r="E162" s="75"/>
      <c r="F162" s="10"/>
      <c r="G162" s="8"/>
      <c r="H162" s="8"/>
      <c r="I162" s="8"/>
      <c r="J162" s="8"/>
      <c r="K162" s="8"/>
      <c r="L162" s="8"/>
      <c r="M162" s="8"/>
      <c r="N162" s="7"/>
      <c r="O162" s="7"/>
      <c r="P162" s="7"/>
      <c r="Q162" s="24"/>
      <c r="R162" s="8"/>
      <c r="S162" s="8"/>
      <c r="T162" s="28"/>
      <c r="U162" s="8"/>
      <c r="V162" s="31"/>
      <c r="W162" s="31" t="s">
        <v>19</v>
      </c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8"/>
      <c r="AL162" s="33"/>
    </row>
    <row r="163">
      <c r="A163" s="122"/>
      <c r="B163" s="52" t="s">
        <v>50</v>
      </c>
      <c r="C163" s="10"/>
      <c r="D163" s="77">
        <f>C157+D161-D162</f>
        <v>615659.9668</v>
      </c>
      <c r="E163" s="75"/>
      <c r="F163" s="10"/>
      <c r="G163" s="8"/>
      <c r="H163" s="8"/>
      <c r="I163" s="8"/>
      <c r="J163" s="8"/>
      <c r="K163" s="8"/>
      <c r="L163" s="8"/>
      <c r="M163" s="8"/>
      <c r="N163" s="8"/>
      <c r="O163" s="8"/>
      <c r="P163" s="7"/>
      <c r="Q163" s="24"/>
      <c r="R163" s="8"/>
      <c r="S163" s="8"/>
      <c r="T163" s="28"/>
      <c r="U163" s="8"/>
      <c r="V163" s="7"/>
      <c r="W163" s="7"/>
      <c r="X163" s="7"/>
      <c r="Y163" s="34"/>
      <c r="Z163" s="38">
        <v>2023.0</v>
      </c>
      <c r="AA163" s="38">
        <v>2024.0</v>
      </c>
      <c r="AB163" s="38">
        <v>2025.0</v>
      </c>
      <c r="AC163" s="38">
        <v>2026.0</v>
      </c>
      <c r="AD163" s="38">
        <v>2027.0</v>
      </c>
      <c r="AE163" s="38">
        <v>2028.0</v>
      </c>
      <c r="AF163" s="38">
        <v>2029.0</v>
      </c>
      <c r="AG163" s="38">
        <v>2030.0</v>
      </c>
      <c r="AH163" s="38">
        <v>2031.0</v>
      </c>
      <c r="AI163" s="7"/>
      <c r="AJ163" s="7"/>
      <c r="AK163" s="8"/>
      <c r="AL163" s="39"/>
    </row>
    <row r="164">
      <c r="A164" s="123"/>
      <c r="B164" s="52" t="s">
        <v>51</v>
      </c>
      <c r="C164" s="10"/>
      <c r="D164" s="75">
        <v>3518.0</v>
      </c>
      <c r="E164" s="75"/>
      <c r="F164" s="10"/>
      <c r="G164" s="8"/>
      <c r="H164" s="8"/>
      <c r="I164" s="8"/>
      <c r="J164" s="8"/>
      <c r="K164" s="8"/>
      <c r="L164" s="8"/>
      <c r="M164" s="8"/>
      <c r="N164" s="8"/>
      <c r="O164" s="8"/>
      <c r="P164" s="7"/>
      <c r="Q164" s="24"/>
      <c r="R164" s="8"/>
      <c r="S164" s="8"/>
      <c r="T164" s="28"/>
      <c r="U164" s="8"/>
      <c r="V164" s="31"/>
      <c r="W164" s="31" t="s">
        <v>20</v>
      </c>
      <c r="X164" s="7"/>
      <c r="Y164" s="7"/>
      <c r="Z164" s="44">
        <f>Y151</f>
        <v>81462</v>
      </c>
      <c r="AA164" s="44">
        <f>$E$27*1.27</f>
        <v>103456.74</v>
      </c>
      <c r="AB164" s="44">
        <f>AA164*1.25</f>
        <v>129320.925</v>
      </c>
      <c r="AC164" s="44">
        <f>AB164*1.2</f>
        <v>155185.11</v>
      </c>
      <c r="AD164" s="44">
        <f>AC164*1.15</f>
        <v>178462.8765</v>
      </c>
      <c r="AE164" s="44">
        <f>AD164*1.13</f>
        <v>201663.0504</v>
      </c>
      <c r="AF164" s="44">
        <f>AE164*1.1</f>
        <v>221829.3555</v>
      </c>
      <c r="AG164" s="44">
        <f>AF164*1.08</f>
        <v>239575.7039</v>
      </c>
      <c r="AH164" s="44">
        <f>AG164*1.05</f>
        <v>251554.4891</v>
      </c>
      <c r="AI164" s="7"/>
      <c r="AJ164" s="7"/>
      <c r="AK164" s="8"/>
      <c r="AL164" s="45"/>
    </row>
    <row r="165">
      <c r="A165" s="50"/>
      <c r="B165" s="52" t="s">
        <v>52</v>
      </c>
      <c r="C165" s="10"/>
      <c r="D165" s="82">
        <f>D163/D164</f>
        <v>175.0028331</v>
      </c>
      <c r="E165" s="10"/>
      <c r="F165" s="75" t="s">
        <v>53</v>
      </c>
      <c r="G165" s="8"/>
      <c r="H165" s="8"/>
      <c r="I165" s="8"/>
      <c r="J165" s="8"/>
      <c r="K165" s="8"/>
      <c r="L165" s="8"/>
      <c r="M165" s="8"/>
      <c r="N165" s="8"/>
      <c r="O165" s="8"/>
      <c r="P165" s="7"/>
      <c r="Q165" s="24"/>
      <c r="R165" s="8"/>
      <c r="S165" s="8"/>
      <c r="T165" s="28"/>
      <c r="U165" s="8"/>
      <c r="V165" s="31"/>
      <c r="W165" s="31" t="s">
        <v>21</v>
      </c>
      <c r="X165" s="7"/>
      <c r="Y165" s="7"/>
      <c r="Z165" s="44">
        <f t="shared" ref="Z165:AG165" si="71">Z164*Z149</f>
        <v>63540.36</v>
      </c>
      <c r="AA165" s="44">
        <f t="shared" si="71"/>
        <v>81730.8246</v>
      </c>
      <c r="AB165" s="44">
        <f t="shared" si="71"/>
        <v>103456.74</v>
      </c>
      <c r="AC165" s="44">
        <f t="shared" si="71"/>
        <v>127251.7902</v>
      </c>
      <c r="AD165" s="44">
        <f t="shared" si="71"/>
        <v>151693.445</v>
      </c>
      <c r="AE165" s="44">
        <f t="shared" si="71"/>
        <v>171413.5929</v>
      </c>
      <c r="AF165" s="44">
        <f t="shared" si="71"/>
        <v>188554.9522</v>
      </c>
      <c r="AG165" s="44">
        <f t="shared" si="71"/>
        <v>203639.3483</v>
      </c>
      <c r="AH165" s="44">
        <f>AH164*AG149</f>
        <v>213821.3158</v>
      </c>
      <c r="AI165" s="7"/>
      <c r="AJ165" s="7"/>
      <c r="AK165" s="8"/>
      <c r="AL165" s="45"/>
    </row>
    <row r="166">
      <c r="A166" s="28"/>
      <c r="B166" s="83" t="s">
        <v>54</v>
      </c>
      <c r="C166" s="10"/>
      <c r="D166" s="76">
        <v>175.0</v>
      </c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7"/>
      <c r="Q166" s="24"/>
      <c r="R166" s="8"/>
      <c r="S166" s="8"/>
      <c r="T166" s="28"/>
      <c r="U166" s="8"/>
      <c r="V166" s="31"/>
      <c r="W166" s="31" t="s">
        <v>22</v>
      </c>
      <c r="X166" s="7"/>
      <c r="Y166" s="7"/>
      <c r="Z166" s="44">
        <f t="shared" ref="Z166:Z167" si="73">Y153</f>
        <v>3075</v>
      </c>
      <c r="AA166" s="44">
        <f>Z166*1.19</f>
        <v>3659.25</v>
      </c>
      <c r="AB166" s="44">
        <f>AA166*1.21</f>
        <v>4427.6925</v>
      </c>
      <c r="AC166" s="44">
        <f>AB166*1.18</f>
        <v>5224.67715</v>
      </c>
      <c r="AD166" s="44">
        <f t="shared" ref="AD166:AH166" si="72">AC166*1.16</f>
        <v>6060.625494</v>
      </c>
      <c r="AE166" s="44">
        <f t="shared" si="72"/>
        <v>7030.325573</v>
      </c>
      <c r="AF166" s="44">
        <f t="shared" si="72"/>
        <v>8155.177665</v>
      </c>
      <c r="AG166" s="44">
        <f t="shared" si="72"/>
        <v>9460.006091</v>
      </c>
      <c r="AH166" s="44">
        <f t="shared" si="72"/>
        <v>10973.60707</v>
      </c>
      <c r="AI166" s="7"/>
      <c r="AJ166" s="7"/>
      <c r="AK166" s="8"/>
      <c r="AL166" s="45"/>
    </row>
    <row r="167">
      <c r="A167" s="28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8"/>
      <c r="O167" s="8"/>
      <c r="P167" s="8"/>
      <c r="Q167" s="33"/>
      <c r="R167" s="8"/>
      <c r="S167" s="8"/>
      <c r="T167" s="28"/>
      <c r="U167" s="8"/>
      <c r="V167" s="31"/>
      <c r="W167" s="31" t="s">
        <v>23</v>
      </c>
      <c r="X167" s="7"/>
      <c r="Y167" s="7"/>
      <c r="Z167" s="44">
        <f t="shared" si="73"/>
        <v>3946</v>
      </c>
      <c r="AA167" s="44">
        <f t="shared" ref="AA167:AH167" si="74">Z167*(1+Z145)</f>
        <v>4261.68</v>
      </c>
      <c r="AB167" s="44">
        <f t="shared" si="74"/>
        <v>4559.9976</v>
      </c>
      <c r="AC167" s="44">
        <f t="shared" si="74"/>
        <v>4787.99748</v>
      </c>
      <c r="AD167" s="44">
        <f t="shared" si="74"/>
        <v>4979.517379</v>
      </c>
      <c r="AE167" s="44">
        <f t="shared" si="74"/>
        <v>5128.902901</v>
      </c>
      <c r="AF167" s="44">
        <f t="shared" si="74"/>
        <v>5231.480959</v>
      </c>
      <c r="AG167" s="44">
        <f t="shared" si="74"/>
        <v>5336.110578</v>
      </c>
      <c r="AH167" s="44">
        <f t="shared" si="74"/>
        <v>5442.832789</v>
      </c>
      <c r="AI167" s="7"/>
      <c r="AJ167" s="7"/>
      <c r="AK167" s="8"/>
      <c r="AL167" s="45"/>
    </row>
    <row r="168">
      <c r="A168" s="28"/>
      <c r="B168" s="69" t="s">
        <v>72</v>
      </c>
      <c r="C168" s="124">
        <f>RATE(7,0,-F149,M149)</f>
        <v>0.318334183</v>
      </c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8"/>
      <c r="O168" s="8"/>
      <c r="P168" s="8"/>
      <c r="Q168" s="39"/>
      <c r="R168" s="8"/>
      <c r="S168" s="8"/>
      <c r="T168" s="28"/>
      <c r="U168" s="8"/>
      <c r="V168" s="7"/>
      <c r="W168" s="31" t="s">
        <v>25</v>
      </c>
      <c r="X168" s="7"/>
      <c r="Y168" s="7"/>
      <c r="Z168" s="46">
        <v>0.0</v>
      </c>
      <c r="AA168" s="44">
        <f t="shared" ref="AA168:AH168" si="75">AA164*Z146</f>
        <v>4965.92352</v>
      </c>
      <c r="AB168" s="44">
        <f t="shared" si="75"/>
        <v>5819.441625</v>
      </c>
      <c r="AC168" s="44">
        <f t="shared" si="75"/>
        <v>6207.4044</v>
      </c>
      <c r="AD168" s="44">
        <f t="shared" si="75"/>
        <v>6781.589307</v>
      </c>
      <c r="AE168" s="44">
        <f t="shared" si="75"/>
        <v>7058.206766</v>
      </c>
      <c r="AF168" s="44">
        <f t="shared" si="75"/>
        <v>6654.880665</v>
      </c>
      <c r="AG168" s="44">
        <f t="shared" si="75"/>
        <v>7187.271118</v>
      </c>
      <c r="AH168" s="44">
        <f t="shared" si="75"/>
        <v>7546.634674</v>
      </c>
      <c r="AI168" s="7"/>
      <c r="AJ168" s="7"/>
      <c r="AK168" s="8"/>
      <c r="AL168" s="33"/>
    </row>
    <row r="169">
      <c r="A169" s="125"/>
      <c r="N169" s="10"/>
      <c r="O169" s="10"/>
      <c r="P169" s="8"/>
      <c r="Q169" s="45"/>
      <c r="R169" s="8"/>
      <c r="S169" s="8"/>
      <c r="T169" s="28"/>
      <c r="U169" s="8"/>
      <c r="V169" s="7"/>
      <c r="W169" s="31" t="s">
        <v>27</v>
      </c>
      <c r="X169" s="7"/>
      <c r="Y169" s="7"/>
      <c r="Z169" s="46">
        <v>0.0</v>
      </c>
      <c r="AA169" s="44">
        <f t="shared" ref="AA169:AH169" si="76">AA168*Z147</f>
        <v>4221.034992</v>
      </c>
      <c r="AB169" s="44">
        <f t="shared" si="76"/>
        <v>4655.5533</v>
      </c>
      <c r="AC169" s="44">
        <f t="shared" si="76"/>
        <v>4655.5533</v>
      </c>
      <c r="AD169" s="44">
        <f t="shared" si="76"/>
        <v>4747.112515</v>
      </c>
      <c r="AE169" s="44">
        <f t="shared" si="76"/>
        <v>4940.744736</v>
      </c>
      <c r="AF169" s="44">
        <f t="shared" si="76"/>
        <v>4658.416465</v>
      </c>
      <c r="AG169" s="44">
        <f t="shared" si="76"/>
        <v>5031.089783</v>
      </c>
      <c r="AH169" s="44">
        <f t="shared" si="76"/>
        <v>5282.644272</v>
      </c>
      <c r="AI169" s="7"/>
      <c r="AJ169" s="7"/>
      <c r="AK169" s="8"/>
      <c r="AL169" s="45"/>
    </row>
    <row r="170">
      <c r="A170" s="125"/>
      <c r="N170" s="10"/>
      <c r="O170" s="10"/>
      <c r="P170" s="8"/>
      <c r="Q170" s="45"/>
      <c r="R170" s="8"/>
      <c r="S170" s="8"/>
      <c r="T170" s="28"/>
      <c r="U170" s="8"/>
      <c r="V170" s="40"/>
      <c r="W170" s="40" t="s">
        <v>26</v>
      </c>
      <c r="X170" s="7"/>
      <c r="Y170" s="7"/>
      <c r="Z170" s="49">
        <f t="shared" ref="Z170:AH170" si="77">Z164-Z166-Z167-Z168-Z165</f>
        <v>10900.64</v>
      </c>
      <c r="AA170" s="49">
        <f t="shared" si="77"/>
        <v>8839.06188</v>
      </c>
      <c r="AB170" s="49">
        <f t="shared" si="77"/>
        <v>11057.05328</v>
      </c>
      <c r="AC170" s="49">
        <f t="shared" si="77"/>
        <v>11713.24077</v>
      </c>
      <c r="AD170" s="49">
        <f t="shared" si="77"/>
        <v>8947.699295</v>
      </c>
      <c r="AE170" s="49">
        <f t="shared" si="77"/>
        <v>11032.02233</v>
      </c>
      <c r="AF170" s="49">
        <f t="shared" si="77"/>
        <v>13232.86404</v>
      </c>
      <c r="AG170" s="49">
        <f t="shared" si="77"/>
        <v>13952.9678</v>
      </c>
      <c r="AH170" s="49">
        <f t="shared" si="77"/>
        <v>13770.09884</v>
      </c>
      <c r="AI170" s="7"/>
      <c r="AJ170" s="7"/>
      <c r="AK170" s="7"/>
      <c r="AL170" s="24"/>
    </row>
    <row r="171">
      <c r="A171" s="28"/>
      <c r="B171" s="8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8"/>
      <c r="Q171" s="45"/>
      <c r="R171" s="8"/>
      <c r="S171" s="8"/>
      <c r="T171" s="28"/>
      <c r="U171" s="8"/>
      <c r="V171" s="52"/>
      <c r="W171" s="52" t="s">
        <v>28</v>
      </c>
      <c r="X171" s="7"/>
      <c r="Y171" s="7"/>
      <c r="Z171" s="44">
        <f t="shared" ref="Z171:AH171" si="78">Z170*$D$22</f>
        <v>2289.1344</v>
      </c>
      <c r="AA171" s="44">
        <f t="shared" si="78"/>
        <v>1856.202995</v>
      </c>
      <c r="AB171" s="44">
        <f t="shared" si="78"/>
        <v>2321.981188</v>
      </c>
      <c r="AC171" s="44">
        <f t="shared" si="78"/>
        <v>2459.780562</v>
      </c>
      <c r="AD171" s="44">
        <f t="shared" si="78"/>
        <v>1879.016852</v>
      </c>
      <c r="AE171" s="44">
        <f t="shared" si="78"/>
        <v>2316.724689</v>
      </c>
      <c r="AF171" s="44">
        <f t="shared" si="78"/>
        <v>2778.901447</v>
      </c>
      <c r="AG171" s="44">
        <f t="shared" si="78"/>
        <v>2930.123239</v>
      </c>
      <c r="AH171" s="44">
        <f t="shared" si="78"/>
        <v>2891.720756</v>
      </c>
      <c r="AI171" s="7"/>
      <c r="AJ171" s="7"/>
      <c r="AK171" s="7"/>
      <c r="AL171" s="24"/>
    </row>
    <row r="172">
      <c r="A172" s="50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33"/>
      <c r="R172" s="8"/>
      <c r="S172" s="8"/>
      <c r="T172" s="28"/>
      <c r="U172" s="8"/>
      <c r="V172" s="40"/>
      <c r="W172" s="53" t="s">
        <v>30</v>
      </c>
      <c r="X172" s="7"/>
      <c r="Y172" s="7"/>
      <c r="Z172" s="49">
        <f t="shared" ref="Z172:AH172" si="79">Z170+Z168-Z171</f>
        <v>8611.5056</v>
      </c>
      <c r="AA172" s="49">
        <f t="shared" si="79"/>
        <v>11948.78241</v>
      </c>
      <c r="AB172" s="49">
        <f t="shared" si="79"/>
        <v>14554.51371</v>
      </c>
      <c r="AC172" s="49">
        <f t="shared" si="79"/>
        <v>15460.86461</v>
      </c>
      <c r="AD172" s="49">
        <f t="shared" si="79"/>
        <v>13850.27175</v>
      </c>
      <c r="AE172" s="49">
        <f t="shared" si="79"/>
        <v>15773.5044</v>
      </c>
      <c r="AF172" s="49">
        <f t="shared" si="79"/>
        <v>17108.84325</v>
      </c>
      <c r="AG172" s="49">
        <f t="shared" si="79"/>
        <v>18210.11568</v>
      </c>
      <c r="AH172" s="49">
        <f t="shared" si="79"/>
        <v>18425.01276</v>
      </c>
      <c r="AI172" s="7"/>
      <c r="AJ172" s="7"/>
      <c r="AK172" s="7"/>
      <c r="AL172" s="24"/>
    </row>
    <row r="173">
      <c r="A173" s="50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33"/>
      <c r="R173" s="8"/>
      <c r="S173" s="8"/>
      <c r="T173" s="28"/>
      <c r="U173" s="8"/>
      <c r="V173" s="31"/>
      <c r="W173" s="31" t="s">
        <v>25</v>
      </c>
      <c r="X173" s="7"/>
      <c r="Y173" s="7"/>
      <c r="Z173" s="46">
        <v>0.0</v>
      </c>
      <c r="AA173" s="44">
        <v>4965.92352</v>
      </c>
      <c r="AB173" s="44">
        <v>5819.4416249999995</v>
      </c>
      <c r="AC173" s="44">
        <v>6207.404399999999</v>
      </c>
      <c r="AD173" s="44">
        <v>6781.589306999999</v>
      </c>
      <c r="AE173" s="44">
        <v>7058.206765575</v>
      </c>
      <c r="AF173" s="44">
        <v>6654.880664684999</v>
      </c>
      <c r="AG173" s="44">
        <v>7187.271117859799</v>
      </c>
      <c r="AH173" s="44">
        <v>7546.63467375279</v>
      </c>
      <c r="AI173" s="7"/>
      <c r="AJ173" s="7"/>
      <c r="AK173" s="7"/>
      <c r="AL173" s="24"/>
    </row>
    <row r="174">
      <c r="A174" s="2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33"/>
      <c r="R174" s="8"/>
      <c r="S174" s="8"/>
      <c r="T174" s="28"/>
      <c r="U174" s="8"/>
      <c r="V174" s="31"/>
      <c r="W174" s="31" t="s">
        <v>31</v>
      </c>
      <c r="X174" s="7"/>
      <c r="Y174" s="7"/>
      <c r="Z174" s="44"/>
      <c r="AA174" s="44">
        <f t="shared" ref="AA174:AH174" si="80">-AA169</f>
        <v>-4221.034992</v>
      </c>
      <c r="AB174" s="44">
        <f t="shared" si="80"/>
        <v>-4655.5533</v>
      </c>
      <c r="AC174" s="44">
        <f t="shared" si="80"/>
        <v>-4655.5533</v>
      </c>
      <c r="AD174" s="44">
        <f t="shared" si="80"/>
        <v>-4747.112515</v>
      </c>
      <c r="AE174" s="44">
        <f t="shared" si="80"/>
        <v>-4940.744736</v>
      </c>
      <c r="AF174" s="44">
        <f t="shared" si="80"/>
        <v>-4658.416465</v>
      </c>
      <c r="AG174" s="44">
        <f t="shared" si="80"/>
        <v>-5031.089783</v>
      </c>
      <c r="AH174" s="44">
        <f t="shared" si="80"/>
        <v>-5282.644272</v>
      </c>
      <c r="AI174" s="7"/>
      <c r="AJ174" s="7"/>
      <c r="AK174" s="7"/>
      <c r="AL174" s="24"/>
    </row>
    <row r="175">
      <c r="A175" s="126"/>
      <c r="B175" s="127"/>
      <c r="C175" s="127"/>
      <c r="D175" s="127"/>
      <c r="E175" s="127"/>
      <c r="F175" s="127"/>
      <c r="G175" s="127"/>
      <c r="H175" s="127"/>
      <c r="I175" s="127"/>
      <c r="J175" s="127"/>
      <c r="K175" s="127"/>
      <c r="L175" s="127"/>
      <c r="M175" s="127"/>
      <c r="N175" s="127"/>
      <c r="O175" s="127"/>
      <c r="P175" s="86"/>
      <c r="Q175" s="128"/>
      <c r="R175" s="8"/>
      <c r="S175" s="8"/>
      <c r="T175" s="28"/>
      <c r="U175" s="8"/>
      <c r="V175" s="31"/>
      <c r="W175" s="40" t="s">
        <v>32</v>
      </c>
      <c r="X175" s="7"/>
      <c r="Y175" s="7"/>
      <c r="Z175" s="57">
        <f>Z172</f>
        <v>8611.5056</v>
      </c>
      <c r="AA175" s="57">
        <f t="shared" ref="AA175:AH175" si="81">AA172+AA174</f>
        <v>7727.747413</v>
      </c>
      <c r="AB175" s="57">
        <f t="shared" si="81"/>
        <v>9898.960412</v>
      </c>
      <c r="AC175" s="57">
        <f t="shared" si="81"/>
        <v>10805.31131</v>
      </c>
      <c r="AD175" s="57">
        <f t="shared" si="81"/>
        <v>9103.159235</v>
      </c>
      <c r="AE175" s="57">
        <f t="shared" si="81"/>
        <v>10832.75967</v>
      </c>
      <c r="AF175" s="57">
        <f t="shared" si="81"/>
        <v>12450.42679</v>
      </c>
      <c r="AG175" s="57">
        <f t="shared" si="81"/>
        <v>13179.0259</v>
      </c>
      <c r="AH175" s="57">
        <f t="shared" si="81"/>
        <v>13142.36849</v>
      </c>
      <c r="AI175" s="57">
        <f>AH175*1.04</f>
        <v>13668.06323</v>
      </c>
      <c r="AJ175" s="7"/>
      <c r="AK175" s="44">
        <f>AI175/(0.12-0.04)</f>
        <v>170850.7903</v>
      </c>
      <c r="AL175" s="24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28"/>
      <c r="U176" s="8"/>
      <c r="V176" s="65"/>
      <c r="W176" s="31" t="s">
        <v>39</v>
      </c>
      <c r="X176" s="7"/>
      <c r="Y176" s="7"/>
      <c r="Z176" s="44"/>
      <c r="AA176" s="44"/>
      <c r="AB176" s="44"/>
      <c r="AC176" s="44"/>
      <c r="AD176" s="44"/>
      <c r="AE176" s="44"/>
      <c r="AF176" s="44"/>
      <c r="AG176" s="44"/>
      <c r="AH176" s="41">
        <f>AH175*(1.04)/(0.12-0.04)</f>
        <v>170850.7903</v>
      </c>
      <c r="AI176" s="40" t="s">
        <v>33</v>
      </c>
      <c r="AJ176" s="7"/>
      <c r="AK176" s="7"/>
      <c r="AL176" s="24"/>
    </row>
    <row r="177">
      <c r="A177" s="129" t="s">
        <v>73</v>
      </c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04"/>
      <c r="M177" s="8"/>
      <c r="N177" s="8"/>
      <c r="O177" s="8"/>
      <c r="P177" s="8"/>
      <c r="Q177" s="42"/>
      <c r="R177" s="8"/>
      <c r="S177" s="8"/>
      <c r="T177" s="28"/>
      <c r="U177" s="8"/>
      <c r="V177" s="11"/>
      <c r="W177" s="8"/>
      <c r="X177" s="60"/>
      <c r="Y177" s="8"/>
      <c r="Z177" s="8"/>
      <c r="AA177" s="7"/>
      <c r="AB177" s="7"/>
      <c r="AC177" s="7"/>
      <c r="AD177" s="7"/>
      <c r="AE177" s="7"/>
      <c r="AF177" s="7"/>
      <c r="AG177" s="7"/>
      <c r="AH177" s="7"/>
      <c r="AI177" s="41">
        <f>AH176+AH175</f>
        <v>183993.1588</v>
      </c>
      <c r="AJ177" s="8"/>
      <c r="AK177" s="7"/>
      <c r="AL177" s="24"/>
    </row>
    <row r="178">
      <c r="A178" s="28"/>
      <c r="B178" s="8"/>
      <c r="C178" s="52" t="s">
        <v>74</v>
      </c>
      <c r="D178" s="52" t="s">
        <v>75</v>
      </c>
      <c r="E178" s="52" t="s">
        <v>65</v>
      </c>
      <c r="F178" s="8"/>
      <c r="G178" s="8"/>
      <c r="H178" s="8"/>
      <c r="I178" s="8"/>
      <c r="J178" s="8"/>
      <c r="K178" s="8"/>
      <c r="L178" s="33"/>
      <c r="M178" s="8"/>
      <c r="N178" s="8"/>
      <c r="O178" s="8"/>
      <c r="P178" s="7"/>
      <c r="Q178" s="7"/>
      <c r="R178" s="8"/>
      <c r="S178" s="8"/>
      <c r="T178" s="28"/>
      <c r="U178" s="8"/>
      <c r="V178" s="11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24"/>
    </row>
    <row r="179">
      <c r="A179" s="28"/>
      <c r="B179" s="52" t="s">
        <v>76</v>
      </c>
      <c r="C179" s="130">
        <v>6.9</v>
      </c>
      <c r="D179" s="88">
        <f>F31</f>
        <v>17943.255</v>
      </c>
      <c r="E179" s="88">
        <f t="shared" ref="E179:E180" si="82">C179*D179</f>
        <v>123808.4595</v>
      </c>
      <c r="F179" s="8"/>
      <c r="G179" s="8"/>
      <c r="H179" s="8"/>
      <c r="I179" s="8"/>
      <c r="J179" s="8"/>
      <c r="K179" s="8"/>
      <c r="L179" s="33"/>
      <c r="M179" s="8"/>
      <c r="N179" s="8"/>
      <c r="O179" s="8"/>
      <c r="P179" s="7"/>
      <c r="Q179" s="7"/>
      <c r="R179" s="8"/>
      <c r="S179" s="8"/>
      <c r="T179" s="28"/>
      <c r="U179" s="8"/>
      <c r="V179" s="10"/>
      <c r="W179" s="40" t="s">
        <v>41</v>
      </c>
      <c r="X179" s="7"/>
      <c r="Y179" s="7"/>
      <c r="Z179" s="64">
        <f t="array" ref="Z179">npv(0.12,AA175:AG175,AI177)</f>
        <v>120995.2399</v>
      </c>
      <c r="AA179" s="63"/>
      <c r="AB179" s="7"/>
      <c r="AC179" s="7"/>
      <c r="AD179" s="7"/>
      <c r="AE179" s="7"/>
      <c r="AF179" s="7"/>
      <c r="AG179" s="7"/>
      <c r="AH179" s="7"/>
      <c r="AI179" s="7"/>
      <c r="AJ179" s="40" t="s">
        <v>37</v>
      </c>
      <c r="AK179" s="7"/>
      <c r="AL179" s="24"/>
    </row>
    <row r="180">
      <c r="A180" s="28"/>
      <c r="B180" s="52" t="s">
        <v>77</v>
      </c>
      <c r="C180" s="130">
        <v>13.4</v>
      </c>
      <c r="D180" s="88">
        <f>F31</f>
        <v>17943.255</v>
      </c>
      <c r="E180" s="88">
        <f t="shared" si="82"/>
        <v>240439.617</v>
      </c>
      <c r="F180" s="8"/>
      <c r="G180" s="8"/>
      <c r="H180" s="8"/>
      <c r="I180" s="8"/>
      <c r="J180" s="8"/>
      <c r="K180" s="8"/>
      <c r="L180" s="33"/>
      <c r="M180" s="8"/>
      <c r="N180" s="8"/>
      <c r="O180" s="8"/>
      <c r="P180" s="7"/>
      <c r="Q180" s="7"/>
      <c r="R180" s="10"/>
      <c r="S180" s="8"/>
      <c r="T180" s="28"/>
      <c r="U180" s="8"/>
      <c r="V180" s="13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24"/>
    </row>
    <row r="181">
      <c r="A181" s="2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33"/>
      <c r="M181" s="8"/>
      <c r="N181" s="8"/>
      <c r="O181" s="8"/>
      <c r="P181" s="7"/>
      <c r="Q181" s="7"/>
      <c r="R181" s="13"/>
      <c r="S181" s="8"/>
      <c r="T181" s="28"/>
      <c r="U181" s="8"/>
      <c r="V181" s="11"/>
      <c r="W181" s="65" t="s">
        <v>44</v>
      </c>
      <c r="X181" s="13"/>
      <c r="Y181" s="13"/>
      <c r="Z181" s="67">
        <f>pv(Y155,AA163-2023,0,-Z175)</f>
        <v>7688.844286</v>
      </c>
      <c r="AA181" s="67">
        <f>pv($D$20,1,0,-AA175)</f>
        <v>6899.774476</v>
      </c>
      <c r="AB181" s="67">
        <f>pv($D$20,2,0,-AB175)</f>
        <v>7891.390635</v>
      </c>
      <c r="AC181" s="67">
        <f>pv($D$20, 3,0,-AC175)</f>
        <v>7691.007161</v>
      </c>
      <c r="AD181" s="67">
        <f>pv($D$20,2027-2023,0,-AD175)</f>
        <v>5785.222264</v>
      </c>
      <c r="AE181" s="67">
        <f>pv(Y155,2028-2023,0,-AE175)</f>
        <v>6146.798757</v>
      </c>
      <c r="AF181" s="67">
        <f>pv(Y155,6,0,-AF175)</f>
        <v>6307.773682</v>
      </c>
      <c r="AG181" s="67">
        <f>pv(Y155,2030-2023,0,-AG175)</f>
        <v>5961.522025</v>
      </c>
      <c r="AH181" s="67">
        <f>pv($D$20,2031-2023,0,-AH175)</f>
        <v>5307.982207</v>
      </c>
      <c r="AI181" s="68">
        <f>pv(Y155,8,0,-AI177)</f>
        <v>74311.7509</v>
      </c>
      <c r="AJ181" s="7"/>
      <c r="AK181" s="7"/>
      <c r="AL181" s="24"/>
    </row>
    <row r="182">
      <c r="A182" s="2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33"/>
      <c r="M182" s="8"/>
      <c r="N182" s="8"/>
      <c r="O182" s="8"/>
      <c r="P182" s="7"/>
      <c r="Q182" s="7"/>
      <c r="R182" s="13"/>
      <c r="S182" s="8"/>
      <c r="T182" s="28"/>
      <c r="U182" s="8"/>
      <c r="V182" s="13"/>
      <c r="W182" s="11" t="s">
        <v>45</v>
      </c>
      <c r="X182" s="66">
        <f>sum(AA181:AG181,AI181)</f>
        <v>120995.2399</v>
      </c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7"/>
      <c r="AJ182" s="7"/>
      <c r="AK182" s="7"/>
      <c r="AL182" s="24"/>
    </row>
    <row r="183">
      <c r="A183" s="28"/>
      <c r="B183" s="131" t="s">
        <v>78</v>
      </c>
      <c r="C183" s="132"/>
      <c r="D183" s="133"/>
      <c r="E183" s="8"/>
      <c r="F183" s="8"/>
      <c r="G183" s="131" t="s">
        <v>79</v>
      </c>
      <c r="H183" s="132"/>
      <c r="I183" s="132"/>
      <c r="J183" s="132"/>
      <c r="K183" s="133"/>
      <c r="L183" s="33"/>
      <c r="M183" s="8"/>
      <c r="N183" s="8"/>
      <c r="O183" s="8"/>
      <c r="P183" s="7"/>
      <c r="Q183" s="7"/>
      <c r="R183" s="13"/>
      <c r="S183" s="8"/>
      <c r="T183" s="28"/>
      <c r="U183" s="8"/>
      <c r="V183" s="11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24"/>
    </row>
    <row r="184">
      <c r="A184" s="28"/>
      <c r="B184" s="134" t="s">
        <v>80</v>
      </c>
      <c r="C184" s="8"/>
      <c r="D184" s="135"/>
      <c r="E184" s="8"/>
      <c r="F184" s="8"/>
      <c r="G184" s="134" t="s">
        <v>80</v>
      </c>
      <c r="H184" s="8"/>
      <c r="I184" s="8"/>
      <c r="J184" s="8"/>
      <c r="K184" s="135"/>
      <c r="L184" s="33"/>
      <c r="M184" s="8"/>
      <c r="N184" s="8"/>
      <c r="O184" s="8"/>
      <c r="P184" s="7"/>
      <c r="Q184" s="7"/>
      <c r="R184" s="13"/>
      <c r="S184" s="8"/>
      <c r="T184" s="28"/>
      <c r="U184" s="8"/>
      <c r="V184" s="13"/>
      <c r="W184" s="69" t="s">
        <v>46</v>
      </c>
      <c r="X184" s="10"/>
      <c r="Y184" s="10"/>
      <c r="Z184" s="67">
        <f>Y188+Y187-Y186</f>
        <v>120995.2399</v>
      </c>
      <c r="AA184" s="72">
        <f>-Y186+Y187+Z188</f>
        <v>120995.2399</v>
      </c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24"/>
    </row>
    <row r="185">
      <c r="A185" s="28"/>
      <c r="B185" s="136"/>
      <c r="C185" s="8"/>
      <c r="D185" s="135"/>
      <c r="E185" s="8"/>
      <c r="F185" s="8"/>
      <c r="G185" s="136"/>
      <c r="H185" s="8"/>
      <c r="I185" s="8"/>
      <c r="J185" s="8"/>
      <c r="K185" s="135"/>
      <c r="L185" s="33"/>
      <c r="M185" s="8"/>
      <c r="N185" s="8"/>
      <c r="O185" s="8"/>
      <c r="P185" s="7"/>
      <c r="Q185" s="7"/>
      <c r="R185" s="13"/>
      <c r="S185" s="8"/>
      <c r="T185" s="28"/>
      <c r="U185" s="8"/>
      <c r="V185" s="13"/>
      <c r="W185" s="8"/>
      <c r="X185" s="8"/>
      <c r="Y185" s="8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24"/>
    </row>
    <row r="186">
      <c r="A186" s="28"/>
      <c r="B186" s="134" t="s">
        <v>48</v>
      </c>
      <c r="C186" s="8"/>
      <c r="D186" s="137">
        <v>22185.0</v>
      </c>
      <c r="E186" s="8"/>
      <c r="F186" s="8"/>
      <c r="G186" s="134" t="s">
        <v>48</v>
      </c>
      <c r="H186" s="8"/>
      <c r="I186" s="8"/>
      <c r="J186" s="8"/>
      <c r="K186" s="137">
        <v>22185.0</v>
      </c>
      <c r="L186" s="33"/>
      <c r="M186" s="8"/>
      <c r="N186" s="8"/>
      <c r="O186" s="8"/>
      <c r="P186" s="8"/>
      <c r="Q186" s="7"/>
      <c r="R186" s="13"/>
      <c r="S186" s="8"/>
      <c r="T186" s="28"/>
      <c r="U186" s="8"/>
      <c r="V186" s="13"/>
      <c r="W186" s="31" t="s">
        <v>48</v>
      </c>
      <c r="X186" s="7"/>
      <c r="Y186" s="46">
        <v>22185.0</v>
      </c>
      <c r="Z186" s="52"/>
      <c r="AA186" s="8"/>
      <c r="AB186" s="8"/>
      <c r="AC186" s="8"/>
      <c r="AD186" s="8"/>
      <c r="AE186" s="8"/>
      <c r="AF186" s="8"/>
      <c r="AG186" s="8"/>
      <c r="AH186" s="8"/>
      <c r="AI186" s="8"/>
      <c r="AJ186" s="7"/>
      <c r="AK186" s="7"/>
      <c r="AL186" s="24"/>
    </row>
    <row r="187">
      <c r="A187" s="28"/>
      <c r="B187" s="134" t="s">
        <v>49</v>
      </c>
      <c r="C187" s="8"/>
      <c r="D187" s="137">
        <v>3099.0</v>
      </c>
      <c r="E187" s="8"/>
      <c r="F187" s="8"/>
      <c r="G187" s="134" t="s">
        <v>49</v>
      </c>
      <c r="H187" s="8"/>
      <c r="I187" s="8"/>
      <c r="J187" s="8"/>
      <c r="K187" s="137">
        <v>3099.0</v>
      </c>
      <c r="L187" s="33"/>
      <c r="M187" s="8"/>
      <c r="N187" s="8"/>
      <c r="O187" s="8"/>
      <c r="P187" s="7"/>
      <c r="Q187" s="7"/>
      <c r="R187" s="13"/>
      <c r="S187" s="8"/>
      <c r="T187" s="28"/>
      <c r="U187" s="8"/>
      <c r="V187" s="13"/>
      <c r="W187" s="31" t="s">
        <v>49</v>
      </c>
      <c r="X187" s="7"/>
      <c r="Y187" s="90">
        <v>3099.0</v>
      </c>
      <c r="Z187" s="52"/>
      <c r="AA187" s="8"/>
      <c r="AB187" s="8"/>
      <c r="AC187" s="8"/>
      <c r="AD187" s="8"/>
      <c r="AE187" s="8"/>
      <c r="AF187" s="8"/>
      <c r="AG187" s="8"/>
      <c r="AH187" s="8"/>
      <c r="AI187" s="8"/>
      <c r="AJ187" s="7"/>
      <c r="AK187" s="7"/>
      <c r="AL187" s="24"/>
    </row>
    <row r="188">
      <c r="A188" s="28"/>
      <c r="B188" s="134" t="s">
        <v>50</v>
      </c>
      <c r="C188" s="8"/>
      <c r="D188" s="138">
        <f>E179</f>
        <v>123808.4595</v>
      </c>
      <c r="E188" s="8"/>
      <c r="F188" s="8"/>
      <c r="G188" s="134" t="s">
        <v>50</v>
      </c>
      <c r="H188" s="8"/>
      <c r="I188" s="8"/>
      <c r="J188" s="8"/>
      <c r="K188" s="138">
        <f>E180</f>
        <v>240439.617</v>
      </c>
      <c r="L188" s="33"/>
      <c r="M188" s="8"/>
      <c r="N188" s="8"/>
      <c r="O188" s="8"/>
      <c r="P188" s="7"/>
      <c r="Q188" s="7"/>
      <c r="R188" s="13"/>
      <c r="S188" s="8"/>
      <c r="T188" s="28"/>
      <c r="U188" s="8"/>
      <c r="V188" s="69"/>
      <c r="W188" s="52" t="s">
        <v>50</v>
      </c>
      <c r="X188" s="8"/>
      <c r="Y188" s="77">
        <f>X182+Y186-Y187</f>
        <v>140081.2399</v>
      </c>
      <c r="Z188" s="139">
        <f>Z179+Y186-Y187</f>
        <v>140081.2399</v>
      </c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33"/>
    </row>
    <row r="189">
      <c r="A189" s="28"/>
      <c r="B189" s="134" t="s">
        <v>51</v>
      </c>
      <c r="C189" s="8"/>
      <c r="D189" s="140">
        <v>3518.0</v>
      </c>
      <c r="E189" s="8"/>
      <c r="F189" s="8"/>
      <c r="G189" s="134" t="s">
        <v>51</v>
      </c>
      <c r="H189" s="8"/>
      <c r="I189" s="8"/>
      <c r="J189" s="8"/>
      <c r="K189" s="140">
        <v>3518.0</v>
      </c>
      <c r="L189" s="33"/>
      <c r="M189" s="8"/>
      <c r="N189" s="8"/>
      <c r="O189" s="8"/>
      <c r="P189" s="7"/>
      <c r="Q189" s="7"/>
      <c r="R189" s="13"/>
      <c r="S189" s="8"/>
      <c r="T189" s="28"/>
      <c r="U189" s="8"/>
      <c r="V189" s="8"/>
      <c r="W189" s="52" t="s">
        <v>51</v>
      </c>
      <c r="X189" s="8"/>
      <c r="Y189" s="52">
        <v>3518.0</v>
      </c>
      <c r="Z189" s="52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33"/>
    </row>
    <row r="190">
      <c r="A190" s="28"/>
      <c r="B190" s="134" t="s">
        <v>52</v>
      </c>
      <c r="C190" s="8"/>
      <c r="D190" s="141">
        <f>D188/D189</f>
        <v>35.19285375</v>
      </c>
      <c r="E190" s="8"/>
      <c r="F190" s="8"/>
      <c r="G190" s="134" t="s">
        <v>52</v>
      </c>
      <c r="H190" s="8"/>
      <c r="I190" s="8"/>
      <c r="J190" s="8"/>
      <c r="K190" s="141">
        <f>K188/K189</f>
        <v>68.34554207</v>
      </c>
      <c r="L190" s="33"/>
      <c r="M190" s="8"/>
      <c r="N190" s="8"/>
      <c r="O190" s="8"/>
      <c r="P190" s="7"/>
      <c r="Q190" s="7"/>
      <c r="R190" s="13"/>
      <c r="S190" s="8"/>
      <c r="T190" s="28"/>
      <c r="U190" s="8"/>
      <c r="V190" s="8"/>
      <c r="W190" s="52" t="s">
        <v>52</v>
      </c>
      <c r="X190" s="8"/>
      <c r="Y190" s="77">
        <f>Y188/Y189</f>
        <v>39.8184309</v>
      </c>
      <c r="Z190" s="82">
        <f>Z188/Y189</f>
        <v>39.8184309</v>
      </c>
      <c r="AA190" s="52" t="s">
        <v>53</v>
      </c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33"/>
    </row>
    <row r="191">
      <c r="A191" s="28"/>
      <c r="B191" s="142" t="s">
        <v>54</v>
      </c>
      <c r="C191" s="143"/>
      <c r="D191" s="144">
        <v>175.0</v>
      </c>
      <c r="E191" s="8"/>
      <c r="F191" s="8"/>
      <c r="G191" s="142" t="s">
        <v>54</v>
      </c>
      <c r="H191" s="143"/>
      <c r="I191" s="143"/>
      <c r="J191" s="143"/>
      <c r="K191" s="144">
        <v>175.0</v>
      </c>
      <c r="L191" s="33"/>
      <c r="M191" s="8"/>
      <c r="N191" s="8"/>
      <c r="O191" s="8"/>
      <c r="P191" s="7"/>
      <c r="Q191" s="7"/>
      <c r="R191" s="13"/>
      <c r="S191" s="8"/>
      <c r="T191" s="28"/>
      <c r="U191" s="8"/>
      <c r="V191" s="8"/>
      <c r="W191" s="145" t="s">
        <v>54</v>
      </c>
      <c r="X191" s="61"/>
      <c r="Y191" s="146">
        <v>175.0</v>
      </c>
      <c r="Z191" s="61"/>
      <c r="AA191" s="61"/>
      <c r="AB191" s="61"/>
      <c r="AC191" s="61"/>
      <c r="AD191" s="61"/>
      <c r="AE191" s="61"/>
      <c r="AF191" s="61"/>
      <c r="AG191" s="61"/>
      <c r="AH191" s="61"/>
      <c r="AI191" s="61"/>
      <c r="AJ191" s="8"/>
      <c r="AK191" s="8"/>
      <c r="AL191" s="33"/>
    </row>
    <row r="192">
      <c r="A192" s="2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33"/>
      <c r="M192" s="8"/>
      <c r="N192" s="8"/>
      <c r="O192" s="8"/>
      <c r="P192" s="7"/>
      <c r="Q192" s="7"/>
      <c r="R192" s="13"/>
      <c r="S192" s="8"/>
      <c r="T192" s="28"/>
      <c r="U192" s="8"/>
      <c r="V192" s="8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  <c r="AH192" s="61"/>
      <c r="AI192" s="61"/>
      <c r="AJ192" s="8"/>
      <c r="AK192" s="8"/>
      <c r="AL192" s="33"/>
    </row>
    <row r="193">
      <c r="A193" s="85"/>
      <c r="B193" s="86"/>
      <c r="C193" s="86"/>
      <c r="D193" s="86"/>
      <c r="E193" s="86"/>
      <c r="F193" s="86"/>
      <c r="G193" s="86"/>
      <c r="H193" s="86"/>
      <c r="I193" s="86"/>
      <c r="J193" s="86"/>
      <c r="K193" s="86"/>
      <c r="L193" s="87"/>
      <c r="M193" s="8"/>
      <c r="N193" s="8"/>
      <c r="O193" s="8"/>
      <c r="P193" s="8"/>
      <c r="Q193" s="8"/>
      <c r="R193" s="13"/>
      <c r="S193" s="8"/>
      <c r="T193" s="85"/>
      <c r="U193" s="86"/>
      <c r="V193" s="86"/>
      <c r="W193" s="147"/>
      <c r="X193" s="86"/>
      <c r="Y193" s="148"/>
      <c r="Z193" s="86"/>
      <c r="AA193" s="86"/>
      <c r="AB193" s="86"/>
      <c r="AC193" s="86"/>
      <c r="AD193" s="86"/>
      <c r="AE193" s="86"/>
      <c r="AF193" s="86"/>
      <c r="AG193" s="86"/>
      <c r="AH193" s="86"/>
      <c r="AI193" s="86"/>
      <c r="AJ193" s="86"/>
      <c r="AK193" s="86"/>
      <c r="AL193" s="87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13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13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13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13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13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13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13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13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13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10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149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150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150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150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150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10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150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13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13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13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13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13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13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13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13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13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13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13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13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13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13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13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13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13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7"/>
      <c r="Q228" s="7"/>
      <c r="R228" s="13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7"/>
      <c r="Q229" s="7"/>
      <c r="R229" s="13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7"/>
      <c r="Q230" s="7"/>
      <c r="R230" s="13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7"/>
      <c r="Q231" s="7"/>
      <c r="R231" s="13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7"/>
      <c r="Q232" s="7"/>
      <c r="R232" s="10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7"/>
      <c r="Q233" s="7"/>
      <c r="R233" s="10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10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10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10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10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10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10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10"/>
      <c r="Q240" s="10"/>
      <c r="R240" s="10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10"/>
      <c r="Q241" s="10"/>
      <c r="R241" s="10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10"/>
      <c r="Q242" s="10"/>
      <c r="R242" s="10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10"/>
      <c r="Q243" s="10"/>
      <c r="R243" s="10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L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  <c r="AK983" s="8"/>
      <c r="AL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L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  <c r="AK985" s="8"/>
      <c r="AL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  <c r="AK986" s="8"/>
      <c r="AL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  <c r="AK987" s="8"/>
      <c r="AL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  <c r="AK988" s="8"/>
      <c r="AL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  <c r="AK989" s="8"/>
      <c r="AL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  <c r="AK990" s="8"/>
      <c r="AL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  <c r="AK991" s="8"/>
      <c r="AL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  <c r="AK992" s="8"/>
      <c r="AL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  <c r="AK993" s="8"/>
      <c r="AL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  <c r="AK994" s="8"/>
      <c r="AL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  <c r="AK995" s="8"/>
      <c r="AL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  <c r="AK996" s="8"/>
      <c r="AL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  <c r="AK997" s="8"/>
      <c r="AL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  <c r="AK998" s="8"/>
      <c r="AL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/>
      <c r="AK999" s="8"/>
      <c r="AL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8"/>
      <c r="AK1000" s="8"/>
      <c r="AL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  <c r="AC1001" s="8"/>
      <c r="AD1001" s="8"/>
      <c r="AE1001" s="8"/>
      <c r="AF1001" s="8"/>
      <c r="AG1001" s="8"/>
      <c r="AH1001" s="8"/>
      <c r="AI1001" s="8"/>
      <c r="AJ1001" s="8"/>
      <c r="AK1001" s="8"/>
      <c r="AL1001" s="8"/>
    </row>
    <row r="1002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  <c r="AC1002" s="8"/>
      <c r="AD1002" s="8"/>
      <c r="AE1002" s="8"/>
      <c r="AF1002" s="8"/>
      <c r="AG1002" s="8"/>
      <c r="AH1002" s="8"/>
      <c r="AI1002" s="8"/>
      <c r="AJ1002" s="8"/>
      <c r="AK1002" s="8"/>
      <c r="AL1002" s="8"/>
    </row>
    <row r="1003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  <c r="AB1003" s="8"/>
      <c r="AC1003" s="8"/>
      <c r="AD1003" s="8"/>
      <c r="AE1003" s="8"/>
      <c r="AF1003" s="8"/>
      <c r="AG1003" s="8"/>
      <c r="AH1003" s="8"/>
      <c r="AI1003" s="8"/>
      <c r="AJ1003" s="8"/>
      <c r="AK1003" s="8"/>
      <c r="AL1003" s="8"/>
    </row>
    <row r="1004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  <c r="AB1004" s="8"/>
      <c r="AC1004" s="8"/>
      <c r="AD1004" s="8"/>
      <c r="AE1004" s="8"/>
      <c r="AF1004" s="8"/>
      <c r="AG1004" s="8"/>
      <c r="AH1004" s="8"/>
      <c r="AI1004" s="8"/>
      <c r="AJ1004" s="8"/>
      <c r="AK1004" s="8"/>
      <c r="AL1004" s="8"/>
    </row>
    <row r="1005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  <c r="AB1005" s="8"/>
      <c r="AC1005" s="8"/>
      <c r="AD1005" s="8"/>
      <c r="AE1005" s="8"/>
      <c r="AF1005" s="8"/>
      <c r="AG1005" s="8"/>
      <c r="AH1005" s="8"/>
      <c r="AI1005" s="8"/>
      <c r="AJ1005" s="8"/>
      <c r="AK1005" s="8"/>
      <c r="AL1005" s="8"/>
    </row>
    <row r="1006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  <c r="AB1006" s="8"/>
      <c r="AC1006" s="8"/>
      <c r="AD1006" s="8"/>
      <c r="AE1006" s="8"/>
      <c r="AF1006" s="8"/>
      <c r="AG1006" s="8"/>
      <c r="AH1006" s="8"/>
      <c r="AI1006" s="8"/>
      <c r="AJ1006" s="8"/>
      <c r="AK1006" s="8"/>
      <c r="AL1006" s="8"/>
    </row>
    <row r="1007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  <c r="AB1007" s="8"/>
      <c r="AC1007" s="8"/>
      <c r="AD1007" s="8"/>
      <c r="AE1007" s="8"/>
      <c r="AF1007" s="8"/>
      <c r="AG1007" s="8"/>
      <c r="AH1007" s="8"/>
      <c r="AI1007" s="8"/>
      <c r="AJ1007" s="8"/>
      <c r="AK1007" s="8"/>
      <c r="AL1007" s="8"/>
    </row>
    <row r="1008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8"/>
      <c r="AB1008" s="8"/>
      <c r="AC1008" s="8"/>
      <c r="AD1008" s="8"/>
      <c r="AE1008" s="8"/>
      <c r="AF1008" s="8"/>
      <c r="AG1008" s="8"/>
      <c r="AH1008" s="8"/>
      <c r="AI1008" s="8"/>
      <c r="AJ1008" s="8"/>
      <c r="AK1008" s="8"/>
      <c r="AL1008" s="8"/>
    </row>
    <row r="1009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  <c r="AA1009" s="8"/>
      <c r="AB1009" s="8"/>
      <c r="AC1009" s="8"/>
      <c r="AD1009" s="8"/>
      <c r="AE1009" s="8"/>
      <c r="AF1009" s="8"/>
      <c r="AG1009" s="8"/>
      <c r="AH1009" s="8"/>
      <c r="AI1009" s="8"/>
      <c r="AJ1009" s="8"/>
      <c r="AK1009" s="8"/>
      <c r="AL1009" s="8"/>
    </row>
    <row r="1010">
      <c r="A1010" s="8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  <c r="AA1010" s="8"/>
      <c r="AB1010" s="8"/>
      <c r="AC1010" s="8"/>
      <c r="AD1010" s="8"/>
      <c r="AE1010" s="8"/>
      <c r="AF1010" s="8"/>
      <c r="AG1010" s="8"/>
      <c r="AH1010" s="8"/>
      <c r="AI1010" s="8"/>
      <c r="AJ1010" s="8"/>
      <c r="AK1010" s="8"/>
      <c r="AL1010" s="8"/>
    </row>
    <row r="1011">
      <c r="A1011" s="8"/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  <c r="AA1011" s="8"/>
      <c r="AB1011" s="8"/>
      <c r="AC1011" s="8"/>
      <c r="AD1011" s="8"/>
      <c r="AE1011" s="8"/>
      <c r="AF1011" s="8"/>
      <c r="AG1011" s="8"/>
      <c r="AH1011" s="8"/>
      <c r="AI1011" s="8"/>
      <c r="AJ1011" s="8"/>
      <c r="AK1011" s="8"/>
      <c r="AL1011" s="8"/>
    </row>
    <row r="1012">
      <c r="A1012" s="8"/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  <c r="AA1012" s="8"/>
      <c r="AB1012" s="8"/>
      <c r="AC1012" s="8"/>
      <c r="AD1012" s="8"/>
      <c r="AE1012" s="8"/>
      <c r="AF1012" s="8"/>
      <c r="AG1012" s="8"/>
      <c r="AH1012" s="8"/>
      <c r="AI1012" s="8"/>
      <c r="AJ1012" s="8"/>
      <c r="AK1012" s="8"/>
      <c r="AL1012" s="8"/>
    </row>
    <row r="1013">
      <c r="A1013" s="8"/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  <c r="AA1013" s="8"/>
      <c r="AB1013" s="8"/>
      <c r="AC1013" s="8"/>
      <c r="AD1013" s="8"/>
      <c r="AE1013" s="8"/>
      <c r="AF1013" s="8"/>
      <c r="AG1013" s="8"/>
      <c r="AH1013" s="8"/>
      <c r="AI1013" s="8"/>
      <c r="AJ1013" s="8"/>
      <c r="AK1013" s="8"/>
      <c r="AL1013" s="8"/>
    </row>
    <row r="1014">
      <c r="A1014" s="8"/>
      <c r="B1014" s="8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  <c r="AA1014" s="8"/>
      <c r="AB1014" s="8"/>
      <c r="AC1014" s="8"/>
      <c r="AD1014" s="8"/>
      <c r="AE1014" s="8"/>
      <c r="AF1014" s="8"/>
      <c r="AG1014" s="8"/>
      <c r="AH1014" s="8"/>
      <c r="AI1014" s="8"/>
      <c r="AJ1014" s="8"/>
      <c r="AK1014" s="8"/>
      <c r="AL1014" s="8"/>
    </row>
    <row r="1015">
      <c r="A1015" s="8"/>
      <c r="B1015" s="8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  <c r="AA1015" s="8"/>
      <c r="AB1015" s="8"/>
      <c r="AC1015" s="8"/>
      <c r="AD1015" s="8"/>
      <c r="AE1015" s="8"/>
      <c r="AF1015" s="8"/>
      <c r="AG1015" s="8"/>
      <c r="AH1015" s="8"/>
      <c r="AI1015" s="8"/>
      <c r="AJ1015" s="8"/>
      <c r="AK1015" s="8"/>
      <c r="AL1015" s="8"/>
    </row>
    <row r="1016">
      <c r="A1016" s="8"/>
      <c r="B1016" s="8"/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  <c r="AA1016" s="8"/>
      <c r="AB1016" s="8"/>
      <c r="AC1016" s="8"/>
      <c r="AD1016" s="8"/>
      <c r="AE1016" s="8"/>
      <c r="AF1016" s="8"/>
      <c r="AG1016" s="8"/>
      <c r="AH1016" s="8"/>
      <c r="AI1016" s="8"/>
      <c r="AJ1016" s="8"/>
      <c r="AK1016" s="8"/>
      <c r="AL1016" s="8"/>
    </row>
    <row r="1017">
      <c r="A1017" s="8"/>
      <c r="B1017" s="8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  <c r="AA1017" s="8"/>
      <c r="AB1017" s="8"/>
      <c r="AC1017" s="8"/>
      <c r="AD1017" s="8"/>
      <c r="AE1017" s="8"/>
      <c r="AF1017" s="8"/>
      <c r="AG1017" s="8"/>
      <c r="AH1017" s="8"/>
      <c r="AI1017" s="8"/>
      <c r="AJ1017" s="8"/>
      <c r="AK1017" s="8"/>
      <c r="AL1017" s="8"/>
    </row>
    <row r="1018">
      <c r="A1018" s="8"/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  <c r="AA1018" s="8"/>
      <c r="AB1018" s="8"/>
      <c r="AC1018" s="8"/>
      <c r="AD1018" s="8"/>
      <c r="AE1018" s="8"/>
      <c r="AF1018" s="8"/>
      <c r="AG1018" s="8"/>
      <c r="AH1018" s="8"/>
      <c r="AI1018" s="8"/>
      <c r="AJ1018" s="8"/>
      <c r="AK1018" s="8"/>
      <c r="AL1018" s="8"/>
    </row>
    <row r="1019">
      <c r="A1019" s="8"/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  <c r="AA1019" s="8"/>
      <c r="AB1019" s="8"/>
      <c r="AC1019" s="8"/>
      <c r="AD1019" s="8"/>
      <c r="AE1019" s="8"/>
      <c r="AF1019" s="8"/>
      <c r="AG1019" s="8"/>
      <c r="AH1019" s="8"/>
      <c r="AI1019" s="8"/>
      <c r="AJ1019" s="8"/>
      <c r="AK1019" s="8"/>
      <c r="AL1019" s="8"/>
    </row>
    <row r="1020">
      <c r="A1020" s="8"/>
      <c r="B1020" s="8"/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  <c r="AA1020" s="8"/>
      <c r="AB1020" s="8"/>
      <c r="AC1020" s="8"/>
      <c r="AD1020" s="8"/>
      <c r="AE1020" s="8"/>
      <c r="AF1020" s="8"/>
      <c r="AG1020" s="8"/>
      <c r="AH1020" s="8"/>
      <c r="AI1020" s="8"/>
      <c r="AJ1020" s="8"/>
      <c r="AK1020" s="8"/>
      <c r="AL1020" s="8"/>
    </row>
    <row r="1021">
      <c r="A1021" s="8"/>
      <c r="B1021" s="8"/>
      <c r="C1021" s="8"/>
      <c r="D1021" s="8"/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  <c r="AA1021" s="8"/>
      <c r="AB1021" s="8"/>
      <c r="AC1021" s="8"/>
      <c r="AD1021" s="8"/>
      <c r="AE1021" s="8"/>
      <c r="AF1021" s="8"/>
      <c r="AG1021" s="8"/>
      <c r="AH1021" s="8"/>
      <c r="AI1021" s="8"/>
      <c r="AJ1021" s="8"/>
      <c r="AK1021" s="8"/>
      <c r="AL1021" s="8"/>
    </row>
    <row r="1022">
      <c r="A1022" s="8"/>
      <c r="B1022" s="8"/>
      <c r="C1022" s="8"/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  <c r="AA1022" s="8"/>
      <c r="AB1022" s="8"/>
      <c r="AC1022" s="8"/>
      <c r="AD1022" s="8"/>
      <c r="AE1022" s="8"/>
      <c r="AF1022" s="8"/>
      <c r="AG1022" s="8"/>
      <c r="AH1022" s="8"/>
      <c r="AI1022" s="8"/>
      <c r="AJ1022" s="8"/>
      <c r="AK1022" s="8"/>
      <c r="AL1022" s="8"/>
    </row>
    <row r="1023">
      <c r="A1023" s="8"/>
      <c r="B1023" s="8"/>
      <c r="C1023" s="8"/>
      <c r="D1023" s="8"/>
      <c r="E1023" s="8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  <c r="AA1023" s="8"/>
      <c r="AB1023" s="8"/>
      <c r="AC1023" s="8"/>
      <c r="AD1023" s="8"/>
      <c r="AE1023" s="8"/>
      <c r="AF1023" s="8"/>
      <c r="AG1023" s="8"/>
      <c r="AH1023" s="8"/>
      <c r="AI1023" s="8"/>
      <c r="AJ1023" s="8"/>
      <c r="AK1023" s="8"/>
      <c r="AL1023" s="8"/>
    </row>
    <row r="1024">
      <c r="A1024" s="8"/>
      <c r="B1024" s="8"/>
      <c r="C1024" s="8"/>
      <c r="D1024" s="8"/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  <c r="AA1024" s="8"/>
      <c r="AB1024" s="8"/>
      <c r="AC1024" s="8"/>
      <c r="AD1024" s="8"/>
      <c r="AE1024" s="8"/>
      <c r="AF1024" s="8"/>
      <c r="AG1024" s="8"/>
      <c r="AH1024" s="8"/>
      <c r="AI1024" s="8"/>
      <c r="AJ1024" s="8"/>
      <c r="AK1024" s="8"/>
      <c r="AL1024" s="8"/>
    </row>
    <row r="1025">
      <c r="A1025" s="8"/>
      <c r="B1025" s="8"/>
      <c r="C1025" s="8"/>
      <c r="D1025" s="8"/>
      <c r="E1025" s="8"/>
      <c r="F1025" s="8"/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  <c r="AA1025" s="8"/>
      <c r="AB1025" s="8"/>
      <c r="AC1025" s="8"/>
      <c r="AD1025" s="8"/>
      <c r="AE1025" s="8"/>
      <c r="AF1025" s="8"/>
      <c r="AG1025" s="8"/>
      <c r="AH1025" s="8"/>
      <c r="AI1025" s="8"/>
      <c r="AJ1025" s="8"/>
      <c r="AK1025" s="8"/>
      <c r="AL1025" s="8"/>
    </row>
    <row r="1026">
      <c r="A1026" s="8"/>
      <c r="B1026" s="8"/>
      <c r="C1026" s="8"/>
      <c r="D1026" s="8"/>
      <c r="E1026" s="8"/>
      <c r="F1026" s="8"/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  <c r="AA1026" s="8"/>
      <c r="AB1026" s="8"/>
      <c r="AC1026" s="8"/>
      <c r="AD1026" s="8"/>
      <c r="AE1026" s="8"/>
      <c r="AF1026" s="8"/>
      <c r="AG1026" s="8"/>
      <c r="AH1026" s="8"/>
      <c r="AI1026" s="8"/>
      <c r="AJ1026" s="8"/>
      <c r="AK1026" s="8"/>
      <c r="AL1026" s="8"/>
    </row>
    <row r="1027">
      <c r="A1027" s="8"/>
      <c r="B1027" s="8"/>
      <c r="C1027" s="8"/>
      <c r="D1027" s="8"/>
      <c r="E1027" s="8"/>
      <c r="F1027" s="8"/>
      <c r="G1027" s="8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  <c r="AA1027" s="8"/>
      <c r="AB1027" s="8"/>
      <c r="AC1027" s="8"/>
      <c r="AD1027" s="8"/>
      <c r="AE1027" s="8"/>
      <c r="AF1027" s="8"/>
      <c r="AG1027" s="8"/>
      <c r="AH1027" s="8"/>
      <c r="AI1027" s="8"/>
      <c r="AJ1027" s="8"/>
      <c r="AK1027" s="8"/>
      <c r="AL1027" s="8"/>
    </row>
    <row r="1028">
      <c r="A1028" s="8"/>
      <c r="B1028" s="8"/>
      <c r="C1028" s="8"/>
      <c r="D1028" s="8"/>
      <c r="E1028" s="8"/>
      <c r="F1028" s="8"/>
      <c r="G1028" s="8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8"/>
      <c r="AA1028" s="8"/>
      <c r="AB1028" s="8"/>
      <c r="AC1028" s="8"/>
      <c r="AD1028" s="8"/>
      <c r="AE1028" s="8"/>
      <c r="AF1028" s="8"/>
      <c r="AG1028" s="8"/>
      <c r="AH1028" s="8"/>
      <c r="AI1028" s="8"/>
      <c r="AJ1028" s="8"/>
      <c r="AK1028" s="8"/>
      <c r="AL1028" s="8"/>
    </row>
    <row r="1029">
      <c r="A1029" s="8"/>
      <c r="B1029" s="8"/>
      <c r="C1029" s="8"/>
      <c r="D1029" s="8"/>
      <c r="E1029" s="8"/>
      <c r="F1029" s="8"/>
      <c r="G1029" s="8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8"/>
      <c r="AA1029" s="8"/>
      <c r="AB1029" s="8"/>
      <c r="AC1029" s="8"/>
      <c r="AD1029" s="8"/>
      <c r="AE1029" s="8"/>
      <c r="AF1029" s="8"/>
      <c r="AG1029" s="8"/>
      <c r="AH1029" s="8"/>
      <c r="AI1029" s="8"/>
      <c r="AJ1029" s="8"/>
      <c r="AK1029" s="8"/>
      <c r="AL1029" s="8"/>
    </row>
    <row r="1030">
      <c r="A1030" s="8"/>
      <c r="B1030" s="8"/>
      <c r="C1030" s="8"/>
      <c r="D1030" s="8"/>
      <c r="E1030" s="8"/>
      <c r="F1030" s="8"/>
      <c r="G1030" s="8"/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8"/>
      <c r="AA1030" s="8"/>
      <c r="AB1030" s="8"/>
      <c r="AC1030" s="8"/>
      <c r="AD1030" s="8"/>
      <c r="AE1030" s="8"/>
      <c r="AF1030" s="8"/>
      <c r="AG1030" s="8"/>
      <c r="AH1030" s="8"/>
      <c r="AI1030" s="8"/>
      <c r="AJ1030" s="8"/>
      <c r="AK1030" s="8"/>
      <c r="AL1030" s="8"/>
    </row>
    <row r="1031">
      <c r="A1031" s="8"/>
      <c r="B1031" s="8"/>
      <c r="C1031" s="8"/>
      <c r="D1031" s="8"/>
      <c r="E1031" s="8"/>
      <c r="F1031" s="8"/>
      <c r="G1031" s="8"/>
      <c r="H1031" s="8"/>
      <c r="I1031" s="8"/>
      <c r="J1031" s="8"/>
      <c r="K1031" s="8"/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8"/>
      <c r="AA1031" s="8"/>
      <c r="AB1031" s="8"/>
      <c r="AC1031" s="8"/>
      <c r="AD1031" s="8"/>
      <c r="AE1031" s="8"/>
      <c r="AF1031" s="8"/>
      <c r="AG1031" s="8"/>
      <c r="AH1031" s="8"/>
      <c r="AI1031" s="8"/>
      <c r="AJ1031" s="8"/>
      <c r="AK1031" s="8"/>
      <c r="AL1031" s="8"/>
    </row>
    <row r="1032">
      <c r="A1032" s="8"/>
      <c r="B1032" s="8"/>
      <c r="C1032" s="8"/>
      <c r="D1032" s="8"/>
      <c r="E1032" s="8"/>
      <c r="F1032" s="8"/>
      <c r="G1032" s="8"/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8"/>
      <c r="AA1032" s="8"/>
      <c r="AB1032" s="8"/>
      <c r="AC1032" s="8"/>
      <c r="AD1032" s="8"/>
      <c r="AE1032" s="8"/>
      <c r="AF1032" s="8"/>
      <c r="AG1032" s="8"/>
      <c r="AH1032" s="8"/>
      <c r="AI1032" s="8"/>
      <c r="AJ1032" s="8"/>
      <c r="AK1032" s="8"/>
      <c r="AL1032" s="8"/>
    </row>
    <row r="1033">
      <c r="A1033" s="8"/>
      <c r="B1033" s="8"/>
      <c r="C1033" s="8"/>
      <c r="D1033" s="8"/>
      <c r="E1033" s="8"/>
      <c r="F1033" s="8"/>
      <c r="G1033" s="8"/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8"/>
      <c r="AA1033" s="8"/>
      <c r="AB1033" s="8"/>
      <c r="AC1033" s="8"/>
      <c r="AD1033" s="8"/>
      <c r="AE1033" s="8"/>
      <c r="AF1033" s="8"/>
      <c r="AG1033" s="8"/>
      <c r="AH1033" s="8"/>
      <c r="AI1033" s="8"/>
      <c r="AJ1033" s="8"/>
      <c r="AK1033" s="8"/>
      <c r="AL1033" s="8"/>
    </row>
    <row r="1034">
      <c r="A1034" s="8"/>
      <c r="B1034" s="8"/>
      <c r="C1034" s="8"/>
      <c r="D1034" s="8"/>
      <c r="E1034" s="8"/>
      <c r="F1034" s="8"/>
      <c r="G1034" s="8"/>
      <c r="H1034" s="8"/>
      <c r="I1034" s="8"/>
      <c r="J1034" s="8"/>
      <c r="K1034" s="8"/>
      <c r="L1034" s="8"/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8"/>
      <c r="AA1034" s="8"/>
      <c r="AB1034" s="8"/>
      <c r="AC1034" s="8"/>
      <c r="AD1034" s="8"/>
      <c r="AE1034" s="8"/>
      <c r="AF1034" s="8"/>
      <c r="AG1034" s="8"/>
      <c r="AH1034" s="8"/>
      <c r="AI1034" s="8"/>
      <c r="AJ1034" s="8"/>
      <c r="AK1034" s="8"/>
      <c r="AL1034" s="8"/>
    </row>
    <row r="1035">
      <c r="A1035" s="8"/>
      <c r="B1035" s="8"/>
      <c r="C1035" s="8"/>
      <c r="D1035" s="8"/>
      <c r="E1035" s="8"/>
      <c r="F1035" s="8"/>
      <c r="G1035" s="8"/>
      <c r="H1035" s="8"/>
      <c r="I1035" s="8"/>
      <c r="J1035" s="8"/>
      <c r="K1035" s="8"/>
      <c r="L1035" s="8"/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8"/>
      <c r="AA1035" s="8"/>
      <c r="AB1035" s="8"/>
      <c r="AC1035" s="8"/>
      <c r="AD1035" s="8"/>
      <c r="AE1035" s="8"/>
      <c r="AF1035" s="8"/>
      <c r="AG1035" s="8"/>
      <c r="AH1035" s="8"/>
      <c r="AI1035" s="8"/>
      <c r="AJ1035" s="8"/>
      <c r="AK1035" s="8"/>
      <c r="AL1035" s="8"/>
    </row>
    <row r="1036">
      <c r="A1036" s="8"/>
      <c r="B1036" s="8"/>
      <c r="C1036" s="8"/>
      <c r="D1036" s="8"/>
      <c r="E1036" s="8"/>
      <c r="F1036" s="8"/>
      <c r="G1036" s="8"/>
      <c r="H1036" s="8"/>
      <c r="I1036" s="8"/>
      <c r="J1036" s="8"/>
      <c r="K1036" s="8"/>
      <c r="L1036" s="8"/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8"/>
      <c r="AA1036" s="8"/>
      <c r="AB1036" s="8"/>
      <c r="AC1036" s="8"/>
      <c r="AD1036" s="8"/>
      <c r="AE1036" s="8"/>
      <c r="AF1036" s="8"/>
      <c r="AG1036" s="8"/>
      <c r="AH1036" s="8"/>
      <c r="AI1036" s="8"/>
      <c r="AJ1036" s="8"/>
      <c r="AK1036" s="8"/>
      <c r="AL1036" s="8"/>
    </row>
    <row r="1037">
      <c r="A1037" s="8"/>
      <c r="B1037" s="8"/>
      <c r="C1037" s="8"/>
      <c r="D1037" s="8"/>
      <c r="E1037" s="8"/>
      <c r="F1037" s="8"/>
      <c r="G1037" s="8"/>
      <c r="H1037" s="8"/>
      <c r="I1037" s="8"/>
      <c r="J1037" s="8"/>
      <c r="K1037" s="8"/>
      <c r="L1037" s="8"/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8"/>
      <c r="AA1037" s="8"/>
      <c r="AB1037" s="8"/>
      <c r="AC1037" s="8"/>
      <c r="AD1037" s="8"/>
      <c r="AE1037" s="8"/>
      <c r="AF1037" s="8"/>
      <c r="AG1037" s="8"/>
      <c r="AH1037" s="8"/>
      <c r="AI1037" s="8"/>
      <c r="AJ1037" s="8"/>
      <c r="AK1037" s="8"/>
      <c r="AL1037" s="8"/>
    </row>
    <row r="1038">
      <c r="A1038" s="8"/>
      <c r="B1038" s="8"/>
      <c r="C1038" s="8"/>
      <c r="D1038" s="8"/>
      <c r="E1038" s="8"/>
      <c r="F1038" s="8"/>
      <c r="G1038" s="8"/>
      <c r="H1038" s="8"/>
      <c r="I1038" s="8"/>
      <c r="J1038" s="8"/>
      <c r="K1038" s="8"/>
      <c r="L1038" s="8"/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8"/>
      <c r="AA1038" s="8"/>
      <c r="AB1038" s="8"/>
      <c r="AC1038" s="8"/>
      <c r="AD1038" s="8"/>
      <c r="AE1038" s="8"/>
      <c r="AF1038" s="8"/>
      <c r="AG1038" s="8"/>
      <c r="AH1038" s="8"/>
      <c r="AI1038" s="8"/>
      <c r="AJ1038" s="8"/>
      <c r="AK1038" s="8"/>
      <c r="AL1038" s="8"/>
    </row>
    <row r="1039">
      <c r="A1039" s="8"/>
      <c r="B1039" s="8"/>
      <c r="C1039" s="8"/>
      <c r="D1039" s="8"/>
      <c r="E1039" s="8"/>
      <c r="F1039" s="8"/>
      <c r="G1039" s="8"/>
      <c r="H1039" s="8"/>
      <c r="I1039" s="8"/>
      <c r="J1039" s="8"/>
      <c r="K1039" s="8"/>
      <c r="L1039" s="8"/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8"/>
      <c r="AA1039" s="8"/>
      <c r="AB1039" s="8"/>
      <c r="AC1039" s="8"/>
      <c r="AD1039" s="8"/>
      <c r="AE1039" s="8"/>
      <c r="AF1039" s="8"/>
      <c r="AG1039" s="8"/>
      <c r="AH1039" s="8"/>
      <c r="AI1039" s="8"/>
      <c r="AJ1039" s="8"/>
      <c r="AK1039" s="8"/>
      <c r="AL1039" s="8"/>
    </row>
    <row r="1040">
      <c r="A1040" s="8"/>
      <c r="B1040" s="8"/>
      <c r="C1040" s="8"/>
      <c r="D1040" s="8"/>
      <c r="E1040" s="8"/>
      <c r="F1040" s="8"/>
      <c r="G1040" s="8"/>
      <c r="H1040" s="8"/>
      <c r="I1040" s="8"/>
      <c r="J1040" s="8"/>
      <c r="K1040" s="8"/>
      <c r="L1040" s="8"/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8"/>
      <c r="AA1040" s="8"/>
      <c r="AB1040" s="8"/>
      <c r="AC1040" s="8"/>
      <c r="AD1040" s="8"/>
      <c r="AE1040" s="8"/>
      <c r="AF1040" s="8"/>
      <c r="AG1040" s="8"/>
      <c r="AH1040" s="8"/>
      <c r="AI1040" s="8"/>
      <c r="AJ1040" s="8"/>
      <c r="AK1040" s="8"/>
      <c r="AL1040" s="8"/>
    </row>
    <row r="1041">
      <c r="A1041" s="8"/>
      <c r="B1041" s="8"/>
      <c r="C1041" s="8"/>
      <c r="D1041" s="8"/>
      <c r="E1041" s="8"/>
      <c r="F1041" s="8"/>
      <c r="G1041" s="8"/>
      <c r="H1041" s="8"/>
      <c r="I1041" s="8"/>
      <c r="J1041" s="8"/>
      <c r="K1041" s="8"/>
      <c r="L1041" s="8"/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8"/>
      <c r="AA1041" s="8"/>
      <c r="AB1041" s="8"/>
      <c r="AC1041" s="8"/>
      <c r="AD1041" s="8"/>
      <c r="AE1041" s="8"/>
      <c r="AF1041" s="8"/>
      <c r="AG1041" s="8"/>
      <c r="AH1041" s="8"/>
      <c r="AI1041" s="8"/>
      <c r="AJ1041" s="8"/>
      <c r="AK1041" s="8"/>
      <c r="AL1041" s="8"/>
    </row>
  </sheetData>
  <mergeCells count="5">
    <mergeCell ref="B4:C4"/>
    <mergeCell ref="W4:X4"/>
    <mergeCell ref="W64:X64"/>
    <mergeCell ref="B116:C116"/>
    <mergeCell ref="W135:X135"/>
  </mergeCells>
  <drawing r:id="rId1"/>
</worksheet>
</file>