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iek\Dropbox\light_PhD\team_PROTEUS\melt\"/>
    </mc:Choice>
  </mc:AlternateContent>
  <xr:revisionPtr revIDLastSave="0" documentId="13_ncr:1_{B1DFFCDF-29AB-4F2B-A1C8-F8F1F0EBCEA0}" xr6:coauthVersionLast="45" xr6:coauthVersionMax="45" xr10:uidLastSave="{00000000-0000-0000-0000-000000000000}"/>
  <bookViews>
    <workbookView xWindow="885" yWindow="-120" windowWidth="19725" windowHeight="11760" tabRatio="500" xr2:uid="{00000000-000D-0000-FFFF-FFFF00000000}"/>
  </bookViews>
  <sheets>
    <sheet name="calculation" sheetId="1" r:id="rId1"/>
    <sheet name="parameter" sheetId="2" r:id="rId2"/>
  </sheets>
  <definedNames>
    <definedName name="solver_adj" localSheetId="0" hidden="1">calculation!$B$21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calculation!$B$21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calculation!$A$16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calculation!$A$27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E13" i="1" s="1"/>
  <c r="C2" i="2"/>
  <c r="E2" i="1" s="1"/>
  <c r="C3" i="2"/>
  <c r="D3" i="2" s="1"/>
  <c r="C4" i="2"/>
  <c r="C5" i="2"/>
  <c r="E5" i="1" s="1"/>
  <c r="C6" i="2"/>
  <c r="C7" i="2"/>
  <c r="E7" i="1" s="1"/>
  <c r="C8" i="2"/>
  <c r="E8" i="1" s="1"/>
  <c r="C9" i="2"/>
  <c r="D9" i="2" s="1"/>
  <c r="C10" i="2"/>
  <c r="C11" i="2"/>
  <c r="E11" i="1" s="1"/>
  <c r="C12" i="2"/>
  <c r="I29" i="1"/>
  <c r="D14" i="1"/>
  <c r="C21" i="1"/>
  <c r="B3" i="2"/>
  <c r="B5" i="2"/>
  <c r="B6" i="2"/>
  <c r="B7" i="2"/>
  <c r="B10" i="2"/>
  <c r="B11" i="2"/>
  <c r="B12" i="2"/>
  <c r="B13" i="2"/>
  <c r="M2" i="2"/>
  <c r="M4" i="2"/>
  <c r="M5" i="2"/>
  <c r="M6" i="2"/>
  <c r="M8" i="2"/>
  <c r="M9" i="2"/>
  <c r="M10" i="2"/>
  <c r="M11" i="2"/>
  <c r="K2" i="2"/>
  <c r="G3" i="2"/>
  <c r="G4" i="2"/>
  <c r="G5" i="2"/>
  <c r="G6" i="2"/>
  <c r="G8" i="2"/>
  <c r="G9" i="2"/>
  <c r="G10" i="2"/>
  <c r="G11" i="2"/>
  <c r="I3" i="2"/>
  <c r="I4" i="2"/>
  <c r="I5" i="2"/>
  <c r="I6" i="2"/>
  <c r="I8" i="2"/>
  <c r="I9" i="2"/>
  <c r="I10" i="2"/>
  <c r="I11" i="2"/>
  <c r="K3" i="2"/>
  <c r="K4" i="2"/>
  <c r="K5" i="2"/>
  <c r="K6" i="2"/>
  <c r="K8" i="2"/>
  <c r="K9" i="2"/>
  <c r="K10" i="2"/>
  <c r="K11" i="2"/>
  <c r="D11" i="2" l="1"/>
  <c r="D13" i="2"/>
  <c r="D5" i="2"/>
  <c r="D7" i="2"/>
  <c r="E9" i="1"/>
  <c r="C14" i="2"/>
  <c r="E3" i="1"/>
  <c r="D12" i="2"/>
  <c r="E12" i="1"/>
  <c r="D6" i="2"/>
  <c r="E6" i="1"/>
  <c r="D8" i="2"/>
  <c r="D2" i="2"/>
  <c r="D10" i="2"/>
  <c r="E10" i="1"/>
  <c r="D4" i="2"/>
  <c r="E4" i="1"/>
  <c r="E14" i="1" l="1"/>
  <c r="D14" i="2"/>
  <c r="E2" i="2" s="1"/>
  <c r="E6" i="2" l="1"/>
  <c r="H6" i="2" s="1"/>
  <c r="E12" i="2"/>
  <c r="L12" i="2" s="1"/>
  <c r="E8" i="2"/>
  <c r="J8" i="2" s="1"/>
  <c r="L2" i="2"/>
  <c r="F2" i="2"/>
  <c r="J2" i="2"/>
  <c r="H2" i="2"/>
  <c r="N2" i="2"/>
  <c r="E5" i="2"/>
  <c r="E7" i="2"/>
  <c r="E3" i="2"/>
  <c r="E13" i="2"/>
  <c r="E9" i="2"/>
  <c r="E11" i="2"/>
  <c r="E4" i="2"/>
  <c r="E10" i="2"/>
  <c r="L6" i="2" l="1"/>
  <c r="N6" i="2"/>
  <c r="H8" i="2"/>
  <c r="F6" i="2"/>
  <c r="N8" i="2"/>
  <c r="J6" i="2"/>
  <c r="H12" i="2"/>
  <c r="N12" i="2"/>
  <c r="L8" i="2"/>
  <c r="F8" i="2"/>
  <c r="J12" i="2"/>
  <c r="F12" i="2"/>
  <c r="F10" i="2"/>
  <c r="H10" i="2"/>
  <c r="N10" i="2"/>
  <c r="J10" i="2"/>
  <c r="L10" i="2"/>
  <c r="F9" i="2"/>
  <c r="N9" i="2"/>
  <c r="J9" i="2"/>
  <c r="H9" i="2"/>
  <c r="L9" i="2"/>
  <c r="F4" i="2"/>
  <c r="N4" i="2"/>
  <c r="H4" i="2"/>
  <c r="L4" i="2"/>
  <c r="J4" i="2"/>
  <c r="H13" i="2"/>
  <c r="L13" i="2"/>
  <c r="F13" i="2"/>
  <c r="J13" i="2"/>
  <c r="N13" i="2"/>
  <c r="N3" i="2"/>
  <c r="L3" i="2"/>
  <c r="F3" i="2"/>
  <c r="J3" i="2"/>
  <c r="H3" i="2"/>
  <c r="F5" i="2"/>
  <c r="N5" i="2"/>
  <c r="H5" i="2"/>
  <c r="L5" i="2"/>
  <c r="J5" i="2"/>
  <c r="H11" i="2"/>
  <c r="F11" i="2"/>
  <c r="L11" i="2"/>
  <c r="N11" i="2"/>
  <c r="J11" i="2"/>
  <c r="J7" i="2"/>
  <c r="H7" i="2"/>
  <c r="N7" i="2"/>
  <c r="L7" i="2"/>
  <c r="F7" i="2"/>
  <c r="B17" i="2"/>
  <c r="B19" i="2" s="1"/>
  <c r="B21" i="2" s="1"/>
  <c r="E25" i="1" s="1"/>
  <c r="N15" i="2" l="1"/>
  <c r="D25" i="1" s="1"/>
  <c r="H15" i="2"/>
  <c r="A25" i="1" s="1"/>
  <c r="F15" i="2"/>
  <c r="D21" i="1" s="1"/>
  <c r="J15" i="2"/>
  <c r="B25" i="1" s="1"/>
  <c r="L15" i="2"/>
  <c r="C25" i="1" s="1"/>
  <c r="A27" i="1" l="1"/>
  <c r="A30" i="1" s="1"/>
  <c r="A32" i="1" s="1"/>
  <c r="I26" i="1" l="1"/>
  <c r="I24" i="1" s="1"/>
  <c r="A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Ueki Kenta</author>
  </authors>
  <commentList>
    <comment ref="A3" authorId="0" shapeId="0" xr:uid="{00000000-0006-0000-0000-000001000000}">
      <text>
        <r>
          <rPr>
            <sz val="10"/>
            <color indexed="81"/>
            <rFont val="ＭＳ Ｐゴシック"/>
            <family val="2"/>
            <charset val="128"/>
          </rPr>
          <t xml:space="preserve">Input pressure in Gpa
</t>
        </r>
      </text>
    </comment>
    <comment ref="A5" authorId="0" shapeId="0" xr:uid="{00000000-0006-0000-0000-000002000000}">
      <text>
        <r>
          <rPr>
            <b/>
            <sz val="10"/>
            <color indexed="81"/>
            <rFont val="ＭＳ Ｐゴシック"/>
            <family val="2"/>
            <charset val="128"/>
          </rPr>
          <t>Input temperature by degree C</t>
        </r>
        <r>
          <rPr>
            <sz val="10"/>
            <color indexed="81"/>
            <rFont val="ＭＳ Ｐゴシック"/>
            <family val="2"/>
            <charset val="128"/>
          </rPr>
          <t xml:space="preserve">
</t>
        </r>
      </text>
    </comment>
    <comment ref="D12" authorId="0" shapeId="0" xr:uid="{00000000-0006-0000-0000-000003000000}">
      <text>
        <r>
          <rPr>
            <b/>
            <sz val="10"/>
            <color indexed="81"/>
            <rFont val="ＭＳ Ｐゴシック"/>
            <family val="2"/>
            <charset val="128"/>
          </rPr>
          <t>input bulk composition (automatically normalized to 100% including given H2O content)</t>
        </r>
      </text>
    </comment>
    <comment ref="D13" authorId="0" shapeId="0" xr:uid="{00000000-0006-0000-0000-000004000000}">
      <text>
        <r>
          <rPr>
            <b/>
            <sz val="10"/>
            <color indexed="81"/>
            <rFont val="ＭＳ Ｐゴシック"/>
            <family val="2"/>
            <charset val="128"/>
          </rPr>
          <t>input H2O concentration in the melt</t>
        </r>
      </text>
    </comment>
    <comment ref="B21" authorId="0" shapeId="0" xr:uid="{00000000-0006-0000-0000-000005000000}">
      <text>
        <r>
          <rPr>
            <b/>
            <sz val="10"/>
            <color indexed="81"/>
            <rFont val="ＭＳ Ｐゴシック"/>
            <family val="2"/>
            <charset val="128"/>
          </rPr>
          <t>Optimize this cell by solver</t>
        </r>
      </text>
    </comment>
  </commentList>
</comments>
</file>

<file path=xl/sharedStrings.xml><?xml version="1.0" encoding="utf-8"?>
<sst xmlns="http://schemas.openxmlformats.org/spreadsheetml/2006/main" count="74" uniqueCount="62">
  <si>
    <t>V0/V</t>
    <phoneticPr fontId="1"/>
  </si>
  <si>
    <t>dV/dT</t>
    <phoneticPr fontId="1"/>
  </si>
  <si>
    <t>dV/dP</t>
    <phoneticPr fontId="1"/>
  </si>
  <si>
    <t>d2V/dTdP</t>
    <phoneticPr fontId="1"/>
  </si>
  <si>
    <t>K'</t>
    <phoneticPr fontId="1"/>
  </si>
  <si>
    <t>Calculated P</t>
    <phoneticPr fontId="1"/>
  </si>
  <si>
    <t>SiO2</t>
    <phoneticPr fontId="1"/>
  </si>
  <si>
    <t>TiO2</t>
    <phoneticPr fontId="1"/>
  </si>
  <si>
    <t>Al2O3</t>
    <phoneticPr fontId="1"/>
  </si>
  <si>
    <t>FeO</t>
    <phoneticPr fontId="1"/>
  </si>
  <si>
    <t>Fe2O3</t>
    <phoneticPr fontId="1"/>
  </si>
  <si>
    <t>MnO</t>
    <phoneticPr fontId="1"/>
  </si>
  <si>
    <t>MgO</t>
    <phoneticPr fontId="1"/>
  </si>
  <si>
    <t>CaO</t>
    <phoneticPr fontId="1"/>
  </si>
  <si>
    <t>Na2O</t>
    <phoneticPr fontId="1"/>
  </si>
  <si>
    <t>K2O</t>
    <phoneticPr fontId="1"/>
  </si>
  <si>
    <t>P2O5</t>
    <phoneticPr fontId="1"/>
  </si>
  <si>
    <t>H2O</t>
    <phoneticPr fontId="1"/>
  </si>
  <si>
    <t>Molar content</t>
    <phoneticPr fontId="1"/>
  </si>
  <si>
    <t>Molar ratio</t>
    <phoneticPr fontId="1"/>
  </si>
  <si>
    <t>Vrr [L&amp;C; Ueki and Iwamori]</t>
    <phoneticPr fontId="1"/>
  </si>
  <si>
    <t>Partial volume</t>
    <phoneticPr fontId="1"/>
  </si>
  <si>
    <t>dV/dT [J/bar/K] [L&amp;C; Ueki and Iwamori]</t>
    <phoneticPr fontId="1"/>
  </si>
  <si>
    <t>Bulk Vr [/mole]</t>
    <phoneticPr fontId="1"/>
  </si>
  <si>
    <t>Bulk dV/dT [/mole]</t>
    <phoneticPr fontId="1"/>
  </si>
  <si>
    <t>dV/dP  [J/bar-bar] [L&amp;C; Ueki and Iwamori]</t>
    <phoneticPr fontId="1"/>
  </si>
  <si>
    <t>Bulk dV/dP [/mole]</t>
    <phoneticPr fontId="1"/>
  </si>
  <si>
    <t>d2V/dPdT  [L&amp;C; Ueki and Iwamori]</t>
    <phoneticPr fontId="1"/>
  </si>
  <si>
    <t>Bulk d2V/dPdT [/mole]</t>
    <phoneticPr fontId="1"/>
  </si>
  <si>
    <t>SiO2/oxygen</t>
    <phoneticPr fontId="1"/>
  </si>
  <si>
    <t xml:space="preserve"> Kdash=-2.2985*Si+8.7285 </t>
  </si>
  <si>
    <t>Kdash=KdashH2O*ml(nH2O)/sum+(sum-ml(nH2O))/sum*Kdash</t>
  </si>
  <si>
    <t>Input bulk composition in wt. %</t>
    <phoneticPr fontId="1"/>
  </si>
  <si>
    <t>Input P-T condition</t>
    <phoneticPr fontId="1"/>
  </si>
  <si>
    <t>V0 (V at given T, 1bar)</t>
    <phoneticPr fontId="1"/>
  </si>
  <si>
    <t>Molar wt</t>
    <phoneticPr fontId="1"/>
  </si>
  <si>
    <t>Bulk Molar weight</t>
    <phoneticPr fontId="1"/>
  </si>
  <si>
    <t>Bulk parameters</t>
    <phoneticPr fontId="1"/>
  </si>
  <si>
    <t>KT [GPa] at 1bar</t>
    <phoneticPr fontId="1"/>
  </si>
  <si>
    <t>T [K]</t>
    <phoneticPr fontId="1"/>
  </si>
  <si>
    <t>Kt at given P (assuming linear function)</t>
    <phoneticPr fontId="1"/>
  </si>
  <si>
    <t>Results</t>
    <phoneticPr fontId="1"/>
  </si>
  <si>
    <t>Calculate bulk properties</t>
    <phoneticPr fontId="1"/>
  </si>
  <si>
    <t>Calculation section</t>
    <phoneticPr fontId="1"/>
  </si>
  <si>
    <t>Vr [J/bar] (V at 1bar, 1673K)</t>
    <phoneticPr fontId="1"/>
  </si>
  <si>
    <t>Density [g/cm3]</t>
    <phoneticPr fontId="1"/>
  </si>
  <si>
    <t>V at given P and T [J/bar]</t>
    <phoneticPr fontId="1"/>
  </si>
  <si>
    <t>100wt% normalize</t>
    <phoneticPr fontId="1"/>
  </si>
  <si>
    <t>Anhydrous K'</t>
    <phoneticPr fontId="1"/>
  </si>
  <si>
    <t>Hydrous K'</t>
    <phoneticPr fontId="1"/>
  </si>
  <si>
    <t>T (ºC)</t>
    <phoneticPr fontId="1"/>
  </si>
  <si>
    <t>P [GPa]</t>
    <phoneticPr fontId="1"/>
  </si>
  <si>
    <t>sum</t>
    <phoneticPr fontId="1"/>
  </si>
  <si>
    <t>Normalized value</t>
    <phoneticPr fontId="1"/>
  </si>
  <si>
    <t>V at given P and T [cm3]</t>
    <phoneticPr fontId="1"/>
  </si>
  <si>
    <t xml:space="preserve">Citation: </t>
  </si>
  <si>
    <t xml:space="preserve">Ueki and Iwamori, 2016, supplemental </t>
    <phoneticPr fontId="1"/>
  </si>
  <si>
    <t>Ueki, K., and H. Iwamori (2016), Density and seismic velocity of hydrous melts at crustal and upper mantle conditions, Geochem. Geophys. Geosyst.</t>
    <phoneticPr fontId="1"/>
  </si>
  <si>
    <t>Density calculator Ver 1.1, 2016/09/06</t>
    <phoneticPr fontId="1"/>
  </si>
  <si>
    <t>Residual (minimize here using solver)</t>
  </si>
  <si>
    <t>Data/Analyze/Solver</t>
  </si>
  <si>
    <t xml:space="preserve">(kmc)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</si>
</sst>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"/>
  </numFmts>
  <fonts count="16">
    <font>
      <sz val="12"/>
      <color theme="1"/>
      <name val="Calibri"/>
      <family val="2"/>
      <charset val="128"/>
      <scheme val="minor"/>
    </font>
    <font>
      <sz val="6"/>
      <name val="ＭＳ Ｐゴシック"/>
      <family val="2"/>
      <charset val="128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1"/>
      <name val="ＭＳ Ｐゴシック"/>
      <charset val="128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FF0000"/>
      <name val="Arial"/>
    </font>
    <font>
      <sz val="12"/>
      <color rgb="FFFF0000"/>
      <name val="Arial"/>
    </font>
    <font>
      <b/>
      <sz val="18"/>
      <color theme="1"/>
      <name val="Arial"/>
    </font>
    <font>
      <sz val="18"/>
      <color theme="1"/>
      <name val="Arial"/>
    </font>
    <font>
      <sz val="14"/>
      <color theme="1"/>
      <name val="Arial"/>
    </font>
    <font>
      <b/>
      <sz val="9"/>
      <color rgb="FF211E1E"/>
      <name val="Arial"/>
    </font>
    <font>
      <b/>
      <sz val="10"/>
      <color theme="1"/>
      <name val="Arial"/>
    </font>
    <font>
      <b/>
      <sz val="12"/>
      <color rgb="FF003F72"/>
      <name val="Arial"/>
    </font>
    <font>
      <b/>
      <sz val="12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11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5" fontId="5" fillId="2" borderId="0" xfId="0" applyNumberFormat="1" applyFont="1" applyFill="1" applyAlignment="1">
      <alignment horizontal="left" vertical="center"/>
    </xf>
    <xf numFmtId="11" fontId="5" fillId="2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2" borderId="0" xfId="0" applyFill="1"/>
    <xf numFmtId="164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NumberFormat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top" wrapText="1"/>
    </xf>
    <xf numFmtId="0" fontId="11" fillId="5" borderId="7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 wrapText="1"/>
    </xf>
    <xf numFmtId="165" fontId="10" fillId="5" borderId="9" xfId="0" applyNumberFormat="1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165" fontId="10" fillId="5" borderId="11" xfId="0" applyNumberFormat="1" applyFont="1" applyFill="1" applyBorder="1" applyAlignment="1">
      <alignment horizontal="left" vertical="center"/>
    </xf>
    <xf numFmtId="164" fontId="5" fillId="6" borderId="2" xfId="0" applyNumberFormat="1" applyFont="1" applyFill="1" applyBorder="1" applyAlignment="1">
      <alignment horizontal="left" vertical="center"/>
    </xf>
    <xf numFmtId="164" fontId="5" fillId="6" borderId="3" xfId="0" applyNumberFormat="1" applyFont="1" applyFill="1" applyBorder="1" applyAlignment="1">
      <alignment horizontal="left" vertical="center"/>
    </xf>
    <xf numFmtId="164" fontId="5" fillId="7" borderId="12" xfId="0" applyNumberFormat="1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left" vertical="center" wrapText="1" shrinkToFit="1"/>
    </xf>
    <xf numFmtId="0" fontId="15" fillId="0" borderId="0" xfId="0" applyFont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"/>
  <sheetViews>
    <sheetView tabSelected="1" workbookViewId="0">
      <pane ySplit="6255" topLeftCell="A17"/>
      <selection activeCell="C15" sqref="C15"/>
      <selection pane="bottomLeft" activeCell="E21" sqref="E21"/>
    </sheetView>
  </sheetViews>
  <sheetFormatPr defaultColWidth="12.875" defaultRowHeight="15"/>
  <cols>
    <col min="1" max="1" width="19.875" style="4" bestFit="1" customWidth="1"/>
    <col min="2" max="2" width="12.875" style="4"/>
    <col min="3" max="3" width="12.125" style="4" customWidth="1"/>
    <col min="4" max="4" width="13.375" style="4" bestFit="1" customWidth="1"/>
    <col min="5" max="5" width="17" style="4" bestFit="1" customWidth="1"/>
    <col min="6" max="6" width="10.625" style="4" bestFit="1" customWidth="1"/>
    <col min="7" max="7" width="12.625" style="4" bestFit="1" customWidth="1"/>
    <col min="8" max="8" width="14.875" style="4" customWidth="1"/>
    <col min="9" max="9" width="19.875" style="4" bestFit="1" customWidth="1"/>
    <col min="10" max="10" width="36.375" style="4" customWidth="1"/>
    <col min="11" max="16384" width="12.875" style="4"/>
  </cols>
  <sheetData>
    <row r="1" spans="1:9" ht="45" customHeight="1" thickBot="1">
      <c r="A1" s="5" t="s">
        <v>33</v>
      </c>
      <c r="D1" s="5" t="s">
        <v>32</v>
      </c>
      <c r="E1" s="4" t="s">
        <v>53</v>
      </c>
      <c r="H1" s="39" t="s">
        <v>56</v>
      </c>
      <c r="I1" s="38" t="s">
        <v>58</v>
      </c>
    </row>
    <row r="2" spans="1:9" ht="15.75" thickBot="1">
      <c r="A2" s="4" t="s">
        <v>51</v>
      </c>
      <c r="C2" s="4" t="s">
        <v>6</v>
      </c>
      <c r="D2" s="34">
        <v>74.34</v>
      </c>
      <c r="E2" s="20">
        <f>parameter!C2</f>
        <v>69.535714285714292</v>
      </c>
      <c r="H2" s="44" t="s">
        <v>55</v>
      </c>
      <c r="I2" s="41" t="s">
        <v>57</v>
      </c>
    </row>
    <row r="3" spans="1:9" ht="15.75" thickBot="1">
      <c r="A3" s="37">
        <v>0.06</v>
      </c>
      <c r="C3" s="4" t="s">
        <v>7</v>
      </c>
      <c r="D3" s="35">
        <v>0.09</v>
      </c>
      <c r="E3" s="20">
        <f>parameter!C3</f>
        <v>8.4183673469387751E-2</v>
      </c>
      <c r="H3" s="45"/>
      <c r="I3" s="42"/>
    </row>
    <row r="4" spans="1:9" ht="15.75" thickBot="1">
      <c r="A4" s="4" t="s">
        <v>50</v>
      </c>
      <c r="C4" s="4" t="s">
        <v>8</v>
      </c>
      <c r="D4" s="35">
        <v>13.75</v>
      </c>
      <c r="E4" s="20">
        <f>parameter!C4</f>
        <v>12.861394557823131</v>
      </c>
      <c r="H4" s="45"/>
      <c r="I4" s="42"/>
    </row>
    <row r="5" spans="1:9" ht="15.75" thickBot="1">
      <c r="A5" s="37">
        <v>700</v>
      </c>
      <c r="C5" s="4" t="s">
        <v>9</v>
      </c>
      <c r="D5" s="35">
        <v>1.43</v>
      </c>
      <c r="E5" s="20">
        <f>parameter!C5</f>
        <v>1.3375850340136055</v>
      </c>
      <c r="H5" s="45"/>
      <c r="I5" s="42"/>
    </row>
    <row r="6" spans="1:9">
      <c r="C6" s="4" t="s">
        <v>10</v>
      </c>
      <c r="D6" s="35">
        <v>0</v>
      </c>
      <c r="E6" s="20">
        <f>parameter!C6</f>
        <v>0</v>
      </c>
      <c r="H6" s="45"/>
      <c r="I6" s="42"/>
    </row>
    <row r="7" spans="1:9">
      <c r="C7" s="4" t="s">
        <v>11</v>
      </c>
      <c r="D7" s="35">
        <v>0.11</v>
      </c>
      <c r="E7" s="20">
        <f>parameter!C7</f>
        <v>0.10289115646258504</v>
      </c>
      <c r="H7" s="46"/>
      <c r="I7" s="43"/>
    </row>
    <row r="8" spans="1:9">
      <c r="A8" s="17"/>
      <c r="C8" s="4" t="s">
        <v>12</v>
      </c>
      <c r="D8" s="35">
        <v>0.24</v>
      </c>
      <c r="E8" s="20">
        <f>parameter!C8</f>
        <v>0.22448979591836737</v>
      </c>
    </row>
    <row r="9" spans="1:9">
      <c r="C9" s="4" t="s">
        <v>13</v>
      </c>
      <c r="D9" s="35">
        <v>0.86</v>
      </c>
      <c r="E9" s="20">
        <f>parameter!C9</f>
        <v>0.80442176870748305</v>
      </c>
    </row>
    <row r="10" spans="1:9">
      <c r="C10" s="4" t="s">
        <v>14</v>
      </c>
      <c r="D10" s="35">
        <v>4.7699999999999996</v>
      </c>
      <c r="E10" s="20">
        <f>parameter!C10</f>
        <v>4.4617346938775508</v>
      </c>
      <c r="G10" s="48"/>
    </row>
    <row r="11" spans="1:9">
      <c r="C11" s="4" t="s">
        <v>15</v>
      </c>
      <c r="D11" s="35">
        <v>4.3499999999999996</v>
      </c>
      <c r="E11" s="20">
        <f>parameter!C11</f>
        <v>4.0688775510204076</v>
      </c>
    </row>
    <row r="12" spans="1:9" ht="15.75" thickBot="1">
      <c r="A12" s="4" t="s">
        <v>61</v>
      </c>
      <c r="C12" s="4" t="s">
        <v>16</v>
      </c>
      <c r="D12" s="35">
        <v>0.02</v>
      </c>
      <c r="E12" s="20">
        <f>parameter!C12</f>
        <v>1.8707482993197279E-2</v>
      </c>
    </row>
    <row r="13" spans="1:9" ht="15.75" thickBot="1">
      <c r="A13" s="47" t="s">
        <v>60</v>
      </c>
      <c r="C13" s="4" t="s">
        <v>17</v>
      </c>
      <c r="D13" s="36">
        <v>6.5</v>
      </c>
      <c r="E13" s="20">
        <f>parameter!C13</f>
        <v>6.5</v>
      </c>
    </row>
    <row r="14" spans="1:9">
      <c r="C14" s="4" t="s">
        <v>52</v>
      </c>
      <c r="D14" s="19">
        <f>SUM(D2:D13)</f>
        <v>106.46</v>
      </c>
      <c r="E14" s="21">
        <f>SUM(E2:E13)</f>
        <v>100</v>
      </c>
    </row>
    <row r="15" spans="1:9" ht="31.5">
      <c r="A15" s="40" t="s">
        <v>59</v>
      </c>
    </row>
    <row r="16" spans="1:9">
      <c r="A16" s="12">
        <f>(A3-I24)^2</f>
        <v>2.2263750157116446E-31</v>
      </c>
    </row>
    <row r="17" spans="1:9">
      <c r="E17" s="6"/>
    </row>
    <row r="19" spans="1:9" s="8" customFormat="1" ht="15.75" thickBot="1"/>
    <row r="20" spans="1:9" ht="62.1" customHeight="1" thickBot="1">
      <c r="A20" s="26" t="s">
        <v>41</v>
      </c>
      <c r="B20" s="28" t="s">
        <v>46</v>
      </c>
      <c r="C20" s="29" t="s">
        <v>54</v>
      </c>
      <c r="D20" s="30" t="s">
        <v>45</v>
      </c>
    </row>
    <row r="21" spans="1:9" ht="48" customHeight="1" thickBot="1">
      <c r="A21" s="27"/>
      <c r="B21" s="31">
        <v>2.626973012487626</v>
      </c>
      <c r="C21" s="32">
        <f>B21*10</f>
        <v>26.269730124876261</v>
      </c>
      <c r="D21" s="33">
        <f>parameter!F15/calculation!B21/10</f>
        <v>2.1141078946857745</v>
      </c>
    </row>
    <row r="22" spans="1:9" ht="15.75">
      <c r="I22" s="22" t="s">
        <v>43</v>
      </c>
    </row>
    <row r="23" spans="1:9" ht="15.75">
      <c r="A23" s="7" t="s">
        <v>37</v>
      </c>
      <c r="B23" s="8"/>
      <c r="C23" s="8"/>
      <c r="D23" s="8"/>
      <c r="E23" s="8"/>
      <c r="I23" s="23" t="s">
        <v>5</v>
      </c>
    </row>
    <row r="24" spans="1:9" ht="30">
      <c r="A24" s="9" t="s">
        <v>44</v>
      </c>
      <c r="B24" s="9" t="s">
        <v>1</v>
      </c>
      <c r="C24" s="9" t="s">
        <v>2</v>
      </c>
      <c r="D24" s="9" t="s">
        <v>3</v>
      </c>
      <c r="E24" s="9" t="s">
        <v>4</v>
      </c>
      <c r="I24" s="23">
        <f>3/2*A30*(I26^(7/3)-I26^(5/3))*(1-3/4*(4-E25)*(I26^(2/3)-1))</f>
        <v>5.9999999999999526E-2</v>
      </c>
    </row>
    <row r="25" spans="1:9">
      <c r="A25" s="10">
        <f>parameter!H15</f>
        <v>2.7471142967261386</v>
      </c>
      <c r="B25" s="11">
        <f>parameter!J15</f>
        <v>1.4324502320066319E-4</v>
      </c>
      <c r="C25" s="11">
        <f>parameter!L15</f>
        <v>-2.8357114938520872E-5</v>
      </c>
      <c r="D25" s="11">
        <f>parameter!N15</f>
        <v>7.6800387650774908E-9</v>
      </c>
      <c r="E25" s="10">
        <f>parameter!B21</f>
        <v>3.8991189042273957</v>
      </c>
      <c r="I25" s="23" t="s">
        <v>0</v>
      </c>
    </row>
    <row r="26" spans="1:9">
      <c r="A26" s="4" t="s">
        <v>34</v>
      </c>
      <c r="I26" s="24">
        <f>A27/B21</f>
        <v>1.0075637503330239</v>
      </c>
    </row>
    <row r="27" spans="1:9">
      <c r="A27" s="10">
        <f>A25+B25*(I29-1673)</f>
        <v>2.6468427804856742</v>
      </c>
      <c r="I27" s="23"/>
    </row>
    <row r="28" spans="1:9">
      <c r="I28" s="23" t="s">
        <v>39</v>
      </c>
    </row>
    <row r="29" spans="1:9" ht="15.75" thickBot="1">
      <c r="A29" s="4" t="s">
        <v>38</v>
      </c>
      <c r="I29" s="25">
        <f>A5+273</f>
        <v>973</v>
      </c>
    </row>
    <row r="30" spans="1:9">
      <c r="A30" s="10">
        <f>-A27/(C25+D25*(I29-1673))/10000</f>
        <v>7.8464163660575474</v>
      </c>
      <c r="C30" s="13"/>
      <c r="D30" s="16"/>
    </row>
    <row r="31" spans="1:9" ht="15.75">
      <c r="A31" s="4" t="s">
        <v>40</v>
      </c>
      <c r="H31" s="15"/>
    </row>
    <row r="32" spans="1:9" ht="15.75">
      <c r="A32" s="10">
        <f>A30+E25*A3</f>
        <v>8.0803635003111918</v>
      </c>
      <c r="H32" s="15"/>
    </row>
    <row r="33" spans="1:4" ht="15.75">
      <c r="A33" s="14"/>
      <c r="B33" s="14"/>
      <c r="D33" s="15"/>
    </row>
    <row r="34" spans="1:4" ht="15.75">
      <c r="A34" s="14"/>
      <c r="B34" s="14"/>
      <c r="D34" s="15"/>
    </row>
  </sheetData>
  <mergeCells count="2">
    <mergeCell ref="I2:I7"/>
    <mergeCell ref="H2:H7"/>
  </mergeCells>
  <phoneticPr fontId="1"/>
  <pageMargins left="0.75" right="0.75" top="1" bottom="1" header="0.3" footer="0.3"/>
  <pageSetup paperSize="9" orientation="portrait" horizontalDpi="4294967292" verticalDpi="4294967292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1"/>
  <sheetViews>
    <sheetView workbookViewId="0">
      <selection activeCell="B17" sqref="B17"/>
    </sheetView>
  </sheetViews>
  <sheetFormatPr defaultRowHeight="15.75"/>
  <cols>
    <col min="1" max="2" width="13" customWidth="1"/>
    <col min="3" max="3" width="16.125" bestFit="1" customWidth="1"/>
    <col min="4" max="11" width="13" customWidth="1"/>
    <col min="12" max="12" width="13.625" bestFit="1" customWidth="1"/>
    <col min="13" max="13" width="13.5" bestFit="1" customWidth="1"/>
    <col min="14" max="256" width="13" customWidth="1"/>
  </cols>
  <sheetData>
    <row r="1" spans="1:14">
      <c r="A1" t="s">
        <v>42</v>
      </c>
      <c r="C1" t="s">
        <v>47</v>
      </c>
      <c r="D1" s="2" t="s">
        <v>18</v>
      </c>
      <c r="E1" t="s">
        <v>19</v>
      </c>
      <c r="F1" t="s">
        <v>35</v>
      </c>
      <c r="G1" t="s">
        <v>20</v>
      </c>
      <c r="H1" t="s">
        <v>21</v>
      </c>
      <c r="I1" t="s">
        <v>22</v>
      </c>
      <c r="K1" t="s">
        <v>25</v>
      </c>
      <c r="M1" t="s">
        <v>27</v>
      </c>
    </row>
    <row r="2" spans="1:14">
      <c r="A2" t="s">
        <v>6</v>
      </c>
      <c r="B2">
        <v>60.084299999999999</v>
      </c>
      <c r="C2">
        <f>calculation!D2/SUM(calculation!D2:D12)*(100-calculation!D13)</f>
        <v>69.535714285714292</v>
      </c>
      <c r="D2" s="2">
        <f t="shared" ref="D2:D13" si="0">C2/B2</f>
        <v>1.1573025613299031</v>
      </c>
      <c r="E2">
        <f t="shared" ref="E2:E13" si="1">D2/$D$14</f>
        <v>0.64273163094288932</v>
      </c>
      <c r="F2">
        <f t="shared" ref="F2:F13" si="2">E2*B2</f>
        <v>38.618080133061845</v>
      </c>
      <c r="G2">
        <v>2.69</v>
      </c>
      <c r="H2">
        <f>G2*E2</f>
        <v>1.7289480872363723</v>
      </c>
      <c r="I2">
        <v>0</v>
      </c>
      <c r="J2">
        <f>I2*E2</f>
        <v>0</v>
      </c>
      <c r="K2">
        <f>-0.0000189</f>
        <v>-1.8899999999999999E-5</v>
      </c>
      <c r="L2">
        <f>K2*E2</f>
        <v>-1.2147627824820607E-5</v>
      </c>
      <c r="M2">
        <f>0.000000013</f>
        <v>1.3000000000000001E-8</v>
      </c>
      <c r="N2">
        <f>M2*E2</f>
        <v>8.3555112022575614E-9</v>
      </c>
    </row>
    <row r="3" spans="1:14">
      <c r="A3" t="s">
        <v>7</v>
      </c>
      <c r="B3">
        <f>47.867+15.9994*2</f>
        <v>79.865799999999993</v>
      </c>
      <c r="C3">
        <f>calculation!D3/SUM(calculation!D2:D12)*(100-calculation!D13)</f>
        <v>8.4183673469387751E-2</v>
      </c>
      <c r="D3" s="2">
        <f t="shared" si="0"/>
        <v>1.0540641109134043E-3</v>
      </c>
      <c r="E3">
        <f t="shared" si="1"/>
        <v>5.8539604746680844E-4</v>
      </c>
      <c r="F3">
        <f t="shared" si="2"/>
        <v>4.6753123647774626E-2</v>
      </c>
      <c r="G3">
        <f>2.316</f>
        <v>2.3159999999999998</v>
      </c>
      <c r="H3">
        <f t="shared" ref="H3:H13" si="3">G3*E3</f>
        <v>1.3557772459331283E-3</v>
      </c>
      <c r="I3">
        <f>0.000724</f>
        <v>7.2400000000000003E-4</v>
      </c>
      <c r="J3">
        <f t="shared" ref="J3:J13" si="4">I3*E3</f>
        <v>4.2382673836596935E-7</v>
      </c>
      <c r="K3">
        <f>-0.0000231</f>
        <v>-2.3099999999999999E-5</v>
      </c>
      <c r="L3">
        <f t="shared" ref="L3:L13" si="5">K3*E3</f>
        <v>-1.3522648696483275E-8</v>
      </c>
      <c r="M3">
        <v>0</v>
      </c>
      <c r="N3">
        <f t="shared" ref="N3:N13" si="6">M3*E3</f>
        <v>0</v>
      </c>
    </row>
    <row r="4" spans="1:14">
      <c r="A4" t="s">
        <v>8</v>
      </c>
      <c r="B4">
        <v>101.9612772</v>
      </c>
      <c r="C4">
        <f>calculation!D4/SUM(calculation!D2:D12)*(100-calculation!D13)</f>
        <v>12.861394557823131</v>
      </c>
      <c r="D4" s="2">
        <f t="shared" si="0"/>
        <v>0.12613999070053949</v>
      </c>
      <c r="E4">
        <f t="shared" si="1"/>
        <v>7.0054421945556791E-2</v>
      </c>
      <c r="F4">
        <f t="shared" si="2"/>
        <v>7.1428383350766795</v>
      </c>
      <c r="G4">
        <f>3.711</f>
        <v>3.7109999999999999</v>
      </c>
      <c r="H4">
        <f t="shared" si="3"/>
        <v>0.25997195983996124</v>
      </c>
      <c r="I4">
        <f>0.000262</f>
        <v>2.6200000000000003E-4</v>
      </c>
      <c r="J4">
        <f t="shared" si="4"/>
        <v>1.8354258549735882E-5</v>
      </c>
      <c r="K4">
        <f>-0.0000226</f>
        <v>-2.26E-5</v>
      </c>
      <c r="L4">
        <f t="shared" si="5"/>
        <v>-1.5832299359695836E-6</v>
      </c>
      <c r="M4">
        <f>0.000000027</f>
        <v>2.7E-8</v>
      </c>
      <c r="N4">
        <f t="shared" si="6"/>
        <v>1.8914693925300335E-9</v>
      </c>
    </row>
    <row r="5" spans="1:14">
      <c r="A5" t="s">
        <v>9</v>
      </c>
      <c r="B5">
        <f>55.845+15.9994</f>
        <v>71.844399999999993</v>
      </c>
      <c r="C5">
        <f>calculation!D5/SUM(calculation!D2:D12)*(100-calculation!D13)</f>
        <v>1.3375850340136055</v>
      </c>
      <c r="D5" s="2">
        <f t="shared" si="0"/>
        <v>1.8617805062240141E-2</v>
      </c>
      <c r="E5">
        <f t="shared" si="1"/>
        <v>1.0339778561000922E-2</v>
      </c>
      <c r="F5">
        <f t="shared" si="2"/>
        <v>0.74285518684797458</v>
      </c>
      <c r="G5">
        <f>1.365</f>
        <v>1.365</v>
      </c>
      <c r="H5">
        <f t="shared" si="3"/>
        <v>1.4113797735766258E-2</v>
      </c>
      <c r="I5">
        <f>0.000292</f>
        <v>2.92E-4</v>
      </c>
      <c r="J5">
        <f t="shared" si="4"/>
        <v>3.0192153398122691E-6</v>
      </c>
      <c r="K5">
        <f>-0.0000045</f>
        <v>-4.5000000000000001E-6</v>
      </c>
      <c r="L5">
        <f t="shared" si="5"/>
        <v>-4.6529003524504152E-8</v>
      </c>
      <c r="M5">
        <f>-0.000000018</f>
        <v>-1.7999999999999999E-8</v>
      </c>
      <c r="N5">
        <f t="shared" si="6"/>
        <v>-1.861160140980166E-10</v>
      </c>
    </row>
    <row r="6" spans="1:14">
      <c r="A6" t="s">
        <v>10</v>
      </c>
      <c r="B6">
        <f>55.845*2+15.9994*3</f>
        <v>159.68819999999999</v>
      </c>
      <c r="C6">
        <f>calculation!D6/SUM(calculation!D2:D12)*(100-calculation!D13)</f>
        <v>0</v>
      </c>
      <c r="D6" s="2">
        <f t="shared" si="0"/>
        <v>0</v>
      </c>
      <c r="E6">
        <f t="shared" si="1"/>
        <v>0</v>
      </c>
      <c r="F6">
        <f t="shared" si="2"/>
        <v>0</v>
      </c>
      <c r="G6">
        <f>4.213</f>
        <v>4.2130000000000001</v>
      </c>
      <c r="H6">
        <f t="shared" si="3"/>
        <v>0</v>
      </c>
      <c r="I6">
        <f>0.000909</f>
        <v>9.0899999999999998E-4</v>
      </c>
      <c r="J6">
        <f t="shared" si="4"/>
        <v>0</v>
      </c>
      <c r="K6">
        <f>-0.0000253</f>
        <v>-2.5299999999999998E-5</v>
      </c>
      <c r="L6">
        <f t="shared" si="5"/>
        <v>0</v>
      </c>
      <c r="M6">
        <f>0.000000031</f>
        <v>3.1E-8</v>
      </c>
      <c r="N6">
        <f t="shared" si="6"/>
        <v>0</v>
      </c>
    </row>
    <row r="7" spans="1:14">
      <c r="A7" t="s">
        <v>11</v>
      </c>
      <c r="B7">
        <f>54.938045+15.9994</f>
        <v>70.937444999999997</v>
      </c>
      <c r="C7">
        <f>calculation!D7/SUM(calculation!D2:D12)*(100-calculation!D13)</f>
        <v>0.10289115646258504</v>
      </c>
      <c r="D7" s="2">
        <f t="shared" si="0"/>
        <v>1.4504491451952496E-3</v>
      </c>
      <c r="E7">
        <f t="shared" si="1"/>
        <v>8.0553657776387963E-4</v>
      </c>
      <c r="F7">
        <f t="shared" si="2"/>
        <v>5.7142706680613435E-2</v>
      </c>
      <c r="G7">
        <v>0</v>
      </c>
      <c r="H7">
        <f t="shared" si="3"/>
        <v>0</v>
      </c>
      <c r="I7">
        <v>0</v>
      </c>
      <c r="J7">
        <f t="shared" si="4"/>
        <v>0</v>
      </c>
      <c r="K7">
        <v>0</v>
      </c>
      <c r="L7">
        <f t="shared" si="5"/>
        <v>0</v>
      </c>
      <c r="M7">
        <v>0</v>
      </c>
      <c r="N7">
        <f t="shared" si="6"/>
        <v>0</v>
      </c>
    </row>
    <row r="8" spans="1:14">
      <c r="A8" t="s">
        <v>12</v>
      </c>
      <c r="B8">
        <v>40.304400000000001</v>
      </c>
      <c r="C8">
        <f>calculation!D8/SUM(calculation!D2:D12)*(100-calculation!D13)</f>
        <v>0.22448979591836737</v>
      </c>
      <c r="D8" s="2">
        <f t="shared" si="0"/>
        <v>5.5698582764752078E-3</v>
      </c>
      <c r="E8">
        <f t="shared" si="1"/>
        <v>3.0933346332922876E-3</v>
      </c>
      <c r="F8">
        <f t="shared" si="2"/>
        <v>0.12467499639406568</v>
      </c>
      <c r="G8">
        <f>1.145</f>
        <v>1.145</v>
      </c>
      <c r="H8">
        <f t="shared" si="3"/>
        <v>3.5418681551196694E-3</v>
      </c>
      <c r="I8">
        <f>0.000262</f>
        <v>2.6200000000000003E-4</v>
      </c>
      <c r="J8">
        <f t="shared" si="4"/>
        <v>8.1045367392257949E-7</v>
      </c>
      <c r="K8">
        <f>0.0000027</f>
        <v>2.7E-6</v>
      </c>
      <c r="L8">
        <f t="shared" si="5"/>
        <v>8.3520035098891762E-9</v>
      </c>
      <c r="M8">
        <f>-0.000000013</f>
        <v>-1.3000000000000001E-8</v>
      </c>
      <c r="N8">
        <f t="shared" si="6"/>
        <v>-4.0213350232799738E-11</v>
      </c>
    </row>
    <row r="9" spans="1:14">
      <c r="A9" t="s">
        <v>13</v>
      </c>
      <c r="B9">
        <v>56.077399999999997</v>
      </c>
      <c r="C9">
        <f>calculation!D9/SUM(calculation!D2:D12)*(100-calculation!D13)</f>
        <v>0.80442176870748305</v>
      </c>
      <c r="D9" s="2">
        <f t="shared" si="0"/>
        <v>1.4344847812264533E-2</v>
      </c>
      <c r="E9">
        <f t="shared" si="1"/>
        <v>7.9667044194643242E-3</v>
      </c>
      <c r="F9">
        <f t="shared" si="2"/>
        <v>0.44675207041206866</v>
      </c>
      <c r="G9">
        <f>1.657</f>
        <v>1.657</v>
      </c>
      <c r="H9">
        <f t="shared" si="3"/>
        <v>1.3200829223052385E-2</v>
      </c>
      <c r="I9">
        <f>0.000292</f>
        <v>2.92E-4</v>
      </c>
      <c r="J9">
        <f t="shared" si="4"/>
        <v>2.3262776904835828E-6</v>
      </c>
      <c r="K9">
        <f>0.0000034</f>
        <v>3.4000000000000001E-6</v>
      </c>
      <c r="L9">
        <f t="shared" si="5"/>
        <v>2.7086795026178702E-8</v>
      </c>
      <c r="M9">
        <f>-0.000000029</f>
        <v>-2.9000000000000002E-8</v>
      </c>
      <c r="N9">
        <f t="shared" si="6"/>
        <v>-2.3103442816446543E-10</v>
      </c>
    </row>
    <row r="10" spans="1:14">
      <c r="A10" t="s">
        <v>14</v>
      </c>
      <c r="B10">
        <f>22.98976928*2+15.9994</f>
        <v>61.978938560000003</v>
      </c>
      <c r="C10">
        <f>calculation!D10/SUM(calculation!D2:D12)*(100-calculation!D13)</f>
        <v>4.4617346938775508</v>
      </c>
      <c r="D10" s="2">
        <f t="shared" si="0"/>
        <v>7.1987917146375063E-2</v>
      </c>
      <c r="E10">
        <f t="shared" si="1"/>
        <v>3.9979961111035439E-2</v>
      </c>
      <c r="F10">
        <f t="shared" si="2"/>
        <v>2.4779155533320552</v>
      </c>
      <c r="G10">
        <f>2.878</f>
        <v>2.8780000000000001</v>
      </c>
      <c r="H10">
        <f t="shared" si="3"/>
        <v>0.11506232807755999</v>
      </c>
      <c r="I10">
        <f>0.000741</f>
        <v>7.4100000000000001E-4</v>
      </c>
      <c r="J10">
        <f t="shared" si="4"/>
        <v>2.962515118327726E-5</v>
      </c>
      <c r="K10">
        <f>-0.000024</f>
        <v>-2.4000000000000001E-5</v>
      </c>
      <c r="L10">
        <f t="shared" si="5"/>
        <v>-9.5951906666485057E-7</v>
      </c>
      <c r="M10">
        <f>-0.000000066</f>
        <v>-6.5999999999999995E-8</v>
      </c>
      <c r="N10">
        <f t="shared" si="6"/>
        <v>-2.6386774333283388E-9</v>
      </c>
    </row>
    <row r="11" spans="1:14">
      <c r="A11" t="s">
        <v>15</v>
      </c>
      <c r="B11">
        <f>39.0983*2+15.9994</f>
        <v>94.195999999999998</v>
      </c>
      <c r="C11">
        <f>calculation!D11/SUM(calculation!D2:D12)*(100-calculation!D13)</f>
        <v>4.0688775510204076</v>
      </c>
      <c r="D11" s="2">
        <f t="shared" si="0"/>
        <v>4.3195863423291944E-2</v>
      </c>
      <c r="E11">
        <f t="shared" si="1"/>
        <v>2.3989705610030575E-2</v>
      </c>
      <c r="F11">
        <f t="shared" si="2"/>
        <v>2.25973430964244</v>
      </c>
      <c r="G11">
        <f>4.584</f>
        <v>4.5839999999999996</v>
      </c>
      <c r="H11">
        <f t="shared" si="3"/>
        <v>0.10996881051638015</v>
      </c>
      <c r="I11">
        <f>0.001191</f>
        <v>1.191E-3</v>
      </c>
      <c r="J11">
        <f t="shared" si="4"/>
        <v>2.8571739381546414E-5</v>
      </c>
      <c r="K11">
        <f>-0.0000675</f>
        <v>-6.7500000000000001E-5</v>
      </c>
      <c r="L11">
        <f t="shared" si="5"/>
        <v>-1.6193051286770638E-6</v>
      </c>
      <c r="M11">
        <f>-0.000000145</f>
        <v>-1.4499999999999999E-7</v>
      </c>
      <c r="N11">
        <f t="shared" si="6"/>
        <v>-3.4785073134544332E-9</v>
      </c>
    </row>
    <row r="12" spans="1:14">
      <c r="A12" t="s">
        <v>16</v>
      </c>
      <c r="B12">
        <f>30.973762*2+15.9994*5</f>
        <v>141.944524</v>
      </c>
      <c r="C12">
        <f>calculation!D12/SUM(calculation!D2:D12)*(100-calculation!D13)</f>
        <v>1.8707482993197279E-2</v>
      </c>
      <c r="D12" s="2">
        <f t="shared" si="0"/>
        <v>1.3179432686813111E-4</v>
      </c>
      <c r="E12">
        <f t="shared" si="1"/>
        <v>7.3194673102280487E-5</v>
      </c>
      <c r="F12">
        <f t="shared" si="2"/>
        <v>1.0389583032838807E-2</v>
      </c>
      <c r="G12">
        <v>0</v>
      </c>
      <c r="H12">
        <f t="shared" si="3"/>
        <v>0</v>
      </c>
      <c r="I12">
        <v>0</v>
      </c>
      <c r="J12">
        <f t="shared" si="4"/>
        <v>0</v>
      </c>
      <c r="K12">
        <v>0</v>
      </c>
      <c r="L12">
        <f t="shared" si="5"/>
        <v>0</v>
      </c>
      <c r="M12">
        <v>0</v>
      </c>
      <c r="N12">
        <f t="shared" si="6"/>
        <v>0</v>
      </c>
    </row>
    <row r="13" spans="1:14">
      <c r="A13" t="s">
        <v>17</v>
      </c>
      <c r="B13">
        <f>18.01528</f>
        <v>18.015280000000001</v>
      </c>
      <c r="C13">
        <f>calculation!D13</f>
        <v>6.5</v>
      </c>
      <c r="D13" s="2">
        <f t="shared" si="0"/>
        <v>0.36080482790164792</v>
      </c>
      <c r="E13">
        <f t="shared" si="1"/>
        <v>0.20038033547839751</v>
      </c>
      <c r="F13">
        <f t="shared" si="2"/>
        <v>3.6099078501372652</v>
      </c>
      <c r="G13">
        <v>2.5</v>
      </c>
      <c r="H13">
        <f t="shared" si="3"/>
        <v>0.50095083869599377</v>
      </c>
      <c r="I13" s="1">
        <v>2.9999999999999997E-4</v>
      </c>
      <c r="J13">
        <f t="shared" si="4"/>
        <v>6.0114100643519249E-5</v>
      </c>
      <c r="K13" s="1">
        <v>-6.0000000000000002E-5</v>
      </c>
      <c r="L13">
        <f t="shared" si="5"/>
        <v>-1.202282012870385E-5</v>
      </c>
      <c r="M13" s="1">
        <v>2E-8</v>
      </c>
      <c r="N13">
        <f t="shared" si="6"/>
        <v>4.0076067095679499E-9</v>
      </c>
    </row>
    <row r="14" spans="1:14">
      <c r="C14">
        <f>SUM(C2:C13)</f>
        <v>100</v>
      </c>
      <c r="D14" s="3">
        <f>SUM(D2:D13)</f>
        <v>1.8005999792357139</v>
      </c>
      <c r="F14" t="s">
        <v>36</v>
      </c>
      <c r="H14" t="s">
        <v>23</v>
      </c>
      <c r="J14" t="s">
        <v>24</v>
      </c>
      <c r="L14" t="s">
        <v>26</v>
      </c>
      <c r="N14" t="s">
        <v>28</v>
      </c>
    </row>
    <row r="15" spans="1:14">
      <c r="F15">
        <f>SUM(F2:F13)</f>
        <v>55.537043848265625</v>
      </c>
      <c r="H15">
        <f>SUM(H2:H13)</f>
        <v>2.7471142967261386</v>
      </c>
      <c r="J15">
        <f>SUM(J2:J13)</f>
        <v>1.4324502320066319E-4</v>
      </c>
      <c r="L15">
        <f>SUM(L2:L13)</f>
        <v>-2.8357114938520872E-5</v>
      </c>
      <c r="N15">
        <f>SUM(N2:N13)</f>
        <v>7.6800387650774908E-9</v>
      </c>
    </row>
    <row r="17" spans="1:2">
      <c r="A17" t="s">
        <v>29</v>
      </c>
      <c r="B17" s="18">
        <f>E2/(1-E13)</f>
        <v>0.80379667917174558</v>
      </c>
    </row>
    <row r="18" spans="1:2">
      <c r="A18" t="s">
        <v>30</v>
      </c>
    </row>
    <row r="19" spans="1:2">
      <c r="A19" t="s">
        <v>48</v>
      </c>
      <c r="B19" s="18">
        <f>-2.2985*B17+8.7285</f>
        <v>6.8809733329237428</v>
      </c>
    </row>
    <row r="20" spans="1:2">
      <c r="A20" t="s">
        <v>31</v>
      </c>
    </row>
    <row r="21" spans="1:2">
      <c r="A21" t="s">
        <v>49</v>
      </c>
      <c r="B21" s="18">
        <f>-8*E13+(1-E13)*B19</f>
        <v>3.8991189042273957</v>
      </c>
    </row>
  </sheetData>
  <sheetProtection sheet="1" objects="1" scenarios="1"/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Ueki Kenta</dc:creator>
  <cp:lastModifiedBy>Kajetan</cp:lastModifiedBy>
  <cp:lastPrinted>2015-11-19T08:16:51Z</cp:lastPrinted>
  <dcterms:created xsi:type="dcterms:W3CDTF">2015-06-19T04:30:07Z</dcterms:created>
  <dcterms:modified xsi:type="dcterms:W3CDTF">2021-08-18T23:38:15Z</dcterms:modified>
</cp:coreProperties>
</file>