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humishra/Desktop/job stuff/"/>
    </mc:Choice>
  </mc:AlternateContent>
  <xr:revisionPtr revIDLastSave="0" documentId="13_ncr:1_{D295D480-B431-5F43-8DA0-5AC0130668C6}" xr6:coauthVersionLast="47" xr6:coauthVersionMax="47" xr10:uidLastSave="{00000000-0000-0000-0000-000000000000}"/>
  <bookViews>
    <workbookView xWindow="0" yWindow="0" windowWidth="28800" windowHeight="18000" activeTab="6" xr2:uid="{5C09562B-99D8-D94C-AB61-53677ED42AB6}"/>
  </bookViews>
  <sheets>
    <sheet name="SPOT IS" sheetId="1" r:id="rId1"/>
    <sheet name="SPOT BS" sheetId="2" r:id="rId2"/>
    <sheet name="SPOT CFS" sheetId="3" r:id="rId3"/>
    <sheet name="FCF Calculations" sheetId="4" r:id="rId4"/>
    <sheet name="WACC Calculations" sheetId="5" r:id="rId5"/>
    <sheet name="Scenario Analysis" sheetId="6" r:id="rId6"/>
    <sheet name="Sensitivity Analy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B14" i="4"/>
  <c r="F9" i="4"/>
  <c r="C9" i="4"/>
  <c r="B9" i="4"/>
  <c r="B15" i="4"/>
  <c r="B13" i="4"/>
  <c r="B10" i="4"/>
  <c r="B7" i="4"/>
  <c r="G3" i="7"/>
  <c r="F3" i="7"/>
  <c r="E3" i="7"/>
  <c r="D3" i="7"/>
  <c r="C3" i="7"/>
  <c r="B8" i="7"/>
  <c r="B7" i="7"/>
  <c r="B6" i="7"/>
  <c r="B5" i="7"/>
  <c r="B4" i="7"/>
  <c r="C13" i="7"/>
  <c r="D13" i="7" s="1"/>
  <c r="E13" i="7" s="1"/>
  <c r="F13" i="7" s="1"/>
  <c r="G13" i="7" s="1"/>
  <c r="C19" i="7" l="1"/>
  <c r="E23" i="7"/>
  <c r="C17" i="7"/>
  <c r="D17" i="7"/>
  <c r="E15" i="7"/>
  <c r="F19" i="7"/>
  <c r="C26" i="7"/>
  <c r="F15" i="7"/>
  <c r="G19" i="7"/>
  <c r="F21" i="7"/>
  <c r="C15" i="7"/>
  <c r="G17" i="7"/>
  <c r="C23" i="7"/>
  <c r="D19" i="7"/>
  <c r="C21" i="7"/>
  <c r="F23" i="7"/>
  <c r="D15" i="7"/>
  <c r="E19" i="7"/>
  <c r="D21" i="7"/>
  <c r="G23" i="7"/>
  <c r="E17" i="7"/>
  <c r="E21" i="7"/>
  <c r="F17" i="7"/>
  <c r="G15" i="7"/>
  <c r="G21" i="7"/>
  <c r="D23" i="7"/>
  <c r="B40" i="6"/>
  <c r="B39" i="6"/>
  <c r="C39" i="6" s="1"/>
  <c r="C30" i="6"/>
  <c r="D30" i="6" s="1"/>
  <c r="B30" i="6"/>
  <c r="B21" i="6"/>
  <c r="B22" i="6" s="1"/>
  <c r="B31" i="6"/>
  <c r="B17" i="6"/>
  <c r="C7" i="5"/>
  <c r="F10" i="5"/>
  <c r="C6" i="5" s="1"/>
  <c r="F8" i="5"/>
  <c r="F9" i="5"/>
  <c r="C3" i="5"/>
  <c r="C8" i="5" s="1"/>
  <c r="F7" i="5"/>
  <c r="C5" i="5" s="1"/>
  <c r="E14" i="4"/>
  <c r="C13" i="4"/>
  <c r="C14" i="4" s="1"/>
  <c r="D13" i="4"/>
  <c r="D14" i="4" s="1"/>
  <c r="E13" i="4"/>
  <c r="F13" i="4"/>
  <c r="F14" i="4" s="1"/>
  <c r="I7" i="4"/>
  <c r="J13" i="4"/>
  <c r="K13" i="4"/>
  <c r="L13" i="4"/>
  <c r="M13" i="4"/>
  <c r="I13" i="4"/>
  <c r="J7" i="4"/>
  <c r="K7" i="4"/>
  <c r="L7" i="4"/>
  <c r="M7" i="4"/>
  <c r="D10" i="4"/>
  <c r="F10" i="4"/>
  <c r="E9" i="4"/>
  <c r="E10" i="4" s="1"/>
  <c r="E15" i="4" s="1"/>
  <c r="D9" i="4"/>
  <c r="C10" i="4"/>
  <c r="C15" i="4" s="1"/>
  <c r="D7" i="4"/>
  <c r="D15" i="4" s="1"/>
  <c r="C7" i="4"/>
  <c r="E7" i="4"/>
  <c r="F7" i="4"/>
  <c r="C9" i="5" l="1"/>
  <c r="E30" i="6"/>
  <c r="D31" i="6"/>
  <c r="C40" i="6"/>
  <c r="D39" i="6"/>
  <c r="F15" i="4"/>
  <c r="G4" i="7"/>
  <c r="F8" i="7"/>
  <c r="E4" i="7"/>
  <c r="F6" i="7"/>
  <c r="C7" i="7"/>
  <c r="F5" i="7"/>
  <c r="D7" i="7"/>
  <c r="G8" i="7"/>
  <c r="F4" i="7"/>
  <c r="G7" i="7"/>
  <c r="E5" i="7"/>
  <c r="D4" i="7"/>
  <c r="E8" i="7"/>
  <c r="G5" i="7"/>
  <c r="E7" i="7"/>
  <c r="C5" i="7"/>
  <c r="D5" i="7" s="1"/>
  <c r="F7" i="7"/>
  <c r="E6" i="7"/>
  <c r="C6" i="7"/>
  <c r="D6" i="7" s="1"/>
  <c r="C8" i="7"/>
  <c r="D8" i="7" s="1"/>
  <c r="G6" i="7"/>
  <c r="C4" i="7"/>
  <c r="C31" i="6"/>
  <c r="C21" i="6"/>
  <c r="D21" i="6" s="1"/>
  <c r="E39" i="6" l="1"/>
  <c r="D40" i="6"/>
  <c r="F30" i="6"/>
  <c r="E31" i="6"/>
  <c r="C22" i="6"/>
  <c r="B33" i="6" l="1"/>
  <c r="B34" i="6" s="1"/>
  <c r="F31" i="6"/>
  <c r="F39" i="6"/>
  <c r="E40" i="6"/>
  <c r="E21" i="6"/>
  <c r="F21" i="6" s="1"/>
  <c r="B24" i="6" s="1"/>
  <c r="B25" i="6" s="1"/>
  <c r="D22" i="6"/>
  <c r="F40" i="6" l="1"/>
  <c r="B35" i="6"/>
  <c r="E22" i="6"/>
  <c r="F22" i="6" l="1"/>
  <c r="B26" i="6" s="1"/>
  <c r="B42" i="6" s="1"/>
  <c r="B43" i="6" s="1"/>
  <c r="B44" i="6" s="1"/>
</calcChain>
</file>

<file path=xl/sharedStrings.xml><?xml version="1.0" encoding="utf-8"?>
<sst xmlns="http://schemas.openxmlformats.org/spreadsheetml/2006/main" count="305" uniqueCount="225">
  <si>
    <t xml:space="preserve">Income Statement </t>
  </si>
  <si>
    <t>Cost of Revenue</t>
  </si>
  <si>
    <t>Gross Profit</t>
  </si>
  <si>
    <t>Research &amp; Development</t>
  </si>
  <si>
    <t>Operating Income</t>
  </si>
  <si>
    <t>Pretax Income</t>
  </si>
  <si>
    <t>Net Income</t>
  </si>
  <si>
    <t>Interest Expense</t>
  </si>
  <si>
    <t>EBIT</t>
  </si>
  <si>
    <t>EBITDA</t>
  </si>
  <si>
    <t>Fiscal Year</t>
  </si>
  <si>
    <t>FY 2024</t>
  </si>
  <si>
    <t>FY 2023</t>
  </si>
  <si>
    <t>FY 2022</t>
  </si>
  <si>
    <t>FY 2021</t>
  </si>
  <si>
    <t>FY 2020</t>
  </si>
  <si>
    <t>Period Ending</t>
  </si>
  <si>
    <t>Revenue</t>
  </si>
  <si>
    <t>Revenue Growth (YoY)</t>
  </si>
  <si>
    <t>Selling, General &amp; Admin</t>
  </si>
  <si>
    <t>Operating Expenses</t>
  </si>
  <si>
    <t>Interest &amp; Investment Income</t>
  </si>
  <si>
    <t>Currency Exchange Gain (Loss)</t>
  </si>
  <si>
    <t>Other Non Operating Income (Expenses)</t>
  </si>
  <si>
    <t>EBT Excluding Unusual Items</t>
  </si>
  <si>
    <t>Merger &amp; Restructuring Charges</t>
  </si>
  <si>
    <t>-</t>
  </si>
  <si>
    <t>Asset Writedown</t>
  </si>
  <si>
    <t>Income Tax Expense</t>
  </si>
  <si>
    <t>Earnings From Continuing Operations</t>
  </si>
  <si>
    <t>Net Income to Company</t>
  </si>
  <si>
    <t>Net Income to Common</t>
  </si>
  <si>
    <t>Shares Outstanding (Basic)</t>
  </si>
  <si>
    <t>Shares Outstanding (Diluted)</t>
  </si>
  <si>
    <t>Shares Change (YoY)</t>
  </si>
  <si>
    <t>EPS (Basic)</t>
  </si>
  <si>
    <t>EPS (Diluted)</t>
  </si>
  <si>
    <t>Free Cash Flow</t>
  </si>
  <si>
    <t>Free Cash Flow Per Share</t>
  </si>
  <si>
    <t>Gross Margin</t>
  </si>
  <si>
    <t>Operating Margin</t>
  </si>
  <si>
    <t>Profit Margin</t>
  </si>
  <si>
    <t>Free Cash Flow Margin</t>
  </si>
  <si>
    <t>EBITDA Margin</t>
  </si>
  <si>
    <t>D&amp;A For EBITDA</t>
  </si>
  <si>
    <t>EBIT Margin</t>
  </si>
  <si>
    <t>Effective Tax Rate</t>
  </si>
  <si>
    <t>Fiscal Year End</t>
  </si>
  <si>
    <t>Change</t>
  </si>
  <si>
    <t>Growth</t>
  </si>
  <si>
    <t>15.67B</t>
  </si>
  <si>
    <t>2.43B</t>
  </si>
  <si>
    <t>13.25B</t>
  </si>
  <si>
    <t>1.52B</t>
  </si>
  <si>
    <t>11.73B</t>
  </si>
  <si>
    <t>2.06B</t>
  </si>
  <si>
    <t>9.67B</t>
  </si>
  <si>
    <t>1.79B</t>
  </si>
  <si>
    <t>7.88B</t>
  </si>
  <si>
    <t>1.12B</t>
  </si>
  <si>
    <t xml:space="preserve">Revenue* </t>
  </si>
  <si>
    <t>Revenue*</t>
  </si>
  <si>
    <t>Cash &amp; Equivalents</t>
  </si>
  <si>
    <t>Short-Term Investments</t>
  </si>
  <si>
    <t>Cash &amp; Short-Term Investments</t>
  </si>
  <si>
    <t>Cash Growth</t>
  </si>
  <si>
    <t>Accounts Receivable</t>
  </si>
  <si>
    <t>Other Receivables</t>
  </si>
  <si>
    <t>Receivables</t>
  </si>
  <si>
    <t>Prepaid Expenses</t>
  </si>
  <si>
    <t>Other Current Assets</t>
  </si>
  <si>
    <t>Total Current Assets</t>
  </si>
  <si>
    <t>Property, Plant &amp; Equipment</t>
  </si>
  <si>
    <t>Long-Term Investments</t>
  </si>
  <si>
    <t>Goodwill</t>
  </si>
  <si>
    <t>Other Intangible Assets</t>
  </si>
  <si>
    <t>Long-Term Accounts Receivable</t>
  </si>
  <si>
    <t>Long-Term Deferred Tax Assets</t>
  </si>
  <si>
    <t>Long-Term Deferred Charges</t>
  </si>
  <si>
    <t>Other Long-Term Assets</t>
  </si>
  <si>
    <t>Total Assets</t>
  </si>
  <si>
    <t>Accounts Payable</t>
  </si>
  <si>
    <t>Accrued Expenses</t>
  </si>
  <si>
    <t>Current Portion of Leases</t>
  </si>
  <si>
    <t>Current Income Taxes Payable</t>
  </si>
  <si>
    <t>Current Unearned Revenue</t>
  </si>
  <si>
    <t>Other Current Liabilities</t>
  </si>
  <si>
    <t>Total Current Liabilities</t>
  </si>
  <si>
    <t>Long-Term Debt</t>
  </si>
  <si>
    <t>Long-Term Leases</t>
  </si>
  <si>
    <t>Long-Term Deferred Tax Liabilities</t>
  </si>
  <si>
    <t>Other Long-Term Liabilities</t>
  </si>
  <si>
    <t>Total Liabilities</t>
  </si>
  <si>
    <t>Additional Paid-In Capital</t>
  </si>
  <si>
    <t>Retained Earnings</t>
  </si>
  <si>
    <t>Treasury Stock</t>
  </si>
  <si>
    <t>Comprehensive Income &amp; Other</t>
  </si>
  <si>
    <t>Shareholders' Equity</t>
  </si>
  <si>
    <t>Total Liabilities &amp; Equity</t>
  </si>
  <si>
    <t>Total Debt</t>
  </si>
  <si>
    <t>Net Cash (Debt)</t>
  </si>
  <si>
    <t>Net Cash Growth</t>
  </si>
  <si>
    <t>Net Cash Per Share</t>
  </si>
  <si>
    <t>Filing Date Shares Outstanding</t>
  </si>
  <si>
    <t>Total Common Shares Outstanding</t>
  </si>
  <si>
    <t>Working Capital</t>
  </si>
  <si>
    <t>Book Value Per Share</t>
  </si>
  <si>
    <t>Tangible Book Value</t>
  </si>
  <si>
    <t>Tangible Book Value Per Share</t>
  </si>
  <si>
    <t>Leasehold Improvements</t>
  </si>
  <si>
    <t>Balance Sheet</t>
  </si>
  <si>
    <t>Cash Flow Statement</t>
  </si>
  <si>
    <t>Depreciation &amp; Amortization</t>
  </si>
  <si>
    <t>Other Amortization</t>
  </si>
  <si>
    <t>Asset Writedown &amp; Restructuring Costs</t>
  </si>
  <si>
    <t>Stock-Based Compensation</t>
  </si>
  <si>
    <t>Other Operating Activities</t>
  </si>
  <si>
    <t>Change in Accounts Receivable</t>
  </si>
  <si>
    <t>Change in Accounts Payable</t>
  </si>
  <si>
    <t>Change in Unearned Revenue</t>
  </si>
  <si>
    <t>Change in Other Net Operating Assets</t>
  </si>
  <si>
    <t>Operating Cash Flow</t>
  </si>
  <si>
    <t>Operating Cash Flow Growth</t>
  </si>
  <si>
    <t>Capital Expenditures</t>
  </si>
  <si>
    <t>Cash Acquisitions</t>
  </si>
  <si>
    <t>Investment in Securities</t>
  </si>
  <si>
    <t>Other Investing Activities</t>
  </si>
  <si>
    <t>Investing Cash Flow</t>
  </si>
  <si>
    <t>Long-Term Debt Issued</t>
  </si>
  <si>
    <t>Long-Term Debt Repaid</t>
  </si>
  <si>
    <t>Net Debt Issued (Repaid)</t>
  </si>
  <si>
    <t>Issuance of Common Stock</t>
  </si>
  <si>
    <t>Repurchase of Common Stock</t>
  </si>
  <si>
    <t>Other Financing Activities</t>
  </si>
  <si>
    <t>Financing Cash Flow</t>
  </si>
  <si>
    <t>Foreign Exchange Rate Adjustments</t>
  </si>
  <si>
    <t>Net Cash Flow</t>
  </si>
  <si>
    <t>Free Cash Flow Growth</t>
  </si>
  <si>
    <t>Cash Interest Paid</t>
  </si>
  <si>
    <t>Cash Income Tax Paid</t>
  </si>
  <si>
    <t>Levered Free Cash Flow</t>
  </si>
  <si>
    <t>Unlevered Free Cash Flow</t>
  </si>
  <si>
    <t>Change in Net Working Capital</t>
  </si>
  <si>
    <t>Calculations &amp; Parameters for Free Cash Flows</t>
  </si>
  <si>
    <t>Depreciation</t>
  </si>
  <si>
    <t>OCF</t>
  </si>
  <si>
    <t>∆ Fixed Assets</t>
  </si>
  <si>
    <t>NCS</t>
  </si>
  <si>
    <t>NWC</t>
  </si>
  <si>
    <t>∆NWC</t>
  </si>
  <si>
    <t>Effective tax rate</t>
  </si>
  <si>
    <t>Fixed Assets (PPE)</t>
  </si>
  <si>
    <t>Operating current assets*</t>
  </si>
  <si>
    <t>Operating current liabilities**</t>
  </si>
  <si>
    <t>FCF</t>
  </si>
  <si>
    <t>Market value of equity</t>
  </si>
  <si>
    <t>E =</t>
  </si>
  <si>
    <t>Market value of debt</t>
  </si>
  <si>
    <t>Cost of equity</t>
  </si>
  <si>
    <t>Cost of debt</t>
  </si>
  <si>
    <t>Tax rate</t>
  </si>
  <si>
    <t>D =</t>
  </si>
  <si>
    <t>Beta =</t>
  </si>
  <si>
    <t>Useful information for calculation of WACC elements</t>
  </si>
  <si>
    <t>share price =</t>
  </si>
  <si>
    <t>total debt from balance sheet =</t>
  </si>
  <si>
    <t>shares outstanding (from income statement) =</t>
  </si>
  <si>
    <t>Calculations for WACC elements</t>
  </si>
  <si>
    <t>risk-free rate (U.S. 10-year Treasury yield) =</t>
  </si>
  <si>
    <t>Expected market return (approx) =</t>
  </si>
  <si>
    <t xml:space="preserve"> re =</t>
  </si>
  <si>
    <t>rd =</t>
  </si>
  <si>
    <t>interest expense (from income statement) =</t>
  </si>
  <si>
    <t>t =</t>
  </si>
  <si>
    <t>WACC =</t>
  </si>
  <si>
    <t>Weight of equity</t>
  </si>
  <si>
    <t>E/V =</t>
  </si>
  <si>
    <t>Weight of debt</t>
  </si>
  <si>
    <t>D/V =</t>
  </si>
  <si>
    <t>WACC</t>
  </si>
  <si>
    <t>Base-case NPV</t>
  </si>
  <si>
    <t>in light of Spotify’s recent FCF acceleration (237.74% TTM CAGR) and the expectation</t>
  </si>
  <si>
    <t>that such growth moderates over time as the business matures.]</t>
  </si>
  <si>
    <t>FCF forecast</t>
  </si>
  <si>
    <t>Year</t>
  </si>
  <si>
    <t>beyond 2029</t>
  </si>
  <si>
    <t>[These FCF projections assume a high near-term growth rate tapering to long-term stability,</t>
  </si>
  <si>
    <t>PV(TV)</t>
  </si>
  <si>
    <t>Terminal Value Calculation</t>
  </si>
  <si>
    <t>TV</t>
  </si>
  <si>
    <t xml:space="preserve">(i) total NPV </t>
  </si>
  <si>
    <t>case (i): base-case</t>
  </si>
  <si>
    <t>NPV</t>
  </si>
  <si>
    <t>[growth rates: 50%, 35%, 25%, 15%, 12%, and 5% thereafter]</t>
  </si>
  <si>
    <t>[growth rates: 70%, 50%, 35%, 25%, 20%, and 7% thereafter]</t>
  </si>
  <si>
    <t xml:space="preserve">(ii) total NPV </t>
  </si>
  <si>
    <t>case (ii): bull case</t>
  </si>
  <si>
    <t>case (iii): bear case</t>
  </si>
  <si>
    <t>[growth rates: 25%, 15%, 12%, 8%, 5%, and 4% thereafter]</t>
  </si>
  <si>
    <t>Total NPV for different WACCs and terminal growth rates</t>
  </si>
  <si>
    <t>base-case NPV</t>
  </si>
  <si>
    <t>[assuming near-term FCF growth rates: 50%, 35%, 25%, 15%, 12%]</t>
  </si>
  <si>
    <t>WACC / g</t>
  </si>
  <si>
    <t>final year FCF</t>
  </si>
  <si>
    <t>WACC = 9%</t>
  </si>
  <si>
    <t>WACC = 10%</t>
  </si>
  <si>
    <t>WACC = 11%</t>
  </si>
  <si>
    <t>WACC = 12%</t>
  </si>
  <si>
    <t>WACC = 13%</t>
  </si>
  <si>
    <t>As shown, the NPV is highly sensitive to small changes in both WACC and terminal growth. At WACC = 10% and g = 5%, NPV aligns with our base case. However, a higher g or lower WACC significantly increases valuation.</t>
  </si>
  <si>
    <t>This scenario analysis models three potential trajectories for Spotify’s free cash flow performance, reflecting varying assumptions about growth momentum and long-term sustainability.</t>
  </si>
  <si>
    <t>(i) The base-case assumes aggressive near-term growth tapering gradually to a steady 5% terminal rate, yielding a total NPV of €45,842M.</t>
  </si>
  <si>
    <t>(ii) The bull-case projects stronger and more prolonged growth (with a higher 7% terminal rate), resulting in a significantly higher NPV of €94,298M.</t>
  </si>
  <si>
    <t>(iii) The bear-case considers a conservative outlook, with slower growth across the forecast period and a modest 4% terminal rate, producing a lower NPV of €7,006M.</t>
  </si>
  <si>
    <t>Sensitivity Analaysis</t>
  </si>
  <si>
    <t>Scenario Analysis</t>
  </si>
  <si>
    <t>Valuation Year:</t>
  </si>
  <si>
    <t xml:space="preserve"> FY 2024 actuals; FCF forecast 2025–2029</t>
  </si>
  <si>
    <r>
      <t>Terminal Value Method:</t>
    </r>
    <r>
      <rPr>
        <sz val="12"/>
        <color theme="1"/>
        <rFont val="Cambria Math"/>
        <family val="1"/>
      </rPr>
      <t xml:space="preserve">  </t>
    </r>
  </si>
  <si>
    <t>Perpetuity growth method</t>
  </si>
  <si>
    <r>
      <t xml:space="preserve">WACC: </t>
    </r>
    <r>
      <rPr>
        <sz val="12"/>
        <color theme="1"/>
        <rFont val="Cambria Math"/>
        <family val="1"/>
      </rPr>
      <t xml:space="preserve"> </t>
    </r>
  </si>
  <si>
    <t>11.98% (based on 1.67 beta, 4.30% risk-free rate, 9% expected market return)</t>
  </si>
  <si>
    <t xml:space="preserve">Cost of Equity: </t>
  </si>
  <si>
    <r>
      <t>Cost of Debt (after tax) :</t>
    </r>
    <r>
      <rPr>
        <sz val="12"/>
        <color theme="1"/>
        <rFont val="Cambria Math"/>
        <family val="1"/>
      </rPr>
      <t xml:space="preserve"> </t>
    </r>
  </si>
  <si>
    <t>Key Assumptions: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</si>
</sst>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Cambria Math"/>
      <family val="1"/>
    </font>
    <font>
      <sz val="12"/>
      <color theme="1"/>
      <name val="Cambria Math"/>
      <family val="1"/>
    </font>
    <font>
      <sz val="14"/>
      <color rgb="FF111827"/>
      <name val="Cambria Math"/>
      <family val="1"/>
    </font>
    <font>
      <b/>
      <sz val="12"/>
      <color theme="1"/>
      <name val="Cambria Math"/>
      <family val="1"/>
    </font>
    <font>
      <sz val="14"/>
      <color rgb="FF111827"/>
      <name val="Cambria Math"/>
      <family val="1"/>
    </font>
    <font>
      <b/>
      <sz val="14"/>
      <color rgb="FF111827"/>
      <name val="Cambria Math"/>
      <family val="1"/>
    </font>
    <font>
      <sz val="12"/>
      <color rgb="FF111827"/>
      <name val="Cambria Math"/>
      <family val="1"/>
    </font>
    <font>
      <sz val="12"/>
      <color rgb="FF111827"/>
      <name val="Cambria Math"/>
      <family val="1"/>
    </font>
    <font>
      <b/>
      <sz val="16"/>
      <color theme="1"/>
      <name val="Cambria Math"/>
      <family val="1"/>
    </font>
    <font>
      <b/>
      <sz val="14"/>
      <color theme="1"/>
      <name val="Cambria Math"/>
      <family val="1"/>
    </font>
    <font>
      <b/>
      <sz val="20"/>
      <color theme="1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3" fontId="4" fillId="0" borderId="0" xfId="0" applyNumberFormat="1" applyFont="1"/>
    <xf numFmtId="0" fontId="6" fillId="0" borderId="0" xfId="0" applyFont="1"/>
    <xf numFmtId="10" fontId="6" fillId="0" borderId="0" xfId="0" applyNumberFormat="1" applyFont="1"/>
    <xf numFmtId="14" fontId="6" fillId="0" borderId="0" xfId="0" applyNumberFormat="1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/>
    <xf numFmtId="3" fontId="7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8" fillId="0" borderId="0" xfId="0" applyNumberFormat="1" applyFont="1"/>
    <xf numFmtId="0" fontId="9" fillId="0" borderId="0" xfId="0" applyFont="1"/>
    <xf numFmtId="10" fontId="9" fillId="0" borderId="0" xfId="0" applyNumberFormat="1" applyFo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right"/>
    </xf>
    <xf numFmtId="3" fontId="9" fillId="0" borderId="0" xfId="0" applyNumberFormat="1" applyFont="1"/>
    <xf numFmtId="0" fontId="5" fillId="2" borderId="0" xfId="0" applyFont="1" applyFill="1"/>
    <xf numFmtId="9" fontId="3" fillId="0" borderId="0" xfId="1" applyFont="1"/>
    <xf numFmtId="10" fontId="3" fillId="0" borderId="0" xfId="1" applyNumberFormat="1" applyFont="1"/>
    <xf numFmtId="10" fontId="3" fillId="0" borderId="0" xfId="0" applyNumberFormat="1" applyFont="1"/>
    <xf numFmtId="10" fontId="3" fillId="0" borderId="0" xfId="1" applyNumberFormat="1" applyFont="1" applyAlignment="1">
      <alignment horizontal="right"/>
    </xf>
    <xf numFmtId="164" fontId="3" fillId="0" borderId="0" xfId="1" applyNumberFormat="1" applyFont="1"/>
    <xf numFmtId="164" fontId="5" fillId="2" borderId="0" xfId="1" applyNumberFormat="1" applyFont="1" applyFill="1"/>
    <xf numFmtId="14" fontId="3" fillId="0" borderId="0" xfId="0" applyNumberFormat="1" applyFont="1"/>
    <xf numFmtId="3" fontId="3" fillId="0" borderId="0" xfId="0" applyNumberFormat="1" applyFont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3" borderId="0" xfId="0" applyFont="1" applyFill="1"/>
    <xf numFmtId="9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Scenario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base case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'Scenario Analysis'!$B$26</c:f>
              <c:numCache>
                <c:formatCode>General</c:formatCode>
                <c:ptCount val="1"/>
                <c:pt idx="0">
                  <c:v>45842.310659697941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0-D94A-8969-209EFD599A79}"/>
            </c:ext>
          </c:extLst>
        </c:ser>
        <c:ser>
          <c:idx val="1"/>
          <c:order val="1"/>
          <c:tx>
            <c:v>bull case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'Scenario Analysis'!$B$35</c:f>
              <c:numCache>
                <c:formatCode>General</c:formatCode>
                <c:ptCount val="1"/>
                <c:pt idx="0">
                  <c:v>94298.044096123325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0-D94A-8969-209EFD599A79}"/>
            </c:ext>
          </c:extLst>
        </c:ser>
        <c:ser>
          <c:idx val="2"/>
          <c:order val="2"/>
          <c:tx>
            <c:v>bear case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'Scenario Analysis'!$B$44</c:f>
              <c:numCache>
                <c:formatCode>General</c:formatCode>
                <c:ptCount val="1"/>
                <c:pt idx="0">
                  <c:v>7006.17250227149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0-D94A-8969-209EFD599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3019360"/>
        <c:axId val="1650985840"/>
      </c:barChart>
      <c:catAx>
        <c:axId val="1173019360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50985840"/>
        <c:crosses val="autoZero"/>
        <c:auto val="1"/>
        <c:lblAlgn val="ctr"/>
        <c:lblOffset val="100"/>
        <c:noMultiLvlLbl val="0"/>
      </c:catAx>
      <c:valAx>
        <c:axId val="16509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361950</xdr:colOff>
      <xdr:row>19</xdr:row>
      <xdr:rowOff>31750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C161E5-F2B4-8931-6C12-3D4B7E41CBE3}"/>
            </a:ext>
          </a:extLst>
        </xdr:cNvPr>
        <xdr:cNvSpPr txBox="1"/>
      </xdr:nvSpPr>
      <xdr:spPr>
        <a:xfrm>
          <a:off x="8540750" y="371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766469</xdr:colOff>
      <xdr:row>18</xdr:row>
      <xdr:rowOff>194498</xdr:rowOff>
    </xdr:from>
    <xdr:to>
      <xdr:col>18</xdr:col>
      <xdr:colOff>424431</xdr:colOff>
      <xdr:row>40</xdr:row>
      <xdr:rowOff>22421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8F04A-1262-4E2A-BD06-D2D867195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361950</xdr:colOff>
      <xdr:row>11</xdr:row>
      <xdr:rowOff>31750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0807FC-414D-4B49-9AB1-9D390ACB637C}"/>
            </a:ext>
          </a:extLst>
        </xdr:cNvPr>
        <xdr:cNvSpPr txBox="1"/>
      </xdr:nvSpPr>
      <xdr:spPr>
        <a:xfrm>
          <a:off x="8743950" y="391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361950</xdr:colOff>
      <xdr:row>11</xdr:row>
      <xdr:rowOff>31750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A98380-9245-E846-94EC-DEA4FB2E1242}"/>
            </a:ext>
          </a:extLst>
        </xdr:cNvPr>
        <xdr:cNvSpPr txBox="1"/>
      </xdr:nvSpPr>
      <xdr:spPr>
        <a:xfrm>
          <a:off x="8743950" y="3917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7FA0-08DF-E542-BAC9-7ECA71FEB6A1}">
  <dimension ref="A1:K42"/>
  <sheetViews>
    <sheetView zoomScale="75" workbookViewId="0">
      <selection activeCell="J24" sqref="J24"/>
    </sheetView>
  </sheetViews>
  <sheetFormatPr baseColWidth="10" defaultRowHeight="16" x14ac:dyDescent="0.2"/>
  <cols>
    <col min="1" max="1" width="45.5" style="2" bestFit="1" customWidth="1"/>
    <col min="2" max="6" width="12.5" style="2" bestFit="1" customWidth="1"/>
    <col min="7" max="7" width="10.83203125" style="2"/>
    <col min="8" max="8" width="19" style="2" bestFit="1" customWidth="1"/>
    <col min="9" max="9" width="11.1640625" style="2" bestFit="1" customWidth="1"/>
    <col min="10" max="16384" width="10.83203125" style="2"/>
  </cols>
  <sheetData>
    <row r="1" spans="1:11" ht="23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/>
    </row>
    <row r="4" spans="1:11" ht="18" x14ac:dyDescent="0.2">
      <c r="A4" s="3" t="s">
        <v>16</v>
      </c>
      <c r="B4" s="4">
        <v>45657</v>
      </c>
      <c r="C4" s="4">
        <v>45291</v>
      </c>
      <c r="D4" s="4">
        <v>44926</v>
      </c>
      <c r="E4" s="4">
        <v>44561</v>
      </c>
      <c r="F4" s="4">
        <v>44196</v>
      </c>
      <c r="G4" s="3"/>
      <c r="H4" s="5" t="s">
        <v>61</v>
      </c>
    </row>
    <row r="5" spans="1:11" ht="18" x14ac:dyDescent="0.2">
      <c r="A5" s="3" t="s">
        <v>60</v>
      </c>
      <c r="B5" s="6">
        <v>15673</v>
      </c>
      <c r="C5" s="6">
        <v>13247</v>
      </c>
      <c r="D5" s="6">
        <v>11727</v>
      </c>
      <c r="E5" s="6">
        <v>9668</v>
      </c>
      <c r="F5" s="6">
        <v>7880</v>
      </c>
      <c r="G5" s="3"/>
      <c r="H5" s="3" t="s">
        <v>47</v>
      </c>
      <c r="I5" s="3" t="s">
        <v>17</v>
      </c>
      <c r="J5" s="3" t="s">
        <v>48</v>
      </c>
      <c r="K5" s="3" t="s">
        <v>49</v>
      </c>
    </row>
    <row r="6" spans="1:11" ht="18" x14ac:dyDescent="0.2">
      <c r="A6" s="7" t="s">
        <v>18</v>
      </c>
      <c r="B6" s="8">
        <v>0.18310000000000001</v>
      </c>
      <c r="C6" s="8">
        <v>0.12959999999999999</v>
      </c>
      <c r="D6" s="8">
        <v>0.21299999999999999</v>
      </c>
      <c r="E6" s="8">
        <v>0.22689999999999999</v>
      </c>
      <c r="F6" s="8">
        <v>0.16500000000000001</v>
      </c>
      <c r="G6" s="3"/>
      <c r="H6" s="9">
        <v>45657</v>
      </c>
      <c r="I6" s="7" t="s">
        <v>50</v>
      </c>
      <c r="J6" s="7" t="s">
        <v>51</v>
      </c>
      <c r="K6" s="8">
        <v>0.18310000000000001</v>
      </c>
    </row>
    <row r="7" spans="1:11" ht="18" x14ac:dyDescent="0.2">
      <c r="A7" s="7" t="s">
        <v>1</v>
      </c>
      <c r="B7" s="10">
        <v>10932</v>
      </c>
      <c r="C7" s="10">
        <v>9799</v>
      </c>
      <c r="D7" s="10">
        <v>8801</v>
      </c>
      <c r="E7" s="10">
        <v>7077</v>
      </c>
      <c r="F7" s="10">
        <v>5865</v>
      </c>
      <c r="G7" s="3"/>
      <c r="H7" s="9">
        <v>45291</v>
      </c>
      <c r="I7" s="7" t="s">
        <v>52</v>
      </c>
      <c r="J7" s="7" t="s">
        <v>53</v>
      </c>
      <c r="K7" s="8">
        <v>0.12959999999999999</v>
      </c>
    </row>
    <row r="8" spans="1:11" ht="18" x14ac:dyDescent="0.2">
      <c r="A8" s="3" t="s">
        <v>2</v>
      </c>
      <c r="B8" s="6">
        <v>4741</v>
      </c>
      <c r="C8" s="6">
        <v>3448</v>
      </c>
      <c r="D8" s="6">
        <v>2926</v>
      </c>
      <c r="E8" s="6">
        <v>2591</v>
      </c>
      <c r="F8" s="6">
        <v>2015</v>
      </c>
      <c r="G8" s="3"/>
      <c r="H8" s="9">
        <v>44926</v>
      </c>
      <c r="I8" s="7" t="s">
        <v>54</v>
      </c>
      <c r="J8" s="7" t="s">
        <v>55</v>
      </c>
      <c r="K8" s="8">
        <v>0.21299999999999999</v>
      </c>
    </row>
    <row r="9" spans="1:11" ht="18" x14ac:dyDescent="0.2">
      <c r="A9" s="7" t="s">
        <v>19</v>
      </c>
      <c r="B9" s="10">
        <v>1856</v>
      </c>
      <c r="C9" s="10">
        <v>1999</v>
      </c>
      <c r="D9" s="10">
        <v>2198</v>
      </c>
      <c r="E9" s="10">
        <v>1585</v>
      </c>
      <c r="F9" s="10">
        <v>1471</v>
      </c>
      <c r="G9" s="3"/>
      <c r="H9" s="9">
        <v>44561</v>
      </c>
      <c r="I9" s="7" t="s">
        <v>56</v>
      </c>
      <c r="J9" s="7" t="s">
        <v>57</v>
      </c>
      <c r="K9" s="8">
        <v>0.22689999999999999</v>
      </c>
    </row>
    <row r="10" spans="1:11" ht="18" x14ac:dyDescent="0.2">
      <c r="A10" s="7" t="s">
        <v>3</v>
      </c>
      <c r="B10" s="10">
        <v>1477</v>
      </c>
      <c r="C10" s="10">
        <v>1531</v>
      </c>
      <c r="D10" s="10">
        <v>1387</v>
      </c>
      <c r="E10" s="7">
        <v>912</v>
      </c>
      <c r="F10" s="7">
        <v>837</v>
      </c>
      <c r="G10" s="3"/>
      <c r="H10" s="9">
        <v>44196</v>
      </c>
      <c r="I10" s="7" t="s">
        <v>58</v>
      </c>
      <c r="J10" s="7" t="s">
        <v>59</v>
      </c>
      <c r="K10" s="8">
        <v>0.16500000000000001</v>
      </c>
    </row>
    <row r="11" spans="1:11" ht="18" x14ac:dyDescent="0.2">
      <c r="A11" s="7" t="s">
        <v>20</v>
      </c>
      <c r="B11" s="10">
        <v>3333</v>
      </c>
      <c r="C11" s="10">
        <v>3530</v>
      </c>
      <c r="D11" s="10">
        <v>3585</v>
      </c>
      <c r="E11" s="10">
        <v>2497</v>
      </c>
      <c r="F11" s="10">
        <v>2308</v>
      </c>
      <c r="G11" s="3"/>
    </row>
    <row r="12" spans="1:11" ht="18" x14ac:dyDescent="0.2">
      <c r="A12" s="3" t="s">
        <v>4</v>
      </c>
      <c r="B12" s="6">
        <v>1408</v>
      </c>
      <c r="C12" s="3">
        <v>-82</v>
      </c>
      <c r="D12" s="3">
        <v>-659</v>
      </c>
      <c r="E12" s="3">
        <v>94</v>
      </c>
      <c r="F12" s="3">
        <v>-293</v>
      </c>
      <c r="G12" s="3"/>
    </row>
    <row r="13" spans="1:11" ht="18" x14ac:dyDescent="0.2">
      <c r="A13" s="7" t="s">
        <v>7</v>
      </c>
      <c r="B13" s="7">
        <v>-36</v>
      </c>
      <c r="C13" s="7">
        <v>-38</v>
      </c>
      <c r="D13" s="7">
        <v>-41</v>
      </c>
      <c r="E13" s="7">
        <v>-69</v>
      </c>
      <c r="F13" s="7">
        <v>-54</v>
      </c>
      <c r="G13" s="3"/>
    </row>
    <row r="14" spans="1:11" ht="18" x14ac:dyDescent="0.2">
      <c r="A14" s="7" t="s">
        <v>21</v>
      </c>
      <c r="B14" s="7">
        <v>242</v>
      </c>
      <c r="C14" s="7">
        <v>131</v>
      </c>
      <c r="D14" s="7">
        <v>47</v>
      </c>
      <c r="E14" s="7">
        <v>11</v>
      </c>
      <c r="F14" s="7">
        <v>17</v>
      </c>
      <c r="G14" s="3"/>
    </row>
    <row r="15" spans="1:11" ht="18" x14ac:dyDescent="0.2">
      <c r="A15" s="7" t="s">
        <v>22</v>
      </c>
      <c r="B15" s="7">
        <v>30</v>
      </c>
      <c r="C15" s="7">
        <v>-52</v>
      </c>
      <c r="D15" s="7">
        <v>72</v>
      </c>
      <c r="E15" s="7">
        <v>47</v>
      </c>
      <c r="F15" s="7">
        <v>-129</v>
      </c>
      <c r="G15" s="3"/>
    </row>
    <row r="16" spans="1:11" ht="18" x14ac:dyDescent="0.2">
      <c r="A16" s="7" t="s">
        <v>23</v>
      </c>
      <c r="B16" s="7">
        <v>-260</v>
      </c>
      <c r="C16" s="7">
        <v>-100</v>
      </c>
      <c r="D16" s="7">
        <v>211</v>
      </c>
      <c r="E16" s="7">
        <v>166</v>
      </c>
      <c r="F16" s="7">
        <v>-250</v>
      </c>
      <c r="G16" s="3"/>
    </row>
    <row r="17" spans="1:7" ht="18" x14ac:dyDescent="0.2">
      <c r="A17" s="3" t="s">
        <v>24</v>
      </c>
      <c r="B17" s="6">
        <v>1384</v>
      </c>
      <c r="C17" s="3">
        <v>-141</v>
      </c>
      <c r="D17" s="3">
        <v>-370</v>
      </c>
      <c r="E17" s="3">
        <v>249</v>
      </c>
      <c r="F17" s="3">
        <v>-709</v>
      </c>
      <c r="G17" s="3"/>
    </row>
    <row r="18" spans="1:7" ht="18" x14ac:dyDescent="0.2">
      <c r="A18" s="7" t="s">
        <v>25</v>
      </c>
      <c r="B18" s="11" t="s">
        <v>26</v>
      </c>
      <c r="C18" s="7">
        <v>-241</v>
      </c>
      <c r="D18" s="7" t="s">
        <v>26</v>
      </c>
      <c r="E18" s="7" t="s">
        <v>26</v>
      </c>
      <c r="F18" s="7" t="s">
        <v>26</v>
      </c>
      <c r="G18" s="3"/>
    </row>
    <row r="19" spans="1:7" ht="18" x14ac:dyDescent="0.2">
      <c r="A19" s="7" t="s">
        <v>27</v>
      </c>
      <c r="B19" s="7">
        <v>-43</v>
      </c>
      <c r="C19" s="7">
        <v>-123</v>
      </c>
      <c r="D19" s="7" t="s">
        <v>26</v>
      </c>
      <c r="E19" s="7" t="s">
        <v>26</v>
      </c>
      <c r="F19" s="7" t="s">
        <v>26</v>
      </c>
      <c r="G19" s="3"/>
    </row>
    <row r="20" spans="1:7" ht="18" x14ac:dyDescent="0.2">
      <c r="A20" s="3" t="s">
        <v>5</v>
      </c>
      <c r="B20" s="6">
        <v>1341</v>
      </c>
      <c r="C20" s="3">
        <v>-505</v>
      </c>
      <c r="D20" s="3">
        <v>-370</v>
      </c>
      <c r="E20" s="3">
        <v>249</v>
      </c>
      <c r="F20" s="3">
        <v>-709</v>
      </c>
      <c r="G20" s="3"/>
    </row>
    <row r="21" spans="1:7" ht="18" x14ac:dyDescent="0.2">
      <c r="A21" s="7" t="s">
        <v>28</v>
      </c>
      <c r="B21" s="7">
        <v>203</v>
      </c>
      <c r="C21" s="7">
        <v>27</v>
      </c>
      <c r="D21" s="7">
        <v>60</v>
      </c>
      <c r="E21" s="7">
        <v>283</v>
      </c>
      <c r="F21" s="7">
        <v>-128</v>
      </c>
      <c r="G21" s="3"/>
    </row>
    <row r="22" spans="1:7" ht="18" x14ac:dyDescent="0.2">
      <c r="A22" s="7" t="s">
        <v>29</v>
      </c>
      <c r="B22" s="10">
        <v>1138</v>
      </c>
      <c r="C22" s="7">
        <v>-532</v>
      </c>
      <c r="D22" s="7">
        <v>-430</v>
      </c>
      <c r="E22" s="7">
        <v>-34</v>
      </c>
      <c r="F22" s="7">
        <v>-581</v>
      </c>
      <c r="G22" s="3"/>
    </row>
    <row r="23" spans="1:7" ht="18" x14ac:dyDescent="0.2">
      <c r="A23" s="7" t="s">
        <v>30</v>
      </c>
      <c r="B23" s="10">
        <v>1138</v>
      </c>
      <c r="C23" s="7">
        <v>-532</v>
      </c>
      <c r="D23" s="7">
        <v>-430</v>
      </c>
      <c r="E23" s="7">
        <v>-34</v>
      </c>
      <c r="F23" s="7">
        <v>-581</v>
      </c>
      <c r="G23" s="3"/>
    </row>
    <row r="24" spans="1:7" ht="18" x14ac:dyDescent="0.2">
      <c r="A24" s="7" t="s">
        <v>6</v>
      </c>
      <c r="B24" s="10">
        <v>1138</v>
      </c>
      <c r="C24" s="7">
        <v>-532</v>
      </c>
      <c r="D24" s="7">
        <v>-430</v>
      </c>
      <c r="E24" s="7">
        <v>-34</v>
      </c>
      <c r="F24" s="7">
        <v>-581</v>
      </c>
    </row>
    <row r="25" spans="1:7" ht="18" x14ac:dyDescent="0.2">
      <c r="A25" s="3" t="s">
        <v>31</v>
      </c>
      <c r="B25" s="6">
        <v>1138</v>
      </c>
      <c r="C25" s="3">
        <v>-532</v>
      </c>
      <c r="D25" s="3">
        <v>-430</v>
      </c>
      <c r="E25" s="3">
        <v>-34</v>
      </c>
      <c r="F25" s="3">
        <v>-581</v>
      </c>
      <c r="G25" s="3"/>
    </row>
    <row r="26" spans="1:7" ht="18" x14ac:dyDescent="0.2">
      <c r="A26" s="7" t="s">
        <v>32</v>
      </c>
      <c r="B26" s="7">
        <v>201</v>
      </c>
      <c r="C26" s="7">
        <v>195</v>
      </c>
      <c r="D26" s="7">
        <v>193</v>
      </c>
      <c r="E26" s="7">
        <v>191</v>
      </c>
      <c r="F26" s="7">
        <v>188</v>
      </c>
      <c r="G26" s="3"/>
    </row>
    <row r="27" spans="1:7" ht="18" x14ac:dyDescent="0.2">
      <c r="A27" s="3" t="s">
        <v>33</v>
      </c>
      <c r="B27" s="3">
        <v>207</v>
      </c>
      <c r="C27" s="3">
        <v>195</v>
      </c>
      <c r="D27" s="3">
        <v>196</v>
      </c>
      <c r="E27" s="3">
        <v>194</v>
      </c>
      <c r="F27" s="3">
        <v>188</v>
      </c>
      <c r="G27" s="3"/>
    </row>
    <row r="28" spans="1:7" ht="18" x14ac:dyDescent="0.2">
      <c r="A28" s="7" t="s">
        <v>34</v>
      </c>
      <c r="B28" s="8">
        <v>6.3E-2</v>
      </c>
      <c r="C28" s="8">
        <v>-5.7000000000000002E-3</v>
      </c>
      <c r="D28" s="8">
        <v>9.7999999999999997E-3</v>
      </c>
      <c r="E28" s="8">
        <v>3.39E-2</v>
      </c>
      <c r="F28" s="8">
        <v>3.6600000000000001E-2</v>
      </c>
      <c r="G28" s="3"/>
    </row>
    <row r="29" spans="1:7" ht="18" x14ac:dyDescent="0.2">
      <c r="A29" s="7" t="s">
        <v>35</v>
      </c>
      <c r="B29" s="7">
        <v>5.67</v>
      </c>
      <c r="C29" s="7">
        <v>-2.73</v>
      </c>
      <c r="D29" s="7">
        <v>-2.23</v>
      </c>
      <c r="E29" s="7">
        <v>-0.18</v>
      </c>
      <c r="F29" s="7">
        <v>-3.1</v>
      </c>
      <c r="G29" s="3"/>
    </row>
    <row r="30" spans="1:7" ht="18" x14ac:dyDescent="0.2">
      <c r="A30" s="3" t="s">
        <v>36</v>
      </c>
      <c r="B30" s="3">
        <v>5.5</v>
      </c>
      <c r="C30" s="3">
        <v>-2.73</v>
      </c>
      <c r="D30" s="3">
        <v>-2.93</v>
      </c>
      <c r="E30" s="3">
        <v>-1.03</v>
      </c>
      <c r="F30" s="3">
        <v>-3.1</v>
      </c>
      <c r="G30" s="3"/>
    </row>
    <row r="31" spans="1:7" ht="18" x14ac:dyDescent="0.2">
      <c r="A31" s="3" t="s">
        <v>37</v>
      </c>
      <c r="B31" s="6">
        <v>2284</v>
      </c>
      <c r="C31" s="3">
        <v>674</v>
      </c>
      <c r="D31" s="3">
        <v>21</v>
      </c>
      <c r="E31" s="3">
        <v>276</v>
      </c>
      <c r="F31" s="3">
        <v>181</v>
      </c>
      <c r="G31" s="3"/>
    </row>
    <row r="32" spans="1:7" ht="18" x14ac:dyDescent="0.2">
      <c r="A32" s="7" t="s">
        <v>38</v>
      </c>
      <c r="B32" s="7">
        <v>11.03</v>
      </c>
      <c r="C32" s="7">
        <v>3.46</v>
      </c>
      <c r="D32" s="7">
        <v>0.11</v>
      </c>
      <c r="E32" s="7">
        <v>1.42</v>
      </c>
      <c r="F32" s="7">
        <v>0.96</v>
      </c>
      <c r="G32" s="3"/>
    </row>
    <row r="33" spans="1:7" ht="18" x14ac:dyDescent="0.2">
      <c r="A33" s="7" t="s">
        <v>39</v>
      </c>
      <c r="B33" s="8">
        <v>0.30249999999999999</v>
      </c>
      <c r="C33" s="8">
        <v>0.26029999999999998</v>
      </c>
      <c r="D33" s="8">
        <v>0.2495</v>
      </c>
      <c r="E33" s="8">
        <v>0.26800000000000002</v>
      </c>
      <c r="F33" s="8">
        <v>0.25569999999999998</v>
      </c>
      <c r="G33" s="3"/>
    </row>
    <row r="34" spans="1:7" ht="18" x14ac:dyDescent="0.2">
      <c r="A34" s="7" t="s">
        <v>40</v>
      </c>
      <c r="B34" s="8">
        <v>8.9800000000000005E-2</v>
      </c>
      <c r="C34" s="8">
        <v>-6.1999999999999998E-3</v>
      </c>
      <c r="D34" s="8">
        <v>-5.62E-2</v>
      </c>
      <c r="E34" s="8">
        <v>9.7000000000000003E-3</v>
      </c>
      <c r="F34" s="8">
        <v>-3.7199999999999997E-2</v>
      </c>
      <c r="G34" s="3"/>
    </row>
    <row r="35" spans="1:7" ht="18" x14ac:dyDescent="0.2">
      <c r="A35" s="7" t="s">
        <v>41</v>
      </c>
      <c r="B35" s="8">
        <v>7.2599999999999998E-2</v>
      </c>
      <c r="C35" s="8">
        <v>-4.02E-2</v>
      </c>
      <c r="D35" s="8">
        <v>-3.6700000000000003E-2</v>
      </c>
      <c r="E35" s="8">
        <v>-3.5000000000000001E-3</v>
      </c>
      <c r="F35" s="8">
        <v>-7.3700000000000002E-2</v>
      </c>
      <c r="G35" s="3"/>
    </row>
    <row r="36" spans="1:7" ht="18" x14ac:dyDescent="0.2">
      <c r="A36" s="7" t="s">
        <v>42</v>
      </c>
      <c r="B36" s="8">
        <v>0.1457</v>
      </c>
      <c r="C36" s="8">
        <v>5.0900000000000001E-2</v>
      </c>
      <c r="D36" s="8">
        <v>1.8E-3</v>
      </c>
      <c r="E36" s="8">
        <v>2.8500000000000001E-2</v>
      </c>
      <c r="F36" s="8">
        <v>2.3E-2</v>
      </c>
      <c r="G36" s="3"/>
    </row>
    <row r="37" spans="1:7" ht="18" x14ac:dyDescent="0.2">
      <c r="A37" s="3" t="s">
        <v>9</v>
      </c>
      <c r="B37" s="6">
        <v>1477</v>
      </c>
      <c r="C37" s="3">
        <v>8</v>
      </c>
      <c r="D37" s="3">
        <v>-488</v>
      </c>
      <c r="E37" s="3">
        <v>221</v>
      </c>
      <c r="F37" s="3">
        <v>-182</v>
      </c>
      <c r="G37" s="3"/>
    </row>
    <row r="38" spans="1:7" ht="18" x14ac:dyDescent="0.2">
      <c r="A38" s="7" t="s">
        <v>43</v>
      </c>
      <c r="B38" s="8">
        <v>9.4200000000000006E-2</v>
      </c>
      <c r="C38" s="8">
        <v>5.9999999999999995E-4</v>
      </c>
      <c r="D38" s="8">
        <v>-4.1599999999999998E-2</v>
      </c>
      <c r="E38" s="8">
        <v>2.29E-2</v>
      </c>
      <c r="F38" s="8">
        <v>-2.3099999999999999E-2</v>
      </c>
      <c r="G38" s="3"/>
    </row>
    <row r="39" spans="1:7" ht="18" x14ac:dyDescent="0.2">
      <c r="A39" s="7" t="s">
        <v>44</v>
      </c>
      <c r="B39" s="7">
        <v>69</v>
      </c>
      <c r="C39" s="7">
        <v>90</v>
      </c>
      <c r="D39" s="7">
        <v>171</v>
      </c>
      <c r="E39" s="7">
        <v>127</v>
      </c>
      <c r="F39" s="7">
        <v>111</v>
      </c>
      <c r="G39" s="3"/>
    </row>
    <row r="40" spans="1:7" ht="18" x14ac:dyDescent="0.2">
      <c r="A40" s="3" t="s">
        <v>8</v>
      </c>
      <c r="B40" s="6">
        <v>1408</v>
      </c>
      <c r="C40" s="3">
        <v>-82</v>
      </c>
      <c r="D40" s="3">
        <v>-659</v>
      </c>
      <c r="E40" s="3">
        <v>94</v>
      </c>
      <c r="F40" s="3">
        <v>-293</v>
      </c>
      <c r="G40" s="3"/>
    </row>
    <row r="41" spans="1:7" ht="18" x14ac:dyDescent="0.2">
      <c r="A41" s="7" t="s">
        <v>45</v>
      </c>
      <c r="B41" s="8">
        <v>8.9800000000000005E-2</v>
      </c>
      <c r="C41" s="8">
        <v>-6.1999999999999998E-3</v>
      </c>
      <c r="D41" s="8">
        <v>-5.62E-2</v>
      </c>
      <c r="E41" s="8">
        <v>9.7000000000000003E-3</v>
      </c>
      <c r="F41" s="8">
        <v>-3.7199999999999997E-2</v>
      </c>
      <c r="G41" s="3"/>
    </row>
    <row r="42" spans="1:7" ht="18" x14ac:dyDescent="0.2">
      <c r="A42" s="7" t="s">
        <v>46</v>
      </c>
      <c r="B42" s="8">
        <v>0.15140000000000001</v>
      </c>
      <c r="C42" s="7" t="s">
        <v>26</v>
      </c>
      <c r="D42" s="7" t="s">
        <v>26</v>
      </c>
      <c r="E42" s="8">
        <v>1.1366000000000001</v>
      </c>
      <c r="F42" s="7" t="s">
        <v>26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5C81-31F9-BA4F-A00E-2DC22A24E447}">
  <dimension ref="A1:G52"/>
  <sheetViews>
    <sheetView zoomScale="75" workbookViewId="0">
      <selection activeCell="J30" sqref="J30"/>
    </sheetView>
  </sheetViews>
  <sheetFormatPr baseColWidth="10" defaultRowHeight="16" x14ac:dyDescent="0.2"/>
  <cols>
    <col min="1" max="1" width="39.33203125" style="2" bestFit="1" customWidth="1"/>
    <col min="2" max="6" width="13" style="2" bestFit="1" customWidth="1"/>
    <col min="7" max="16384" width="10.83203125" style="2"/>
  </cols>
  <sheetData>
    <row r="1" spans="1:7" ht="23" x14ac:dyDescent="0.25">
      <c r="A1" s="37" t="s">
        <v>110</v>
      </c>
      <c r="B1" s="37"/>
      <c r="C1" s="37"/>
      <c r="D1" s="37"/>
      <c r="E1" s="37"/>
      <c r="F1" s="37"/>
    </row>
    <row r="3" spans="1:7" ht="18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/>
    </row>
    <row r="4" spans="1:7" ht="18" x14ac:dyDescent="0.2">
      <c r="A4" s="3" t="s">
        <v>16</v>
      </c>
      <c r="B4" s="4">
        <v>45657</v>
      </c>
      <c r="C4" s="4">
        <v>45291</v>
      </c>
      <c r="D4" s="4">
        <v>44926</v>
      </c>
      <c r="E4" s="4">
        <v>44561</v>
      </c>
      <c r="F4" s="4">
        <v>44196</v>
      </c>
      <c r="G4" s="3"/>
    </row>
    <row r="5" spans="1:7" ht="18" x14ac:dyDescent="0.2">
      <c r="A5" s="7" t="s">
        <v>62</v>
      </c>
      <c r="B5" s="10">
        <v>4781</v>
      </c>
      <c r="C5" s="10">
        <v>3114</v>
      </c>
      <c r="D5" s="10">
        <v>2483</v>
      </c>
      <c r="E5" s="10">
        <v>2744</v>
      </c>
      <c r="F5" s="10">
        <v>1151</v>
      </c>
      <c r="G5" s="3"/>
    </row>
    <row r="6" spans="1:7" ht="18" x14ac:dyDescent="0.2">
      <c r="A6" s="7" t="s">
        <v>63</v>
      </c>
      <c r="B6" s="10">
        <v>1972</v>
      </c>
      <c r="C6" s="7">
        <v>859</v>
      </c>
      <c r="D6" s="7">
        <v>867</v>
      </c>
      <c r="E6" s="7">
        <v>689</v>
      </c>
      <c r="F6" s="7">
        <v>320</v>
      </c>
      <c r="G6" s="3"/>
    </row>
    <row r="7" spans="1:7" ht="18" x14ac:dyDescent="0.2">
      <c r="A7" s="3" t="s">
        <v>64</v>
      </c>
      <c r="B7" s="6">
        <v>6753</v>
      </c>
      <c r="C7" s="6">
        <v>3973</v>
      </c>
      <c r="D7" s="6">
        <v>3350</v>
      </c>
      <c r="E7" s="6">
        <v>3433</v>
      </c>
      <c r="F7" s="6">
        <v>1471</v>
      </c>
      <c r="G7" s="3"/>
    </row>
    <row r="8" spans="1:7" ht="18" x14ac:dyDescent="0.2">
      <c r="A8" s="7" t="s">
        <v>65</v>
      </c>
      <c r="B8" s="8">
        <v>0.69969999999999999</v>
      </c>
      <c r="C8" s="8">
        <v>0.186</v>
      </c>
      <c r="D8" s="8">
        <v>-2.4199999999999999E-2</v>
      </c>
      <c r="E8" s="8">
        <v>1.3338000000000001</v>
      </c>
      <c r="F8" s="8">
        <v>-8.1199999999999994E-2</v>
      </c>
      <c r="G8" s="3"/>
    </row>
    <row r="9" spans="1:7" ht="18" x14ac:dyDescent="0.2">
      <c r="A9" s="7" t="s">
        <v>66</v>
      </c>
      <c r="B9" s="7">
        <v>540</v>
      </c>
      <c r="C9" s="7">
        <v>602</v>
      </c>
      <c r="D9" s="7">
        <v>502</v>
      </c>
      <c r="E9" s="7">
        <v>437</v>
      </c>
      <c r="F9" s="7">
        <v>319</v>
      </c>
      <c r="G9" s="3"/>
    </row>
    <row r="10" spans="1:7" ht="18" x14ac:dyDescent="0.2">
      <c r="A10" s="7" t="s">
        <v>67</v>
      </c>
      <c r="B10" s="7">
        <v>259</v>
      </c>
      <c r="C10" s="7">
        <v>276</v>
      </c>
      <c r="D10" s="7">
        <v>193</v>
      </c>
      <c r="E10" s="7">
        <v>189</v>
      </c>
      <c r="F10" s="7">
        <v>149</v>
      </c>
      <c r="G10" s="3"/>
    </row>
    <row r="11" spans="1:7" ht="18" x14ac:dyDescent="0.2">
      <c r="A11" s="7" t="s">
        <v>68</v>
      </c>
      <c r="B11" s="7">
        <v>799</v>
      </c>
      <c r="C11" s="7">
        <v>878</v>
      </c>
      <c r="D11" s="7">
        <v>695</v>
      </c>
      <c r="E11" s="7">
        <v>626</v>
      </c>
      <c r="F11" s="7">
        <v>468</v>
      </c>
      <c r="G11" s="3"/>
    </row>
    <row r="12" spans="1:7" ht="18" x14ac:dyDescent="0.2">
      <c r="A12" s="7" t="s">
        <v>69</v>
      </c>
      <c r="B12" s="7">
        <v>71</v>
      </c>
      <c r="C12" s="7">
        <v>64</v>
      </c>
      <c r="D12" s="7">
        <v>89</v>
      </c>
      <c r="E12" s="7">
        <v>74</v>
      </c>
      <c r="F12" s="7">
        <v>47</v>
      </c>
      <c r="G12" s="3"/>
    </row>
    <row r="13" spans="1:7" ht="18" x14ac:dyDescent="0.2">
      <c r="A13" s="7" t="s">
        <v>70</v>
      </c>
      <c r="B13" s="7">
        <v>756</v>
      </c>
      <c r="C13" s="7">
        <v>345</v>
      </c>
      <c r="D13" s="7">
        <v>218</v>
      </c>
      <c r="E13" s="7">
        <v>239</v>
      </c>
      <c r="F13" s="7">
        <v>380</v>
      </c>
      <c r="G13" s="3"/>
    </row>
    <row r="14" spans="1:7" ht="18" x14ac:dyDescent="0.2">
      <c r="A14" s="3" t="s">
        <v>71</v>
      </c>
      <c r="B14" s="6">
        <v>8379</v>
      </c>
      <c r="C14" s="6">
        <v>5260</v>
      </c>
      <c r="D14" s="6">
        <v>4352</v>
      </c>
      <c r="E14" s="6">
        <v>4372</v>
      </c>
      <c r="F14" s="6">
        <v>2366</v>
      </c>
      <c r="G14" s="3"/>
    </row>
    <row r="15" spans="1:7" ht="18" x14ac:dyDescent="0.2">
      <c r="A15" s="7" t="s">
        <v>72</v>
      </c>
      <c r="B15" s="7">
        <v>414</v>
      </c>
      <c r="C15" s="7">
        <v>547</v>
      </c>
      <c r="D15" s="7">
        <v>765</v>
      </c>
      <c r="E15" s="7">
        <v>809</v>
      </c>
      <c r="F15" s="7">
        <v>757</v>
      </c>
      <c r="G15" s="3"/>
    </row>
    <row r="16" spans="1:7" ht="18" x14ac:dyDescent="0.2">
      <c r="A16" s="7" t="s">
        <v>73</v>
      </c>
      <c r="B16" s="10">
        <v>1635</v>
      </c>
      <c r="C16" s="10">
        <v>1215</v>
      </c>
      <c r="D16" s="10">
        <v>1138</v>
      </c>
      <c r="E16" s="7">
        <v>916</v>
      </c>
      <c r="F16" s="10">
        <v>2277</v>
      </c>
      <c r="G16" s="3"/>
    </row>
    <row r="17" spans="1:7" ht="18" x14ac:dyDescent="0.2">
      <c r="A17" s="7" t="s">
        <v>74</v>
      </c>
      <c r="B17" s="10">
        <v>1201</v>
      </c>
      <c r="C17" s="10">
        <v>1137</v>
      </c>
      <c r="D17" s="10">
        <v>1168</v>
      </c>
      <c r="E17" s="7">
        <v>894</v>
      </c>
      <c r="F17" s="7">
        <v>736</v>
      </c>
      <c r="G17" s="3"/>
    </row>
    <row r="18" spans="1:7" ht="18" x14ac:dyDescent="0.2">
      <c r="A18" s="7" t="s">
        <v>75</v>
      </c>
      <c r="B18" s="7">
        <v>40</v>
      </c>
      <c r="C18" s="7">
        <v>71</v>
      </c>
      <c r="D18" s="7">
        <v>108</v>
      </c>
      <c r="E18" s="7">
        <v>58</v>
      </c>
      <c r="F18" s="7">
        <v>64</v>
      </c>
      <c r="G18" s="3"/>
    </row>
    <row r="19" spans="1:7" ht="18" x14ac:dyDescent="0.2">
      <c r="A19" s="7" t="s">
        <v>76</v>
      </c>
      <c r="B19" s="7">
        <v>74</v>
      </c>
      <c r="C19" s="7" t="s">
        <v>26</v>
      </c>
      <c r="D19" s="7" t="s">
        <v>26</v>
      </c>
      <c r="E19" s="7" t="s">
        <v>26</v>
      </c>
      <c r="F19" s="7" t="s">
        <v>26</v>
      </c>
      <c r="G19" s="3"/>
    </row>
    <row r="20" spans="1:7" ht="18" x14ac:dyDescent="0.2">
      <c r="A20" s="7" t="s">
        <v>77</v>
      </c>
      <c r="B20" s="7">
        <v>186</v>
      </c>
      <c r="C20" s="7">
        <v>28</v>
      </c>
      <c r="D20" s="7">
        <v>8</v>
      </c>
      <c r="E20" s="7">
        <v>13</v>
      </c>
      <c r="F20" s="7">
        <v>15</v>
      </c>
      <c r="G20" s="3"/>
    </row>
    <row r="21" spans="1:7" ht="18" x14ac:dyDescent="0.2">
      <c r="A21" s="7" t="s">
        <v>78</v>
      </c>
      <c r="B21" s="7">
        <v>8</v>
      </c>
      <c r="C21" s="7">
        <v>13</v>
      </c>
      <c r="D21" s="7">
        <v>19</v>
      </c>
      <c r="E21" s="7">
        <v>31</v>
      </c>
      <c r="F21" s="7">
        <v>33</v>
      </c>
      <c r="G21" s="3"/>
    </row>
    <row r="22" spans="1:7" ht="18" x14ac:dyDescent="0.2">
      <c r="A22" s="7" t="s">
        <v>79</v>
      </c>
      <c r="B22" s="7">
        <v>68</v>
      </c>
      <c r="C22" s="7">
        <v>75</v>
      </c>
      <c r="D22" s="7">
        <v>78</v>
      </c>
      <c r="E22" s="7">
        <v>77</v>
      </c>
      <c r="F22" s="7">
        <v>78</v>
      </c>
      <c r="G22" s="3"/>
    </row>
    <row r="23" spans="1:7" ht="18" x14ac:dyDescent="0.2">
      <c r="A23" s="12" t="s">
        <v>80</v>
      </c>
      <c r="B23" s="13">
        <v>12005</v>
      </c>
      <c r="C23" s="13">
        <v>8346</v>
      </c>
      <c r="D23" s="13">
        <v>7636</v>
      </c>
      <c r="E23" s="13">
        <v>7170</v>
      </c>
      <c r="F23" s="13">
        <v>6326</v>
      </c>
      <c r="G23" s="3"/>
    </row>
    <row r="24" spans="1:7" ht="18" x14ac:dyDescent="0.2">
      <c r="A24" s="7" t="s">
        <v>81</v>
      </c>
      <c r="B24" s="7">
        <v>933</v>
      </c>
      <c r="C24" s="7">
        <v>662</v>
      </c>
      <c r="D24" s="7">
        <v>588</v>
      </c>
      <c r="E24" s="7">
        <v>534</v>
      </c>
      <c r="F24" s="7">
        <v>434</v>
      </c>
      <c r="G24" s="3"/>
    </row>
    <row r="25" spans="1:7" ht="18" x14ac:dyDescent="0.2">
      <c r="A25" s="7" t="s">
        <v>82</v>
      </c>
      <c r="B25" s="10">
        <v>2607</v>
      </c>
      <c r="C25" s="10">
        <v>2666</v>
      </c>
      <c r="D25" s="10">
        <v>2287</v>
      </c>
      <c r="E25" s="10">
        <v>2034</v>
      </c>
      <c r="F25" s="10">
        <v>1909</v>
      </c>
      <c r="G25" s="3"/>
    </row>
    <row r="26" spans="1:7" ht="18" x14ac:dyDescent="0.2">
      <c r="A26" s="7" t="s">
        <v>83</v>
      </c>
      <c r="B26" s="7">
        <v>75</v>
      </c>
      <c r="C26" s="7">
        <v>65</v>
      </c>
      <c r="D26" s="7">
        <v>58</v>
      </c>
      <c r="E26" s="7">
        <v>44</v>
      </c>
      <c r="F26" s="7">
        <v>31</v>
      </c>
      <c r="G26" s="3"/>
    </row>
    <row r="27" spans="1:7" ht="18" x14ac:dyDescent="0.2">
      <c r="A27" s="7" t="s">
        <v>84</v>
      </c>
      <c r="B27" s="7">
        <v>33</v>
      </c>
      <c r="C27" s="7">
        <v>12</v>
      </c>
      <c r="D27" s="7">
        <v>11</v>
      </c>
      <c r="E27" s="7">
        <v>23</v>
      </c>
      <c r="F27" s="7">
        <v>9</v>
      </c>
      <c r="G27" s="3"/>
    </row>
    <row r="28" spans="1:7" ht="18" x14ac:dyDescent="0.2">
      <c r="A28" s="7" t="s">
        <v>85</v>
      </c>
      <c r="B28" s="7">
        <v>683</v>
      </c>
      <c r="C28" s="7">
        <v>622</v>
      </c>
      <c r="D28" s="7">
        <v>520</v>
      </c>
      <c r="E28" s="7">
        <v>458</v>
      </c>
      <c r="F28" s="7">
        <v>380</v>
      </c>
      <c r="G28" s="3"/>
    </row>
    <row r="29" spans="1:7" ht="18" x14ac:dyDescent="0.2">
      <c r="A29" s="7" t="s">
        <v>86</v>
      </c>
      <c r="B29" s="7">
        <v>119</v>
      </c>
      <c r="C29" s="7">
        <v>63</v>
      </c>
      <c r="D29" s="7">
        <v>52</v>
      </c>
      <c r="E29" s="7">
        <v>133</v>
      </c>
      <c r="F29" s="7">
        <v>137</v>
      </c>
      <c r="G29" s="3"/>
    </row>
    <row r="30" spans="1:7" ht="18" x14ac:dyDescent="0.2">
      <c r="A30" s="3" t="s">
        <v>87</v>
      </c>
      <c r="B30" s="6">
        <v>4450</v>
      </c>
      <c r="C30" s="6">
        <v>4090</v>
      </c>
      <c r="D30" s="6">
        <v>3516</v>
      </c>
      <c r="E30" s="6">
        <v>3226</v>
      </c>
      <c r="F30" s="6">
        <v>2900</v>
      </c>
      <c r="G30" s="3"/>
    </row>
    <row r="31" spans="1:7" ht="18" x14ac:dyDescent="0.2">
      <c r="A31" s="7" t="s">
        <v>88</v>
      </c>
      <c r="B31" s="10">
        <v>1539</v>
      </c>
      <c r="C31" s="10">
        <v>1203</v>
      </c>
      <c r="D31" s="10">
        <v>1128</v>
      </c>
      <c r="E31" s="10">
        <v>1202</v>
      </c>
      <c r="F31" s="7" t="s">
        <v>26</v>
      </c>
      <c r="G31" s="3"/>
    </row>
    <row r="32" spans="1:7" ht="18" x14ac:dyDescent="0.2">
      <c r="A32" s="7" t="s">
        <v>89</v>
      </c>
      <c r="B32" s="7">
        <v>462</v>
      </c>
      <c r="C32" s="7">
        <v>493</v>
      </c>
      <c r="D32" s="7">
        <v>555</v>
      </c>
      <c r="E32" s="7">
        <v>579</v>
      </c>
      <c r="F32" s="7">
        <v>577</v>
      </c>
      <c r="G32" s="3"/>
    </row>
    <row r="33" spans="1:7" ht="18" x14ac:dyDescent="0.2">
      <c r="A33" s="7" t="s">
        <v>90</v>
      </c>
      <c r="B33" s="7">
        <v>21</v>
      </c>
      <c r="C33" s="7">
        <v>8</v>
      </c>
      <c r="D33" s="7">
        <v>5</v>
      </c>
      <c r="E33" s="7" t="s">
        <v>26</v>
      </c>
      <c r="F33" s="7" t="s">
        <v>26</v>
      </c>
      <c r="G33" s="3"/>
    </row>
    <row r="34" spans="1:7" ht="18" x14ac:dyDescent="0.2">
      <c r="A34" s="7" t="s">
        <v>91</v>
      </c>
      <c r="B34" s="7">
        <v>8</v>
      </c>
      <c r="C34" s="7">
        <v>29</v>
      </c>
      <c r="D34" s="7">
        <v>31</v>
      </c>
      <c r="E34" s="7">
        <v>44</v>
      </c>
      <c r="F34" s="7">
        <v>44</v>
      </c>
      <c r="G34" s="3"/>
    </row>
    <row r="35" spans="1:7" ht="18" x14ac:dyDescent="0.2">
      <c r="A35" s="12" t="s">
        <v>92</v>
      </c>
      <c r="B35" s="13">
        <v>6480</v>
      </c>
      <c r="C35" s="13">
        <v>5823</v>
      </c>
      <c r="D35" s="13">
        <v>5235</v>
      </c>
      <c r="E35" s="13">
        <v>5051</v>
      </c>
      <c r="F35" s="13">
        <v>3521</v>
      </c>
      <c r="G35" s="3"/>
    </row>
    <row r="36" spans="1:7" ht="18" x14ac:dyDescent="0.2">
      <c r="A36" s="7" t="s">
        <v>93</v>
      </c>
      <c r="B36" s="10">
        <v>6124</v>
      </c>
      <c r="C36" s="10">
        <v>5155</v>
      </c>
      <c r="D36" s="10">
        <v>4789</v>
      </c>
      <c r="E36" s="10">
        <v>4746</v>
      </c>
      <c r="F36" s="10">
        <v>4583</v>
      </c>
      <c r="G36" s="3"/>
    </row>
    <row r="37" spans="1:7" ht="18" x14ac:dyDescent="0.2">
      <c r="A37" s="7" t="s">
        <v>94</v>
      </c>
      <c r="B37" s="10">
        <v>-3044</v>
      </c>
      <c r="C37" s="10">
        <v>-4182</v>
      </c>
      <c r="D37" s="10">
        <v>-3647</v>
      </c>
      <c r="E37" s="10">
        <v>-3220</v>
      </c>
      <c r="F37" s="10">
        <v>-3290</v>
      </c>
      <c r="G37" s="3"/>
    </row>
    <row r="38" spans="1:7" ht="18" x14ac:dyDescent="0.2">
      <c r="A38" s="7" t="s">
        <v>95</v>
      </c>
      <c r="B38" s="7">
        <v>-262</v>
      </c>
      <c r="C38" s="7">
        <v>-262</v>
      </c>
      <c r="D38" s="7">
        <v>-262</v>
      </c>
      <c r="E38" s="7">
        <v>-260</v>
      </c>
      <c r="F38" s="7">
        <v>-175</v>
      </c>
      <c r="G38" s="3"/>
    </row>
    <row r="39" spans="1:7" ht="18" x14ac:dyDescent="0.2">
      <c r="A39" s="7" t="s">
        <v>96</v>
      </c>
      <c r="B39" s="10">
        <v>2707</v>
      </c>
      <c r="C39" s="10">
        <v>1812</v>
      </c>
      <c r="D39" s="10">
        <v>1521</v>
      </c>
      <c r="E39" s="7">
        <v>853</v>
      </c>
      <c r="F39" s="10">
        <v>1687</v>
      </c>
      <c r="G39" s="3"/>
    </row>
    <row r="40" spans="1:7" ht="18" x14ac:dyDescent="0.2">
      <c r="A40" s="12" t="s">
        <v>97</v>
      </c>
      <c r="B40" s="13">
        <v>5525</v>
      </c>
      <c r="C40" s="13">
        <v>2523</v>
      </c>
      <c r="D40" s="13">
        <v>2401</v>
      </c>
      <c r="E40" s="13">
        <v>2119</v>
      </c>
      <c r="F40" s="13">
        <v>2805</v>
      </c>
      <c r="G40" s="3"/>
    </row>
    <row r="41" spans="1:7" ht="18" x14ac:dyDescent="0.2">
      <c r="A41" s="7" t="s">
        <v>98</v>
      </c>
      <c r="B41" s="10">
        <v>12005</v>
      </c>
      <c r="C41" s="10">
        <v>8346</v>
      </c>
      <c r="D41" s="10">
        <v>7636</v>
      </c>
      <c r="E41" s="10">
        <v>7170</v>
      </c>
      <c r="F41" s="10">
        <v>6326</v>
      </c>
      <c r="G41" s="3"/>
    </row>
    <row r="42" spans="1:7" ht="18" x14ac:dyDescent="0.2">
      <c r="A42" s="7" t="s">
        <v>99</v>
      </c>
      <c r="B42" s="10">
        <v>2076</v>
      </c>
      <c r="C42" s="10">
        <v>1761</v>
      </c>
      <c r="D42" s="10">
        <v>1741</v>
      </c>
      <c r="E42" s="10">
        <v>1825</v>
      </c>
      <c r="F42" s="7">
        <v>608</v>
      </c>
      <c r="G42" s="3"/>
    </row>
    <row r="43" spans="1:7" ht="18" x14ac:dyDescent="0.2">
      <c r="A43" s="3" t="s">
        <v>100</v>
      </c>
      <c r="B43" s="6">
        <v>4677</v>
      </c>
      <c r="C43" s="6">
        <v>2212</v>
      </c>
      <c r="D43" s="6">
        <v>1609</v>
      </c>
      <c r="E43" s="6">
        <v>1608</v>
      </c>
      <c r="F43" s="3">
        <v>863</v>
      </c>
      <c r="G43" s="3"/>
    </row>
    <row r="44" spans="1:7" ht="18" x14ac:dyDescent="0.2">
      <c r="A44" s="7" t="s">
        <v>101</v>
      </c>
      <c r="B44" s="8">
        <v>1.1144000000000001</v>
      </c>
      <c r="C44" s="8">
        <v>0.37480000000000002</v>
      </c>
      <c r="D44" s="8">
        <v>5.9999999999999995E-4</v>
      </c>
      <c r="E44" s="8">
        <v>0.86329999999999996</v>
      </c>
      <c r="F44" s="8">
        <v>-0.11849999999999999</v>
      </c>
      <c r="G44" s="3"/>
    </row>
    <row r="45" spans="1:7" ht="18" x14ac:dyDescent="0.2">
      <c r="A45" s="7" t="s">
        <v>102</v>
      </c>
      <c r="B45" s="7">
        <v>22.6</v>
      </c>
      <c r="C45" s="7">
        <v>11.36</v>
      </c>
      <c r="D45" s="7">
        <v>8.2200000000000006</v>
      </c>
      <c r="E45" s="7">
        <v>8.2899999999999991</v>
      </c>
      <c r="F45" s="7">
        <v>4.5999999999999996</v>
      </c>
      <c r="G45" s="3"/>
    </row>
    <row r="46" spans="1:7" ht="18" x14ac:dyDescent="0.2">
      <c r="A46" s="7" t="s">
        <v>103</v>
      </c>
      <c r="B46" s="7">
        <v>203.84</v>
      </c>
      <c r="C46" s="7">
        <v>197.14</v>
      </c>
      <c r="D46" s="7">
        <v>193.29</v>
      </c>
      <c r="E46" s="7">
        <v>192.15</v>
      </c>
      <c r="F46" s="7">
        <v>190.21</v>
      </c>
      <c r="G46" s="3"/>
    </row>
    <row r="47" spans="1:7" ht="18" x14ac:dyDescent="0.2">
      <c r="A47" s="7" t="s">
        <v>104</v>
      </c>
      <c r="B47" s="7">
        <v>203.84</v>
      </c>
      <c r="C47" s="7">
        <v>197.14</v>
      </c>
      <c r="D47" s="7">
        <v>193.29</v>
      </c>
      <c r="E47" s="7">
        <v>192.15</v>
      </c>
      <c r="F47" s="7">
        <v>190.21</v>
      </c>
      <c r="G47" s="3"/>
    </row>
    <row r="48" spans="1:7" ht="18" x14ac:dyDescent="0.2">
      <c r="A48" s="7" t="s">
        <v>105</v>
      </c>
      <c r="B48" s="10">
        <v>3929</v>
      </c>
      <c r="C48" s="10">
        <v>1170</v>
      </c>
      <c r="D48" s="7">
        <v>836</v>
      </c>
      <c r="E48" s="10">
        <v>1146</v>
      </c>
      <c r="F48" s="7">
        <v>-534</v>
      </c>
      <c r="G48" s="3"/>
    </row>
    <row r="49" spans="1:7" ht="18" x14ac:dyDescent="0.2">
      <c r="A49" s="7" t="s">
        <v>106</v>
      </c>
      <c r="B49" s="7">
        <v>27.1</v>
      </c>
      <c r="C49" s="7">
        <v>12.8</v>
      </c>
      <c r="D49" s="7">
        <v>12.42</v>
      </c>
      <c r="E49" s="7">
        <v>11.03</v>
      </c>
      <c r="F49" s="7">
        <v>14.75</v>
      </c>
      <c r="G49" s="3"/>
    </row>
    <row r="50" spans="1:7" ht="18" x14ac:dyDescent="0.2">
      <c r="A50" s="7" t="s">
        <v>107</v>
      </c>
      <c r="B50" s="10">
        <v>4284</v>
      </c>
      <c r="C50" s="10">
        <v>1315</v>
      </c>
      <c r="D50" s="10">
        <v>1125</v>
      </c>
      <c r="E50" s="10">
        <v>1167</v>
      </c>
      <c r="F50" s="10">
        <v>2005</v>
      </c>
      <c r="G50" s="3"/>
    </row>
    <row r="51" spans="1:7" ht="18" x14ac:dyDescent="0.2">
      <c r="A51" s="7" t="s">
        <v>108</v>
      </c>
      <c r="B51" s="7">
        <v>21.02</v>
      </c>
      <c r="C51" s="7">
        <v>6.67</v>
      </c>
      <c r="D51" s="7">
        <v>5.82</v>
      </c>
      <c r="E51" s="7">
        <v>6.07</v>
      </c>
      <c r="F51" s="7">
        <v>10.54</v>
      </c>
      <c r="G51" s="3"/>
    </row>
    <row r="52" spans="1:7" ht="18" x14ac:dyDescent="0.2">
      <c r="A52" s="7" t="s">
        <v>109</v>
      </c>
      <c r="B52" s="7">
        <v>394</v>
      </c>
      <c r="C52" s="7">
        <v>444</v>
      </c>
      <c r="D52" s="7">
        <v>448</v>
      </c>
      <c r="E52" s="7">
        <v>422</v>
      </c>
      <c r="F52" s="7">
        <v>346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B1F-6DAD-2040-A083-4FF39C8DEBD9}">
  <dimension ref="A1:G39"/>
  <sheetViews>
    <sheetView zoomScale="81" workbookViewId="0">
      <selection activeCell="G10" sqref="G10"/>
    </sheetView>
  </sheetViews>
  <sheetFormatPr baseColWidth="10" defaultRowHeight="16" x14ac:dyDescent="0.2"/>
  <cols>
    <col min="1" max="1" width="43.5" style="2" bestFit="1" customWidth="1"/>
    <col min="2" max="6" width="12.5" style="2" bestFit="1" customWidth="1"/>
    <col min="7" max="16384" width="10.83203125" style="2"/>
  </cols>
  <sheetData>
    <row r="1" spans="1:7" ht="23" x14ac:dyDescent="0.25">
      <c r="A1" s="37" t="s">
        <v>111</v>
      </c>
      <c r="B1" s="37"/>
      <c r="C1" s="37"/>
      <c r="D1" s="37"/>
      <c r="E1" s="37"/>
      <c r="F1" s="37"/>
    </row>
    <row r="3" spans="1:7" ht="18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/>
    </row>
    <row r="4" spans="1:7" ht="18" x14ac:dyDescent="0.2">
      <c r="A4" s="3" t="s">
        <v>16</v>
      </c>
      <c r="B4" s="4">
        <v>45657</v>
      </c>
      <c r="C4" s="4">
        <v>45291</v>
      </c>
      <c r="D4" s="4">
        <v>44926</v>
      </c>
      <c r="E4" s="4">
        <v>44561</v>
      </c>
      <c r="F4" s="4">
        <v>44196</v>
      </c>
      <c r="G4" s="3"/>
    </row>
    <row r="5" spans="1:7" ht="18" x14ac:dyDescent="0.2">
      <c r="A5" s="7" t="s">
        <v>6</v>
      </c>
      <c r="B5" s="10">
        <v>1138</v>
      </c>
      <c r="C5" s="7">
        <v>-532</v>
      </c>
      <c r="D5" s="7">
        <v>-430</v>
      </c>
      <c r="E5" s="7">
        <v>-34</v>
      </c>
      <c r="F5" s="7">
        <v>-581</v>
      </c>
      <c r="G5" s="3"/>
    </row>
    <row r="6" spans="1:7" ht="18" x14ac:dyDescent="0.2">
      <c r="A6" s="7" t="s">
        <v>112</v>
      </c>
      <c r="B6" s="7">
        <v>113</v>
      </c>
      <c r="C6" s="7">
        <v>146</v>
      </c>
      <c r="D6" s="7">
        <v>171</v>
      </c>
      <c r="E6" s="7">
        <v>127</v>
      </c>
      <c r="F6" s="7">
        <v>111</v>
      </c>
      <c r="G6" s="3"/>
    </row>
    <row r="7" spans="1:7" ht="18" x14ac:dyDescent="0.2">
      <c r="A7" s="7" t="s">
        <v>113</v>
      </c>
      <c r="B7" s="7">
        <v>8</v>
      </c>
      <c r="C7" s="7">
        <v>12</v>
      </c>
      <c r="D7" s="7" t="s">
        <v>26</v>
      </c>
      <c r="E7" s="7">
        <v>18</v>
      </c>
      <c r="F7" s="7" t="s">
        <v>26</v>
      </c>
      <c r="G7" s="3"/>
    </row>
    <row r="8" spans="1:7" ht="18" x14ac:dyDescent="0.2">
      <c r="A8" s="7" t="s">
        <v>114</v>
      </c>
      <c r="B8" s="7">
        <v>43</v>
      </c>
      <c r="C8" s="7">
        <v>152</v>
      </c>
      <c r="D8" s="7" t="s">
        <v>26</v>
      </c>
      <c r="E8" s="7" t="s">
        <v>26</v>
      </c>
      <c r="F8" s="7" t="s">
        <v>26</v>
      </c>
      <c r="G8" s="3"/>
    </row>
    <row r="9" spans="1:7" ht="18" x14ac:dyDescent="0.2">
      <c r="A9" s="7" t="s">
        <v>115</v>
      </c>
      <c r="B9" s="7">
        <v>267</v>
      </c>
      <c r="C9" s="7">
        <v>321</v>
      </c>
      <c r="D9" s="7">
        <v>381</v>
      </c>
      <c r="E9" s="7">
        <v>223</v>
      </c>
      <c r="F9" s="7">
        <v>176</v>
      </c>
      <c r="G9" s="3"/>
    </row>
    <row r="10" spans="1:7" ht="18" x14ac:dyDescent="0.2">
      <c r="A10" s="7" t="s">
        <v>116</v>
      </c>
      <c r="B10" s="7">
        <v>356</v>
      </c>
      <c r="C10" s="7">
        <v>117</v>
      </c>
      <c r="D10" s="7">
        <v>-267</v>
      </c>
      <c r="E10" s="7">
        <v>63</v>
      </c>
      <c r="F10" s="7">
        <v>236</v>
      </c>
      <c r="G10" s="3"/>
    </row>
    <row r="11" spans="1:7" ht="18" x14ac:dyDescent="0.2">
      <c r="A11" s="7" t="s">
        <v>117</v>
      </c>
      <c r="B11" s="7">
        <v>145</v>
      </c>
      <c r="C11" s="7">
        <v>-145</v>
      </c>
      <c r="D11" s="7">
        <v>-84</v>
      </c>
      <c r="E11" s="7">
        <v>-245</v>
      </c>
      <c r="F11" s="7">
        <v>-187</v>
      </c>
      <c r="G11" s="3"/>
    </row>
    <row r="12" spans="1:7" ht="18" x14ac:dyDescent="0.2">
      <c r="A12" s="7" t="s">
        <v>118</v>
      </c>
      <c r="B12" s="7">
        <v>183</v>
      </c>
      <c r="C12" s="7">
        <v>501</v>
      </c>
      <c r="D12" s="7">
        <v>226</v>
      </c>
      <c r="E12" s="7">
        <v>137</v>
      </c>
      <c r="F12" s="7">
        <v>425</v>
      </c>
      <c r="G12" s="3"/>
    </row>
    <row r="13" spans="1:7" ht="18" x14ac:dyDescent="0.2">
      <c r="A13" s="7" t="s">
        <v>119</v>
      </c>
      <c r="B13" s="7">
        <v>45</v>
      </c>
      <c r="C13" s="7">
        <v>113</v>
      </c>
      <c r="D13" s="7">
        <v>52</v>
      </c>
      <c r="E13" s="7">
        <v>67</v>
      </c>
      <c r="F13" s="7">
        <v>73</v>
      </c>
      <c r="G13" s="3"/>
    </row>
    <row r="14" spans="1:7" ht="18" x14ac:dyDescent="0.2">
      <c r="A14" s="7" t="s">
        <v>120</v>
      </c>
      <c r="B14" s="7">
        <v>3</v>
      </c>
      <c r="C14" s="7">
        <v>-5</v>
      </c>
      <c r="D14" s="7">
        <v>-3</v>
      </c>
      <c r="E14" s="7">
        <v>5</v>
      </c>
      <c r="F14" s="7">
        <v>6</v>
      </c>
      <c r="G14" s="3"/>
    </row>
    <row r="15" spans="1:7" ht="18" x14ac:dyDescent="0.2">
      <c r="A15" s="3" t="s">
        <v>121</v>
      </c>
      <c r="B15" s="6">
        <v>2301</v>
      </c>
      <c r="C15" s="3">
        <v>680</v>
      </c>
      <c r="D15" s="3">
        <v>46</v>
      </c>
      <c r="E15" s="3">
        <v>361</v>
      </c>
      <c r="F15" s="3">
        <v>259</v>
      </c>
      <c r="G15" s="3"/>
    </row>
    <row r="16" spans="1:7" ht="18" x14ac:dyDescent="0.2">
      <c r="A16" s="7" t="s">
        <v>122</v>
      </c>
      <c r="B16" s="8">
        <v>2.3837999999999999</v>
      </c>
      <c r="C16" s="8">
        <v>13.7826</v>
      </c>
      <c r="D16" s="8">
        <v>-0.87260000000000004</v>
      </c>
      <c r="E16" s="8">
        <v>0.39379999999999998</v>
      </c>
      <c r="F16" s="8">
        <v>-0.54800000000000004</v>
      </c>
      <c r="G16" s="3"/>
    </row>
    <row r="17" spans="1:7" ht="18" x14ac:dyDescent="0.2">
      <c r="A17" s="7" t="s">
        <v>123</v>
      </c>
      <c r="B17" s="7">
        <v>-17</v>
      </c>
      <c r="C17" s="7">
        <v>-6</v>
      </c>
      <c r="D17" s="7">
        <v>-25</v>
      </c>
      <c r="E17" s="7">
        <v>-85</v>
      </c>
      <c r="F17" s="7">
        <v>-78</v>
      </c>
      <c r="G17" s="3"/>
    </row>
    <row r="18" spans="1:7" ht="18" x14ac:dyDescent="0.2">
      <c r="A18" s="7" t="s">
        <v>124</v>
      </c>
      <c r="B18" s="7">
        <v>-10</v>
      </c>
      <c r="C18" s="7">
        <v>-7</v>
      </c>
      <c r="D18" s="7">
        <v>-306</v>
      </c>
      <c r="E18" s="7">
        <v>-115</v>
      </c>
      <c r="F18" s="7">
        <v>-336</v>
      </c>
      <c r="G18" s="3"/>
    </row>
    <row r="19" spans="1:7" ht="18" x14ac:dyDescent="0.2">
      <c r="A19" s="7" t="s">
        <v>125</v>
      </c>
      <c r="B19" s="10">
        <v>-1471</v>
      </c>
      <c r="C19" s="7">
        <v>-211</v>
      </c>
      <c r="D19" s="7">
        <v>-89</v>
      </c>
      <c r="E19" s="7">
        <v>22</v>
      </c>
      <c r="F19" s="7">
        <v>67</v>
      </c>
      <c r="G19" s="3"/>
    </row>
    <row r="20" spans="1:7" ht="18" x14ac:dyDescent="0.2">
      <c r="A20" s="7" t="s">
        <v>126</v>
      </c>
      <c r="B20" s="7">
        <v>12</v>
      </c>
      <c r="C20" s="7">
        <v>7</v>
      </c>
      <c r="D20" s="7">
        <v>-3</v>
      </c>
      <c r="E20" s="7">
        <v>-9</v>
      </c>
      <c r="F20" s="7">
        <v>-25</v>
      </c>
      <c r="G20" s="3"/>
    </row>
    <row r="21" spans="1:7" ht="18" x14ac:dyDescent="0.2">
      <c r="A21" s="3" t="s">
        <v>127</v>
      </c>
      <c r="B21" s="6">
        <v>-1486</v>
      </c>
      <c r="C21" s="3">
        <v>-217</v>
      </c>
      <c r="D21" s="3">
        <v>-423</v>
      </c>
      <c r="E21" s="3">
        <v>-187</v>
      </c>
      <c r="F21" s="3">
        <v>-372</v>
      </c>
      <c r="G21" s="3"/>
    </row>
    <row r="22" spans="1:7" ht="18" x14ac:dyDescent="0.2">
      <c r="A22" s="7" t="s">
        <v>128</v>
      </c>
      <c r="B22" s="7" t="s">
        <v>26</v>
      </c>
      <c r="C22" s="7" t="s">
        <v>26</v>
      </c>
      <c r="D22" s="7" t="s">
        <v>26</v>
      </c>
      <c r="E22" s="10">
        <v>1223</v>
      </c>
      <c r="F22" s="7" t="s">
        <v>26</v>
      </c>
      <c r="G22" s="3"/>
    </row>
    <row r="23" spans="1:7" ht="18" x14ac:dyDescent="0.2">
      <c r="A23" s="7" t="s">
        <v>129</v>
      </c>
      <c r="B23" s="7">
        <v>-69</v>
      </c>
      <c r="C23" s="7">
        <v>-66</v>
      </c>
      <c r="D23" s="7">
        <v>-43</v>
      </c>
      <c r="E23" s="7">
        <v>-35</v>
      </c>
      <c r="F23" s="7">
        <v>-24</v>
      </c>
      <c r="G23" s="3"/>
    </row>
    <row r="24" spans="1:7" ht="18" x14ac:dyDescent="0.2">
      <c r="A24" s="7" t="s">
        <v>130</v>
      </c>
      <c r="B24" s="7">
        <v>-69</v>
      </c>
      <c r="C24" s="7">
        <v>-66</v>
      </c>
      <c r="D24" s="7">
        <v>-43</v>
      </c>
      <c r="E24" s="10">
        <v>1188</v>
      </c>
      <c r="F24" s="7">
        <v>-24</v>
      </c>
      <c r="G24" s="3"/>
    </row>
    <row r="25" spans="1:7" ht="18" x14ac:dyDescent="0.2">
      <c r="A25" s="7" t="s">
        <v>131</v>
      </c>
      <c r="B25" s="7">
        <v>933</v>
      </c>
      <c r="C25" s="7">
        <v>366</v>
      </c>
      <c r="D25" s="7">
        <v>43</v>
      </c>
      <c r="E25" s="7">
        <v>167</v>
      </c>
      <c r="F25" s="7">
        <v>319</v>
      </c>
      <c r="G25" s="3"/>
    </row>
    <row r="26" spans="1:7" ht="18" x14ac:dyDescent="0.2">
      <c r="A26" s="7" t="s">
        <v>132</v>
      </c>
      <c r="B26" s="7">
        <v>-135</v>
      </c>
      <c r="C26" s="7">
        <v>-68</v>
      </c>
      <c r="D26" s="7">
        <v>-42</v>
      </c>
      <c r="E26" s="7">
        <v>-143</v>
      </c>
      <c r="F26" s="7">
        <v>-30</v>
      </c>
      <c r="G26" s="3"/>
    </row>
    <row r="27" spans="1:7" ht="18" x14ac:dyDescent="0.2">
      <c r="A27" s="7" t="s">
        <v>133</v>
      </c>
      <c r="B27" s="7" t="s">
        <v>26</v>
      </c>
      <c r="C27" s="7">
        <v>2</v>
      </c>
      <c r="D27" s="7">
        <v>2</v>
      </c>
      <c r="E27" s="7">
        <v>38</v>
      </c>
      <c r="F27" s="7">
        <v>20</v>
      </c>
      <c r="G27" s="3"/>
    </row>
    <row r="28" spans="1:7" ht="18" x14ac:dyDescent="0.2">
      <c r="A28" s="3" t="s">
        <v>134</v>
      </c>
      <c r="B28" s="3">
        <v>729</v>
      </c>
      <c r="C28" s="3">
        <v>234</v>
      </c>
      <c r="D28" s="3">
        <v>-40</v>
      </c>
      <c r="E28" s="6">
        <v>1250</v>
      </c>
      <c r="F28" s="3">
        <v>285</v>
      </c>
      <c r="G28" s="3"/>
    </row>
    <row r="29" spans="1:7" ht="18" x14ac:dyDescent="0.2">
      <c r="A29" s="7" t="s">
        <v>135</v>
      </c>
      <c r="B29" s="7">
        <v>123</v>
      </c>
      <c r="C29" s="7">
        <v>-66</v>
      </c>
      <c r="D29" s="7">
        <v>156</v>
      </c>
      <c r="E29" s="7">
        <v>169</v>
      </c>
      <c r="F29" s="7">
        <v>-86</v>
      </c>
      <c r="G29" s="3"/>
    </row>
    <row r="30" spans="1:7" ht="18" x14ac:dyDescent="0.2">
      <c r="A30" s="3" t="s">
        <v>136</v>
      </c>
      <c r="B30" s="6">
        <v>1667</v>
      </c>
      <c r="C30" s="3">
        <v>631</v>
      </c>
      <c r="D30" s="3">
        <v>-261</v>
      </c>
      <c r="E30" s="6">
        <v>1593</v>
      </c>
      <c r="F30" s="3">
        <v>86</v>
      </c>
      <c r="G30" s="3"/>
    </row>
    <row r="31" spans="1:7" ht="18" x14ac:dyDescent="0.2">
      <c r="A31" s="3" t="s">
        <v>37</v>
      </c>
      <c r="B31" s="6">
        <v>2284</v>
      </c>
      <c r="C31" s="3">
        <v>674</v>
      </c>
      <c r="D31" s="3">
        <v>21</v>
      </c>
      <c r="E31" s="3">
        <v>276</v>
      </c>
      <c r="F31" s="3">
        <v>181</v>
      </c>
      <c r="G31" s="3"/>
    </row>
    <row r="32" spans="1:7" ht="18" x14ac:dyDescent="0.2">
      <c r="A32" s="7" t="s">
        <v>137</v>
      </c>
      <c r="B32" s="8">
        <v>2.3887</v>
      </c>
      <c r="C32" s="8">
        <v>31.095199999999998</v>
      </c>
      <c r="D32" s="8">
        <v>-0.92390000000000005</v>
      </c>
      <c r="E32" s="8">
        <v>0.52490000000000003</v>
      </c>
      <c r="F32" s="8">
        <v>-0.58679999999999999</v>
      </c>
      <c r="G32" s="3"/>
    </row>
    <row r="33" spans="1:7" ht="18" x14ac:dyDescent="0.2">
      <c r="A33" s="7" t="s">
        <v>42</v>
      </c>
      <c r="B33" s="8">
        <v>0.1457</v>
      </c>
      <c r="C33" s="8">
        <v>5.0900000000000001E-2</v>
      </c>
      <c r="D33" s="8">
        <v>1.8E-3</v>
      </c>
      <c r="E33" s="8">
        <v>2.8500000000000001E-2</v>
      </c>
      <c r="F33" s="8">
        <v>2.3E-2</v>
      </c>
      <c r="G33" s="3"/>
    </row>
    <row r="34" spans="1:7" ht="18" x14ac:dyDescent="0.2">
      <c r="A34" s="7" t="s">
        <v>38</v>
      </c>
      <c r="B34" s="7">
        <v>11.03</v>
      </c>
      <c r="C34" s="7">
        <v>3.46</v>
      </c>
      <c r="D34" s="7">
        <v>0.11</v>
      </c>
      <c r="E34" s="7">
        <v>1.42</v>
      </c>
      <c r="F34" s="7">
        <v>0.96</v>
      </c>
      <c r="G34" s="3"/>
    </row>
    <row r="35" spans="1:7" ht="18" x14ac:dyDescent="0.2">
      <c r="A35" s="7" t="s">
        <v>138</v>
      </c>
      <c r="B35" s="7">
        <v>36</v>
      </c>
      <c r="C35" s="7">
        <v>38</v>
      </c>
      <c r="D35" s="7">
        <v>53</v>
      </c>
      <c r="E35" s="7">
        <v>50</v>
      </c>
      <c r="F35" s="7">
        <v>55</v>
      </c>
      <c r="G35" s="3"/>
    </row>
    <row r="36" spans="1:7" ht="18" x14ac:dyDescent="0.2">
      <c r="A36" s="7" t="s">
        <v>139</v>
      </c>
      <c r="B36" s="7">
        <v>53</v>
      </c>
      <c r="C36" s="7">
        <v>43</v>
      </c>
      <c r="D36" s="7">
        <v>43</v>
      </c>
      <c r="E36" s="7">
        <v>6</v>
      </c>
      <c r="F36" s="7">
        <v>8</v>
      </c>
      <c r="G36" s="3"/>
    </row>
    <row r="37" spans="1:7" ht="18" x14ac:dyDescent="0.2">
      <c r="A37" s="7" t="s">
        <v>140</v>
      </c>
      <c r="B37" s="10">
        <v>1240</v>
      </c>
      <c r="C37" s="7">
        <v>680</v>
      </c>
      <c r="D37" s="7">
        <v>302.5</v>
      </c>
      <c r="E37" s="7">
        <v>567.63</v>
      </c>
      <c r="F37" s="7">
        <v>157.13</v>
      </c>
      <c r="G37" s="3"/>
    </row>
    <row r="38" spans="1:7" ht="18" x14ac:dyDescent="0.2">
      <c r="A38" s="7" t="s">
        <v>141</v>
      </c>
      <c r="B38" s="10">
        <v>1262</v>
      </c>
      <c r="C38" s="7">
        <v>703.75</v>
      </c>
      <c r="D38" s="7">
        <v>328.13</v>
      </c>
      <c r="E38" s="7">
        <v>592.75</v>
      </c>
      <c r="F38" s="7">
        <v>190.88</v>
      </c>
      <c r="G38" s="3"/>
    </row>
    <row r="39" spans="1:7" ht="18" x14ac:dyDescent="0.2">
      <c r="A39" s="7" t="s">
        <v>142</v>
      </c>
      <c r="B39" s="7">
        <v>-11</v>
      </c>
      <c r="C39" s="7">
        <v>-282</v>
      </c>
      <c r="D39" s="7">
        <v>-213</v>
      </c>
      <c r="E39" s="7">
        <v>-269</v>
      </c>
      <c r="F39" s="7">
        <v>-165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7BC6-1561-664A-8A67-636766BD7A63}">
  <dimension ref="A2:M15"/>
  <sheetViews>
    <sheetView workbookViewId="0">
      <selection activeCell="B15" sqref="B15"/>
    </sheetView>
  </sheetViews>
  <sheetFormatPr baseColWidth="10" defaultRowHeight="16" x14ac:dyDescent="0.2"/>
  <cols>
    <col min="1" max="1" width="27.1640625" style="2" bestFit="1" customWidth="1"/>
    <col min="2" max="6" width="11.5" style="2" bestFit="1" customWidth="1"/>
    <col min="7" max="16384" width="10.83203125" style="2"/>
  </cols>
  <sheetData>
    <row r="2" spans="1:13" ht="21" x14ac:dyDescent="0.25">
      <c r="A2" s="38" t="s">
        <v>143</v>
      </c>
      <c r="B2" s="38"/>
      <c r="C2" s="38"/>
      <c r="D2" s="38"/>
      <c r="E2" s="38"/>
      <c r="F2" s="38"/>
      <c r="I2" s="39" t="s">
        <v>152</v>
      </c>
      <c r="J2" s="39"/>
      <c r="K2" s="39"/>
      <c r="L2" s="39"/>
      <c r="M2" s="39"/>
    </row>
    <row r="3" spans="1:13" ht="18" x14ac:dyDescent="0.2">
      <c r="B3" s="16">
        <v>45657</v>
      </c>
      <c r="C3" s="16">
        <v>45291</v>
      </c>
      <c r="D3" s="16">
        <v>44926</v>
      </c>
      <c r="E3" s="16">
        <v>44561</v>
      </c>
      <c r="F3" s="16">
        <v>44196</v>
      </c>
      <c r="I3" s="7">
        <v>540</v>
      </c>
      <c r="J3" s="7">
        <v>602</v>
      </c>
      <c r="K3" s="7">
        <v>502</v>
      </c>
      <c r="L3" s="7">
        <v>437</v>
      </c>
      <c r="M3" s="7">
        <v>319</v>
      </c>
    </row>
    <row r="4" spans="1:13" ht="18" x14ac:dyDescent="0.2">
      <c r="A4" s="14" t="s">
        <v>8</v>
      </c>
      <c r="B4" s="21">
        <v>1408</v>
      </c>
      <c r="C4" s="17">
        <v>-82</v>
      </c>
      <c r="D4" s="17">
        <v>-659</v>
      </c>
      <c r="E4" s="17">
        <v>94</v>
      </c>
      <c r="F4" s="17">
        <v>-293</v>
      </c>
      <c r="I4" s="7">
        <v>259</v>
      </c>
      <c r="J4" s="7">
        <v>276</v>
      </c>
      <c r="K4" s="7">
        <v>193</v>
      </c>
      <c r="L4" s="7">
        <v>189</v>
      </c>
      <c r="M4" s="7">
        <v>149</v>
      </c>
    </row>
    <row r="5" spans="1:13" ht="18" x14ac:dyDescent="0.2">
      <c r="A5" s="14" t="s">
        <v>144</v>
      </c>
      <c r="B5" s="17">
        <v>113</v>
      </c>
      <c r="C5" s="17">
        <v>146</v>
      </c>
      <c r="D5" s="17">
        <v>171</v>
      </c>
      <c r="E5" s="17">
        <v>127</v>
      </c>
      <c r="F5" s="17">
        <v>111</v>
      </c>
      <c r="I5" s="7">
        <v>71</v>
      </c>
      <c r="J5" s="7">
        <v>64</v>
      </c>
      <c r="K5" s="7">
        <v>89</v>
      </c>
      <c r="L5" s="7">
        <v>74</v>
      </c>
      <c r="M5" s="7">
        <v>47</v>
      </c>
    </row>
    <row r="6" spans="1:13" ht="18" x14ac:dyDescent="0.2">
      <c r="A6" s="14" t="s">
        <v>150</v>
      </c>
      <c r="B6" s="18">
        <v>0.15140000000000001</v>
      </c>
      <c r="C6" s="18">
        <v>0.15140000000000001</v>
      </c>
      <c r="D6" s="18">
        <v>0.15140000000000001</v>
      </c>
      <c r="E6" s="18">
        <v>0.15140000000000001</v>
      </c>
      <c r="F6" s="18">
        <v>0.15140000000000001</v>
      </c>
      <c r="I6" s="7">
        <v>756</v>
      </c>
      <c r="J6" s="7">
        <v>345</v>
      </c>
      <c r="K6" s="7">
        <v>218</v>
      </c>
      <c r="L6" s="7">
        <v>239</v>
      </c>
      <c r="M6" s="7">
        <v>380</v>
      </c>
    </row>
    <row r="7" spans="1:13" x14ac:dyDescent="0.2">
      <c r="A7" s="15" t="s">
        <v>145</v>
      </c>
      <c r="B7" s="5">
        <f>B4*(1-B6)+B5</f>
        <v>1307.8288</v>
      </c>
      <c r="C7" s="5">
        <f>C4*(1-C6)+C5</f>
        <v>76.4148</v>
      </c>
      <c r="D7" s="5">
        <f>D4*(1-D6)+D5</f>
        <v>-388.22739999999999</v>
      </c>
      <c r="E7" s="5">
        <f t="shared" ref="E7:F7" si="0">E4*(1-E6)+E5</f>
        <v>206.76839999999999</v>
      </c>
      <c r="F7" s="5">
        <f t="shared" si="0"/>
        <v>-137.63980000000001</v>
      </c>
      <c r="I7" s="5">
        <f>SUM(I3:I6)</f>
        <v>1626</v>
      </c>
      <c r="J7" s="5">
        <f>SUM(J3:J6)</f>
        <v>1287</v>
      </c>
      <c r="K7" s="5">
        <f t="shared" ref="K7:M7" si="1">SUM(K3:K6)</f>
        <v>1002</v>
      </c>
      <c r="L7" s="5">
        <f t="shared" si="1"/>
        <v>939</v>
      </c>
      <c r="M7" s="5">
        <f t="shared" si="1"/>
        <v>895</v>
      </c>
    </row>
    <row r="8" spans="1:13" x14ac:dyDescent="0.2">
      <c r="A8" s="14" t="s">
        <v>151</v>
      </c>
      <c r="B8" s="17">
        <v>414</v>
      </c>
      <c r="C8" s="17">
        <v>547</v>
      </c>
      <c r="D8" s="17">
        <v>765</v>
      </c>
      <c r="E8" s="17">
        <v>809</v>
      </c>
      <c r="F8" s="17">
        <v>757</v>
      </c>
    </row>
    <row r="9" spans="1:13" x14ac:dyDescent="0.2">
      <c r="A9" s="14" t="s">
        <v>146</v>
      </c>
      <c r="B9" s="2">
        <f>B8-C8</f>
        <v>-133</v>
      </c>
      <c r="C9" s="2">
        <f>C8-D8</f>
        <v>-218</v>
      </c>
      <c r="D9" s="2">
        <f>D8-E8</f>
        <v>-44</v>
      </c>
      <c r="E9" s="2">
        <f>E8-F8</f>
        <v>52</v>
      </c>
      <c r="F9" s="2">
        <f>F8-G8</f>
        <v>757</v>
      </c>
      <c r="I9" s="39" t="s">
        <v>153</v>
      </c>
      <c r="J9" s="39"/>
      <c r="K9" s="39"/>
      <c r="L9" s="39"/>
      <c r="M9" s="39"/>
    </row>
    <row r="10" spans="1:13" ht="18" x14ac:dyDescent="0.2">
      <c r="A10" s="15" t="s">
        <v>147</v>
      </c>
      <c r="B10" s="5">
        <f>B9+B5</f>
        <v>-20</v>
      </c>
      <c r="C10" s="5">
        <f>C9+C5</f>
        <v>-72</v>
      </c>
      <c r="D10" s="5">
        <f t="shared" ref="D10:F10" si="2">D9+D5</f>
        <v>127</v>
      </c>
      <c r="E10" s="5">
        <f t="shared" si="2"/>
        <v>179</v>
      </c>
      <c r="F10" s="5">
        <f t="shared" si="2"/>
        <v>868</v>
      </c>
      <c r="I10" s="7">
        <v>933</v>
      </c>
      <c r="J10" s="7">
        <v>662</v>
      </c>
      <c r="K10" s="7">
        <v>588</v>
      </c>
      <c r="L10" s="7">
        <v>534</v>
      </c>
      <c r="M10" s="7">
        <v>434</v>
      </c>
    </row>
    <row r="11" spans="1:13" ht="18" x14ac:dyDescent="0.2">
      <c r="A11" s="14" t="s">
        <v>152</v>
      </c>
      <c r="B11" s="2">
        <v>1626</v>
      </c>
      <c r="C11" s="2">
        <v>1287</v>
      </c>
      <c r="D11" s="2">
        <v>1002</v>
      </c>
      <c r="E11" s="2">
        <v>939</v>
      </c>
      <c r="F11" s="2">
        <v>895</v>
      </c>
      <c r="I11" s="10">
        <v>2607</v>
      </c>
      <c r="J11" s="10">
        <v>2666</v>
      </c>
      <c r="K11" s="10">
        <v>2287</v>
      </c>
      <c r="L11" s="10">
        <v>2034</v>
      </c>
      <c r="M11" s="10">
        <v>1909</v>
      </c>
    </row>
    <row r="12" spans="1:13" ht="18" x14ac:dyDescent="0.2">
      <c r="A12" s="14" t="s">
        <v>153</v>
      </c>
      <c r="B12" s="2">
        <v>4223</v>
      </c>
      <c r="C12" s="2">
        <v>3950</v>
      </c>
      <c r="D12" s="2">
        <v>3395</v>
      </c>
      <c r="E12" s="2">
        <v>3026</v>
      </c>
      <c r="F12" s="2">
        <v>2723</v>
      </c>
      <c r="I12" s="7">
        <v>683</v>
      </c>
      <c r="J12" s="7">
        <v>622</v>
      </c>
      <c r="K12" s="7">
        <v>520</v>
      </c>
      <c r="L12" s="7">
        <v>458</v>
      </c>
      <c r="M12" s="7">
        <v>380</v>
      </c>
    </row>
    <row r="13" spans="1:13" x14ac:dyDescent="0.2">
      <c r="A13" s="14" t="s">
        <v>148</v>
      </c>
      <c r="B13" s="2">
        <f>B11-B12</f>
        <v>-2597</v>
      </c>
      <c r="C13" s="2">
        <f t="shared" ref="C13:F13" si="3">C11-C12</f>
        <v>-2663</v>
      </c>
      <c r="D13" s="2">
        <f t="shared" si="3"/>
        <v>-2393</v>
      </c>
      <c r="E13" s="2">
        <f t="shared" si="3"/>
        <v>-2087</v>
      </c>
      <c r="F13" s="2">
        <f t="shared" si="3"/>
        <v>-1828</v>
      </c>
      <c r="I13" s="5">
        <f>SUM(I10:I12)</f>
        <v>4223</v>
      </c>
      <c r="J13" s="5">
        <f t="shared" ref="J13:M13" si="4">SUM(J10:J12)</f>
        <v>3950</v>
      </c>
      <c r="K13" s="5">
        <f t="shared" si="4"/>
        <v>3395</v>
      </c>
      <c r="L13" s="5">
        <f t="shared" si="4"/>
        <v>3026</v>
      </c>
      <c r="M13" s="5">
        <f t="shared" si="4"/>
        <v>2723</v>
      </c>
    </row>
    <row r="14" spans="1:13" x14ac:dyDescent="0.2">
      <c r="A14" s="15" t="s">
        <v>149</v>
      </c>
      <c r="B14" s="5">
        <f>B13-C13</f>
        <v>66</v>
      </c>
      <c r="C14" s="5">
        <f t="shared" ref="C14:F14" si="5">C13-D13</f>
        <v>-270</v>
      </c>
      <c r="D14" s="5">
        <f t="shared" si="5"/>
        <v>-306</v>
      </c>
      <c r="E14" s="5">
        <f t="shared" si="5"/>
        <v>-259</v>
      </c>
      <c r="F14" s="5">
        <f t="shared" si="5"/>
        <v>-1828</v>
      </c>
    </row>
    <row r="15" spans="1:13" x14ac:dyDescent="0.2">
      <c r="A15" s="20" t="s">
        <v>154</v>
      </c>
      <c r="B15" s="22">
        <f>B7-B10-B14</f>
        <v>1261.8288</v>
      </c>
      <c r="C15" s="22">
        <f>C7-C10-C14</f>
        <v>418.41480000000001</v>
      </c>
      <c r="D15" s="22">
        <f>D7-D10-D14</f>
        <v>-209.22739999999999</v>
      </c>
      <c r="E15" s="22">
        <f t="shared" ref="E15:F15" si="6">E7-E10-E14</f>
        <v>286.76839999999999</v>
      </c>
      <c r="F15" s="22">
        <f t="shared" si="6"/>
        <v>822.36019999999996</v>
      </c>
    </row>
  </sheetData>
  <mergeCells count="3">
    <mergeCell ref="A2:F2"/>
    <mergeCell ref="I2:M2"/>
    <mergeCell ref="I9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848F-09C2-0D4E-B1F6-FDE58F1B5DD3}">
  <dimension ref="A2:H22"/>
  <sheetViews>
    <sheetView zoomScale="107" workbookViewId="0">
      <selection activeCell="C11" sqref="C11"/>
    </sheetView>
  </sheetViews>
  <sheetFormatPr baseColWidth="10" defaultRowHeight="16" x14ac:dyDescent="0.2"/>
  <cols>
    <col min="1" max="1" width="28.83203125" style="2" bestFit="1" customWidth="1"/>
    <col min="2" max="2" width="10.83203125" style="2"/>
    <col min="3" max="3" width="14" style="2" bestFit="1" customWidth="1"/>
    <col min="4" max="4" width="10.83203125" style="2"/>
    <col min="5" max="5" width="42.83203125" style="2" bestFit="1" customWidth="1"/>
    <col min="6" max="16384" width="10.83203125" style="2"/>
  </cols>
  <sheetData>
    <row r="2" spans="1:8" x14ac:dyDescent="0.2">
      <c r="A2" s="39" t="s">
        <v>167</v>
      </c>
      <c r="B2" s="39"/>
      <c r="C2" s="39"/>
    </row>
    <row r="3" spans="1:8" x14ac:dyDescent="0.2">
      <c r="A3" s="14" t="s">
        <v>155</v>
      </c>
      <c r="B3" s="14" t="s">
        <v>156</v>
      </c>
      <c r="C3" s="2">
        <f>F5*F4</f>
        <v>127497.51</v>
      </c>
      <c r="E3" s="39" t="s">
        <v>163</v>
      </c>
      <c r="F3" s="39"/>
      <c r="G3" s="5"/>
      <c r="H3" s="5"/>
    </row>
    <row r="4" spans="1:8" x14ac:dyDescent="0.2">
      <c r="A4" s="14" t="s">
        <v>157</v>
      </c>
      <c r="B4" s="14" t="s">
        <v>161</v>
      </c>
      <c r="C4" s="2">
        <v>2076</v>
      </c>
      <c r="E4" s="14" t="s">
        <v>166</v>
      </c>
      <c r="F4" s="2">
        <v>207</v>
      </c>
    </row>
    <row r="5" spans="1:8" x14ac:dyDescent="0.2">
      <c r="A5" s="14" t="s">
        <v>158</v>
      </c>
      <c r="B5" s="14" t="s">
        <v>170</v>
      </c>
      <c r="C5" s="25">
        <f>(F8+F7*(F9-F8))</f>
        <v>0.12147659999999999</v>
      </c>
      <c r="E5" s="14" t="s">
        <v>164</v>
      </c>
      <c r="F5" s="2">
        <v>615.92999999999995</v>
      </c>
    </row>
    <row r="6" spans="1:8" x14ac:dyDescent="0.2">
      <c r="A6" s="14" t="s">
        <v>159</v>
      </c>
      <c r="B6" s="14" t="s">
        <v>171</v>
      </c>
      <c r="C6" s="24">
        <f>F10/F6</f>
        <v>1.7341040462427744E-2</v>
      </c>
      <c r="E6" s="14" t="s">
        <v>165</v>
      </c>
      <c r="F6" s="2">
        <v>2076</v>
      </c>
    </row>
    <row r="7" spans="1:8" x14ac:dyDescent="0.2">
      <c r="A7" s="14" t="s">
        <v>160</v>
      </c>
      <c r="B7" s="14" t="s">
        <v>173</v>
      </c>
      <c r="C7" s="26">
        <f xml:space="preserve"> 0.1514</f>
        <v>0.15140000000000001</v>
      </c>
      <c r="E7" s="14" t="s">
        <v>162</v>
      </c>
      <c r="F7" s="2">
        <f>1.67</f>
        <v>1.67</v>
      </c>
    </row>
    <row r="8" spans="1:8" x14ac:dyDescent="0.2">
      <c r="A8" s="14" t="s">
        <v>175</v>
      </c>
      <c r="B8" s="14" t="s">
        <v>176</v>
      </c>
      <c r="C8" s="2">
        <f>C3/(C3+C4)</f>
        <v>0.98397820665659208</v>
      </c>
      <c r="E8" s="14" t="s">
        <v>168</v>
      </c>
      <c r="F8" s="24">
        <f>0.04302</f>
        <v>4.3020000000000003E-2</v>
      </c>
    </row>
    <row r="9" spans="1:8" x14ac:dyDescent="0.2">
      <c r="A9" s="14" t="s">
        <v>177</v>
      </c>
      <c r="B9" s="14" t="s">
        <v>178</v>
      </c>
      <c r="C9" s="2">
        <f>C4/(C4+C3)</f>
        <v>1.6021793343407923E-2</v>
      </c>
      <c r="E9" s="14" t="s">
        <v>169</v>
      </c>
      <c r="F9" s="23">
        <f>0.09</f>
        <v>0.09</v>
      </c>
    </row>
    <row r="10" spans="1:8" x14ac:dyDescent="0.2">
      <c r="A10" s="14"/>
      <c r="B10" s="20" t="s">
        <v>174</v>
      </c>
      <c r="C10" s="28">
        <f>((C8)*(C5))+((C9)*(C6)*(1-C7))</f>
        <v>0.11976609743199824</v>
      </c>
      <c r="E10" s="14" t="s">
        <v>172</v>
      </c>
      <c r="F10" s="2">
        <f>36</f>
        <v>36</v>
      </c>
    </row>
    <row r="11" spans="1:8" x14ac:dyDescent="0.2">
      <c r="A11" s="14"/>
      <c r="B11" s="14"/>
      <c r="E11" s="14"/>
    </row>
    <row r="13" spans="1:8" x14ac:dyDescent="0.2">
      <c r="A13" s="39" t="s">
        <v>224</v>
      </c>
      <c r="B13" s="39"/>
      <c r="C13" s="39"/>
      <c r="D13" s="39"/>
      <c r="E13" s="39"/>
    </row>
    <row r="14" spans="1:8" x14ac:dyDescent="0.2">
      <c r="A14" s="5" t="s">
        <v>220</v>
      </c>
      <c r="B14" s="2" t="s">
        <v>221</v>
      </c>
    </row>
    <row r="16" spans="1:8" x14ac:dyDescent="0.2">
      <c r="A16" s="5" t="s">
        <v>222</v>
      </c>
      <c r="B16" s="25">
        <v>0.1215</v>
      </c>
    </row>
    <row r="18" spans="1:2" x14ac:dyDescent="0.2">
      <c r="A18" s="5" t="s">
        <v>223</v>
      </c>
      <c r="B18" s="25">
        <v>1.7299999999999999E-2</v>
      </c>
    </row>
    <row r="20" spans="1:2" x14ac:dyDescent="0.2">
      <c r="A20" s="5" t="s">
        <v>218</v>
      </c>
      <c r="B20" s="2" t="s">
        <v>219</v>
      </c>
    </row>
    <row r="22" spans="1:2" x14ac:dyDescent="0.2">
      <c r="A22" s="5" t="s">
        <v>216</v>
      </c>
      <c r="B22" s="2" t="s">
        <v>217</v>
      </c>
    </row>
  </sheetData>
  <mergeCells count="3">
    <mergeCell ref="E3:F3"/>
    <mergeCell ref="A2:C2"/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7C8A-A206-364E-AC58-A900B81145AF}">
  <dimension ref="A1:O53"/>
  <sheetViews>
    <sheetView zoomScale="75" workbookViewId="0">
      <selection activeCell="N49" sqref="N49"/>
    </sheetView>
  </sheetViews>
  <sheetFormatPr baseColWidth="10" defaultRowHeight="16" x14ac:dyDescent="0.2"/>
  <cols>
    <col min="1" max="1" width="28.6640625" style="2" customWidth="1"/>
    <col min="2" max="2" width="14.33203125" style="2" bestFit="1" customWidth="1"/>
    <col min="3" max="3" width="10.5" style="2" bestFit="1" customWidth="1"/>
    <col min="4" max="4" width="11.1640625" style="2" bestFit="1" customWidth="1"/>
    <col min="5" max="5" width="10.5" style="2" bestFit="1" customWidth="1"/>
    <col min="6" max="6" width="11.1640625" style="2" bestFit="1" customWidth="1"/>
    <col min="7" max="7" width="12.83203125" style="2" bestFit="1" customWidth="1"/>
    <col min="8" max="14" width="10.83203125" style="2"/>
    <col min="15" max="15" width="22" style="2" customWidth="1"/>
    <col min="16" max="16384" width="10.83203125" style="2"/>
  </cols>
  <sheetData>
    <row r="1" spans="1:15" ht="25" x14ac:dyDescent="0.25">
      <c r="A1" s="41" t="s">
        <v>215</v>
      </c>
      <c r="B1" s="41"/>
      <c r="C1" s="41"/>
      <c r="D1" s="41"/>
      <c r="E1" s="41"/>
      <c r="F1" s="41"/>
      <c r="G1" s="41"/>
    </row>
    <row r="2" spans="1:15" ht="18" x14ac:dyDescent="0.2">
      <c r="A2" s="42" t="s">
        <v>143</v>
      </c>
      <c r="B2" s="42"/>
      <c r="C2" s="42"/>
      <c r="D2" s="42"/>
      <c r="E2" s="42"/>
      <c r="F2" s="42"/>
      <c r="I2" s="40" t="s">
        <v>186</v>
      </c>
      <c r="J2" s="40"/>
      <c r="K2" s="40"/>
      <c r="L2" s="40"/>
      <c r="M2" s="40"/>
      <c r="N2" s="40"/>
      <c r="O2" s="40"/>
    </row>
    <row r="3" spans="1:15" x14ac:dyDescent="0.2">
      <c r="A3" s="14"/>
      <c r="B3" s="29">
        <v>45657</v>
      </c>
      <c r="C3" s="29">
        <v>45291</v>
      </c>
      <c r="D3" s="29">
        <v>44926</v>
      </c>
      <c r="E3" s="29">
        <v>44561</v>
      </c>
      <c r="F3" s="29">
        <v>44196</v>
      </c>
      <c r="I3" s="40" t="s">
        <v>181</v>
      </c>
      <c r="J3" s="40"/>
      <c r="K3" s="40"/>
      <c r="L3" s="40"/>
      <c r="M3" s="40"/>
      <c r="N3" s="40"/>
      <c r="O3" s="40"/>
    </row>
    <row r="4" spans="1:15" x14ac:dyDescent="0.2">
      <c r="A4" s="14" t="s">
        <v>8</v>
      </c>
      <c r="B4" s="30">
        <v>1408</v>
      </c>
      <c r="C4" s="2">
        <v>-82</v>
      </c>
      <c r="D4" s="2">
        <v>-659</v>
      </c>
      <c r="E4" s="2">
        <v>94</v>
      </c>
      <c r="F4" s="2">
        <v>-293</v>
      </c>
      <c r="I4" s="40" t="s">
        <v>182</v>
      </c>
      <c r="J4" s="40"/>
      <c r="K4" s="40"/>
      <c r="L4" s="40"/>
      <c r="M4" s="40"/>
      <c r="N4" s="40"/>
      <c r="O4" s="40"/>
    </row>
    <row r="5" spans="1:15" x14ac:dyDescent="0.2">
      <c r="A5" s="14" t="s">
        <v>144</v>
      </c>
      <c r="B5" s="2">
        <v>113</v>
      </c>
      <c r="C5" s="2">
        <v>146</v>
      </c>
      <c r="D5" s="2">
        <v>171</v>
      </c>
      <c r="E5" s="2">
        <v>127</v>
      </c>
      <c r="F5" s="2">
        <v>111</v>
      </c>
    </row>
    <row r="6" spans="1:15" x14ac:dyDescent="0.2">
      <c r="A6" s="14" t="s">
        <v>150</v>
      </c>
      <c r="B6" s="25">
        <v>0.15140000000000001</v>
      </c>
      <c r="C6" s="25">
        <v>0.15140000000000001</v>
      </c>
      <c r="D6" s="25">
        <v>0.15140000000000001</v>
      </c>
      <c r="E6" s="25">
        <v>0.15140000000000001</v>
      </c>
      <c r="F6" s="25">
        <v>0.15140000000000001</v>
      </c>
    </row>
    <row r="7" spans="1:15" x14ac:dyDescent="0.2">
      <c r="A7" s="14" t="s">
        <v>145</v>
      </c>
      <c r="B7" s="2">
        <v>1307.8288</v>
      </c>
      <c r="C7" s="2">
        <v>76.4148</v>
      </c>
      <c r="D7" s="2">
        <v>-388.22739999999999</v>
      </c>
      <c r="E7" s="2">
        <v>206.76839999999999</v>
      </c>
      <c r="F7" s="2">
        <v>-137.63980000000001</v>
      </c>
    </row>
    <row r="8" spans="1:15" x14ac:dyDescent="0.2">
      <c r="A8" s="14" t="s">
        <v>151</v>
      </c>
      <c r="B8" s="2">
        <v>414</v>
      </c>
      <c r="C8" s="2">
        <v>547</v>
      </c>
      <c r="D8" s="2">
        <v>765</v>
      </c>
      <c r="E8" s="2">
        <v>809</v>
      </c>
      <c r="F8" s="2">
        <v>757</v>
      </c>
    </row>
    <row r="9" spans="1:15" x14ac:dyDescent="0.2">
      <c r="A9" s="14" t="s">
        <v>146</v>
      </c>
      <c r="B9" s="2">
        <v>-133</v>
      </c>
      <c r="C9" s="2">
        <v>-218</v>
      </c>
      <c r="D9" s="2">
        <v>-44</v>
      </c>
      <c r="E9" s="2">
        <v>52</v>
      </c>
      <c r="F9" s="2">
        <v>757</v>
      </c>
    </row>
    <row r="10" spans="1:15" x14ac:dyDescent="0.2">
      <c r="A10" s="14" t="s">
        <v>147</v>
      </c>
      <c r="B10" s="2">
        <v>-20</v>
      </c>
      <c r="C10" s="2">
        <v>-72</v>
      </c>
      <c r="D10" s="2">
        <v>127</v>
      </c>
      <c r="E10" s="2">
        <v>179</v>
      </c>
      <c r="F10" s="2">
        <v>868</v>
      </c>
    </row>
    <row r="11" spans="1:15" x14ac:dyDescent="0.2">
      <c r="A11" s="14" t="s">
        <v>152</v>
      </c>
      <c r="B11" s="2">
        <v>1626</v>
      </c>
      <c r="C11" s="2">
        <v>1287</v>
      </c>
      <c r="D11" s="2">
        <v>1002</v>
      </c>
      <c r="E11" s="2">
        <v>939</v>
      </c>
      <c r="F11" s="2">
        <v>895</v>
      </c>
    </row>
    <row r="12" spans="1:15" x14ac:dyDescent="0.2">
      <c r="A12" s="14" t="s">
        <v>153</v>
      </c>
      <c r="B12" s="2">
        <v>4223</v>
      </c>
      <c r="C12" s="2">
        <v>3950</v>
      </c>
      <c r="D12" s="2">
        <v>3395</v>
      </c>
      <c r="E12" s="2">
        <v>3026</v>
      </c>
      <c r="F12" s="2">
        <v>2723</v>
      </c>
    </row>
    <row r="13" spans="1:15" x14ac:dyDescent="0.2">
      <c r="A13" s="14" t="s">
        <v>148</v>
      </c>
      <c r="B13" s="2">
        <v>-2597</v>
      </c>
      <c r="C13" s="2">
        <v>-2663</v>
      </c>
      <c r="D13" s="2">
        <v>-2393</v>
      </c>
      <c r="E13" s="2">
        <v>-2087</v>
      </c>
      <c r="F13" s="2">
        <v>-1828</v>
      </c>
    </row>
    <row r="14" spans="1:15" x14ac:dyDescent="0.2">
      <c r="A14" s="14" t="s">
        <v>149</v>
      </c>
      <c r="B14" s="2">
        <v>66</v>
      </c>
      <c r="C14" s="2">
        <v>-270</v>
      </c>
      <c r="D14" s="2">
        <v>-306</v>
      </c>
      <c r="E14" s="2">
        <v>-259</v>
      </c>
      <c r="F14" s="2">
        <v>-1828</v>
      </c>
    </row>
    <row r="15" spans="1:15" x14ac:dyDescent="0.2">
      <c r="A15" s="14" t="s">
        <v>154</v>
      </c>
      <c r="B15" s="2">
        <v>1261.8288</v>
      </c>
      <c r="C15" s="2">
        <v>418.41480000000001</v>
      </c>
      <c r="D15" s="2">
        <v>-209.22739999999999</v>
      </c>
      <c r="E15" s="2">
        <v>286.76839999999999</v>
      </c>
      <c r="F15" s="2">
        <v>822.36019999999996</v>
      </c>
    </row>
    <row r="16" spans="1:15" x14ac:dyDescent="0.2">
      <c r="A16" s="14"/>
    </row>
    <row r="17" spans="1:11" x14ac:dyDescent="0.2">
      <c r="A17" s="14" t="s">
        <v>179</v>
      </c>
      <c r="B17" s="27">
        <f>0.11977</f>
        <v>0.11977</v>
      </c>
    </row>
    <row r="19" spans="1:11" x14ac:dyDescent="0.2">
      <c r="A19" s="39" t="s">
        <v>191</v>
      </c>
      <c r="B19" s="39"/>
      <c r="C19" s="39"/>
      <c r="D19" s="39"/>
      <c r="E19" s="39"/>
      <c r="F19" s="39"/>
    </row>
    <row r="20" spans="1:11" x14ac:dyDescent="0.2">
      <c r="A20" s="14" t="s">
        <v>184</v>
      </c>
      <c r="B20" s="2">
        <v>2025</v>
      </c>
      <c r="C20" s="2">
        <v>2026</v>
      </c>
      <c r="D20" s="2">
        <v>2027</v>
      </c>
      <c r="E20" s="2">
        <v>2028</v>
      </c>
      <c r="F20" s="2">
        <v>2029</v>
      </c>
    </row>
    <row r="21" spans="1:11" x14ac:dyDescent="0.2">
      <c r="A21" s="15" t="s">
        <v>183</v>
      </c>
      <c r="B21" s="2">
        <f>B15*(1+0.5)</f>
        <v>1892.7431999999999</v>
      </c>
      <c r="C21" s="2">
        <f>B21*(1+0.35)</f>
        <v>2555.2033200000001</v>
      </c>
      <c r="D21" s="2">
        <f>C21*(1+0.25)</f>
        <v>3194.0041500000002</v>
      </c>
      <c r="E21" s="2">
        <f>D21*(1+0.15)</f>
        <v>3673.1047724999999</v>
      </c>
      <c r="F21" s="2">
        <f>E21*(1+0.12)</f>
        <v>4113.8773452000005</v>
      </c>
      <c r="G21" s="33" t="s">
        <v>193</v>
      </c>
      <c r="H21" s="33"/>
      <c r="I21" s="33"/>
      <c r="J21" s="33"/>
      <c r="K21" s="33"/>
    </row>
    <row r="22" spans="1:11" x14ac:dyDescent="0.2">
      <c r="A22" s="15" t="s">
        <v>180</v>
      </c>
      <c r="B22" s="2">
        <f>(B21/(1+$B$17))</f>
        <v>1690.2964001536029</v>
      </c>
      <c r="C22" s="2">
        <f>(C21/(1+$B$17)^2)</f>
        <v>2037.8293222781144</v>
      </c>
      <c r="D22" s="2">
        <f>(D21/(1+$B$17)^3)</f>
        <v>2274.8302355373362</v>
      </c>
      <c r="E22" s="2">
        <f>(E21/(1+$B$17)^4)</f>
        <v>2336.2429524526792</v>
      </c>
      <c r="F22" s="2">
        <f>(F21/(1+$B$17)^5)</f>
        <v>2336.7228151736531</v>
      </c>
    </row>
    <row r="23" spans="1:11" x14ac:dyDescent="0.2">
      <c r="A23" s="14" t="s">
        <v>188</v>
      </c>
      <c r="B23" s="14" t="s">
        <v>185</v>
      </c>
    </row>
    <row r="24" spans="1:11" x14ac:dyDescent="0.2">
      <c r="A24" s="15" t="s">
        <v>189</v>
      </c>
      <c r="B24" s="2">
        <f>((F21*(1+0.05))/(B17-0.05))</f>
        <v>61911.583953848363</v>
      </c>
    </row>
    <row r="25" spans="1:11" x14ac:dyDescent="0.2">
      <c r="A25" s="15" t="s">
        <v>187</v>
      </c>
      <c r="B25" s="2">
        <f>(B24/(1+B17)^5)</f>
        <v>35166.388934102557</v>
      </c>
    </row>
    <row r="26" spans="1:11" x14ac:dyDescent="0.2">
      <c r="A26" s="32" t="s">
        <v>190</v>
      </c>
      <c r="B26" s="31">
        <f>SUM(B22:F22)+B25</f>
        <v>45842.310659697941</v>
      </c>
    </row>
    <row r="27" spans="1:11" x14ac:dyDescent="0.2">
      <c r="A27" s="14"/>
    </row>
    <row r="28" spans="1:11" x14ac:dyDescent="0.2">
      <c r="A28" s="39" t="s">
        <v>196</v>
      </c>
      <c r="B28" s="39"/>
      <c r="C28" s="39"/>
      <c r="D28" s="39"/>
      <c r="E28" s="39"/>
      <c r="F28" s="39"/>
    </row>
    <row r="29" spans="1:11" x14ac:dyDescent="0.2">
      <c r="A29" s="14" t="s">
        <v>184</v>
      </c>
      <c r="B29" s="2">
        <v>2025</v>
      </c>
      <c r="C29" s="2">
        <v>2026</v>
      </c>
      <c r="D29" s="2">
        <v>2027</v>
      </c>
      <c r="E29" s="2">
        <v>2028</v>
      </c>
      <c r="F29" s="2">
        <v>2029</v>
      </c>
    </row>
    <row r="30" spans="1:11" x14ac:dyDescent="0.2">
      <c r="A30" s="15" t="s">
        <v>183</v>
      </c>
      <c r="B30" s="2">
        <f>$B$15*(1+0.7)</f>
        <v>2145.10896</v>
      </c>
      <c r="C30" s="2">
        <f>B30*(1+0.5)</f>
        <v>3217.6634400000003</v>
      </c>
      <c r="D30" s="2">
        <f>C30*(1+0.35)</f>
        <v>4343.8456440000009</v>
      </c>
      <c r="E30" s="2">
        <f>D30*(1+0.25)</f>
        <v>5429.8070550000011</v>
      </c>
      <c r="F30" s="2">
        <f>E30*(1+0.2)</f>
        <v>6515.7684660000014</v>
      </c>
      <c r="G30" s="33" t="s">
        <v>194</v>
      </c>
      <c r="H30" s="33"/>
      <c r="I30" s="33"/>
      <c r="J30" s="33"/>
      <c r="K30" s="33"/>
    </row>
    <row r="31" spans="1:11" x14ac:dyDescent="0.2">
      <c r="A31" s="14" t="s">
        <v>192</v>
      </c>
      <c r="B31" s="2">
        <f>(B30/(1+$B$17))</f>
        <v>1915.6692535074169</v>
      </c>
      <c r="C31" s="2">
        <f>(C30/(1+$B$17)^2)</f>
        <v>2566.1554428687368</v>
      </c>
      <c r="D31" s="2">
        <f>(D30/(1+$B$17)^3)</f>
        <v>3093.7691203307777</v>
      </c>
      <c r="E31" s="2">
        <f>(E30/(1+$B$17)^4)</f>
        <v>3453.5765384083093</v>
      </c>
      <c r="F31" s="2">
        <f>(F30/(1+$B$17)^5)</f>
        <v>3701.0206078837364</v>
      </c>
    </row>
    <row r="32" spans="1:11" x14ac:dyDescent="0.2">
      <c r="A32" s="14" t="s">
        <v>188</v>
      </c>
      <c r="B32" s="14" t="s">
        <v>185</v>
      </c>
    </row>
    <row r="33" spans="1:12" x14ac:dyDescent="0.2">
      <c r="A33" s="15" t="s">
        <v>189</v>
      </c>
      <c r="B33" s="2">
        <f>((F30*(1+0.07)/(B17-0.07)))</f>
        <v>140081.82155153711</v>
      </c>
    </row>
    <row r="34" spans="1:12" x14ac:dyDescent="0.2">
      <c r="A34" s="15" t="s">
        <v>187</v>
      </c>
      <c r="B34" s="2">
        <f>B33/(1+B17)^5</f>
        <v>79567.853133124343</v>
      </c>
    </row>
    <row r="35" spans="1:12" x14ac:dyDescent="0.2">
      <c r="A35" s="32" t="s">
        <v>195</v>
      </c>
      <c r="B35" s="31">
        <f>SUM(B31:F31)+B34</f>
        <v>94298.044096123325</v>
      </c>
    </row>
    <row r="37" spans="1:12" x14ac:dyDescent="0.2">
      <c r="A37" s="39" t="s">
        <v>197</v>
      </c>
      <c r="B37" s="39"/>
      <c r="C37" s="39"/>
      <c r="D37" s="39"/>
      <c r="E37" s="39"/>
      <c r="F37" s="39"/>
    </row>
    <row r="38" spans="1:12" x14ac:dyDescent="0.2">
      <c r="A38" s="14" t="s">
        <v>184</v>
      </c>
      <c r="B38" s="2">
        <v>2025</v>
      </c>
      <c r="C38" s="2">
        <v>2026</v>
      </c>
      <c r="D38" s="2">
        <v>2027</v>
      </c>
      <c r="E38" s="2">
        <v>2028</v>
      </c>
      <c r="F38" s="2">
        <v>2029</v>
      </c>
      <c r="L38"/>
    </row>
    <row r="39" spans="1:12" x14ac:dyDescent="0.2">
      <c r="A39" s="15" t="s">
        <v>183</v>
      </c>
      <c r="B39" s="2">
        <f>$B$15*(1+0.25)</f>
        <v>1577.2860000000001</v>
      </c>
      <c r="C39" s="2">
        <f>B39*(1+0.15)</f>
        <v>1813.8788999999999</v>
      </c>
      <c r="D39" s="2">
        <f>C39*(1+0.12)</f>
        <v>2031.5443680000001</v>
      </c>
      <c r="E39" s="2">
        <f>D39*(1+0.08)</f>
        <v>2194.0679174400002</v>
      </c>
      <c r="F39" s="2">
        <f>E39*(1+0.05)</f>
        <v>2303.7713133120005</v>
      </c>
      <c r="G39" s="33" t="s">
        <v>198</v>
      </c>
      <c r="H39" s="33"/>
      <c r="I39" s="33"/>
      <c r="J39" s="33"/>
      <c r="K39" s="33"/>
    </row>
    <row r="40" spans="1:12" x14ac:dyDescent="0.2">
      <c r="A40" s="14" t="s">
        <v>192</v>
      </c>
      <c r="B40" s="2">
        <f>(B39/(1+$B$17))</f>
        <v>1408.5803334613358</v>
      </c>
      <c r="C40" s="2">
        <f>(C39/(1+$B$17)^2)</f>
        <v>1446.6072349505132</v>
      </c>
      <c r="D40" s="2">
        <f>(D39/(1+$B$17)^3)</f>
        <v>1446.9043670973281</v>
      </c>
      <c r="E40" s="2">
        <f>(E39/(1+$B$17)^4)</f>
        <v>1395.5157902650672</v>
      </c>
      <c r="F40" s="2">
        <f>(F39/(1+$B$17)^5)</f>
        <v>1308.5647764972457</v>
      </c>
    </row>
    <row r="41" spans="1:12" x14ac:dyDescent="0.2">
      <c r="A41" s="14" t="s">
        <v>188</v>
      </c>
      <c r="B41" s="14" t="s">
        <v>185</v>
      </c>
    </row>
    <row r="42" spans="1:12" x14ac:dyDescent="0.2">
      <c r="A42" s="15" t="s">
        <v>189</v>
      </c>
      <c r="B42" s="2">
        <f>((F39*(1+0.04)/(B26-0.04)))</f>
        <v>5.2264474062163911E-2</v>
      </c>
    </row>
    <row r="43" spans="1:12" x14ac:dyDescent="0.2">
      <c r="A43" s="15" t="s">
        <v>187</v>
      </c>
      <c r="B43" s="2">
        <f>B42/(1+B26)^5</f>
        <v>2.5812300777677618E-25</v>
      </c>
    </row>
    <row r="44" spans="1:12" x14ac:dyDescent="0.2">
      <c r="A44" s="32" t="s">
        <v>195</v>
      </c>
      <c r="B44" s="31">
        <f>SUM(B40:F40)+B43</f>
        <v>7006.17250227149</v>
      </c>
    </row>
    <row r="47" spans="1:12" x14ac:dyDescent="0.2">
      <c r="A47" s="2" t="s">
        <v>210</v>
      </c>
    </row>
    <row r="49" spans="1:1" x14ac:dyDescent="0.2">
      <c r="A49" s="2" t="s">
        <v>211</v>
      </c>
    </row>
    <row r="51" spans="1:1" x14ac:dyDescent="0.2">
      <c r="A51" s="2" t="s">
        <v>212</v>
      </c>
    </row>
    <row r="53" spans="1:1" x14ac:dyDescent="0.2">
      <c r="A53" s="2" t="s">
        <v>213</v>
      </c>
    </row>
  </sheetData>
  <mergeCells count="8">
    <mergeCell ref="A37:F37"/>
    <mergeCell ref="A1:G1"/>
    <mergeCell ref="A2:F2"/>
    <mergeCell ref="I2:O2"/>
    <mergeCell ref="I3:O3"/>
    <mergeCell ref="I4:O4"/>
    <mergeCell ref="A19:F19"/>
    <mergeCell ref="A28:F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E11-D250-5045-9769-40CEA36D089C}">
  <dimension ref="A1:N28"/>
  <sheetViews>
    <sheetView tabSelected="1" workbookViewId="0">
      <selection activeCell="B4" sqref="B4:B8"/>
    </sheetView>
  </sheetViews>
  <sheetFormatPr baseColWidth="10" defaultRowHeight="16" x14ac:dyDescent="0.2"/>
  <cols>
    <col min="1" max="1" width="13.1640625" style="14" bestFit="1" customWidth="1"/>
    <col min="2" max="2" width="24" style="14" bestFit="1" customWidth="1"/>
    <col min="3" max="6" width="11" style="14" customWidth="1"/>
    <col min="7" max="16384" width="10.83203125" style="14"/>
  </cols>
  <sheetData>
    <row r="1" spans="1:13" ht="25" x14ac:dyDescent="0.25">
      <c r="A1" s="41" t="s">
        <v>214</v>
      </c>
      <c r="B1" s="41"/>
      <c r="C1" s="41"/>
      <c r="D1" s="41"/>
      <c r="E1" s="41"/>
      <c r="F1" s="41"/>
      <c r="G1" s="41"/>
      <c r="H1" s="41"/>
    </row>
    <row r="2" spans="1:13" ht="18" x14ac:dyDescent="0.2">
      <c r="B2" s="42" t="s">
        <v>199</v>
      </c>
      <c r="C2" s="42"/>
      <c r="D2" s="42"/>
      <c r="E2" s="42"/>
      <c r="F2" s="42"/>
      <c r="G2" s="42"/>
    </row>
    <row r="3" spans="1:13" x14ac:dyDescent="0.2">
      <c r="B3" s="19" t="s">
        <v>202</v>
      </c>
      <c r="C3" s="34">
        <f>0.03</f>
        <v>0.03</v>
      </c>
      <c r="D3" s="34">
        <f>0.04</f>
        <v>0.04</v>
      </c>
      <c r="E3" s="34">
        <f>0.05</f>
        <v>0.05</v>
      </c>
      <c r="F3" s="34">
        <f>0.06</f>
        <v>0.06</v>
      </c>
      <c r="G3" s="34">
        <f>0.07</f>
        <v>7.0000000000000007E-2</v>
      </c>
    </row>
    <row r="4" spans="1:13" x14ac:dyDescent="0.2">
      <c r="B4" s="34">
        <f>0.09</f>
        <v>0.09</v>
      </c>
      <c r="C4" s="14">
        <f>SUM(C15:G15)+(($C$26*(1+B4)/(B4-$C3)))/(1+B4)^5</f>
        <v>60202.247543669015</v>
      </c>
      <c r="D4" s="14">
        <f>SUM(C15:G15)+(($C$26*(1+$B4)/($B4-$D3)))/(1+$B4)^5</f>
        <v>69916.828965567824</v>
      </c>
      <c r="E4" s="14">
        <f>SUM(C15:G15)+(($C$26*(1+$B4)/($B4-$E3)))/(1+$B4)^5</f>
        <v>84488.70109841603</v>
      </c>
      <c r="F4" s="14">
        <f>SUM(C15:G15)+(($C$26*(1+$B4)/($B4-$F3)))/(1+$B4)^5</f>
        <v>108775.15465316302</v>
      </c>
      <c r="G4" s="14">
        <f>SUM(C15:G15)+(($C$26*(1+$B4)/($B4-$G3)))/(1+$B4)^5</f>
        <v>157348.0617626571</v>
      </c>
    </row>
    <row r="5" spans="1:13" x14ac:dyDescent="0.2">
      <c r="B5" s="34">
        <f>0.1</f>
        <v>0.1</v>
      </c>
      <c r="C5" s="14">
        <f>SUM(C17:G17)+(($C$26*(1+B5)/(B5-$C3)))/(1+B5)^5</f>
        <v>51435.770377389767</v>
      </c>
      <c r="D5" s="14">
        <f>SUM(C17:G17)+(($C$26*(1+C5)/(C5-D3)))/(1+C5)^5</f>
        <v>11295.290656059256</v>
      </c>
      <c r="E5" s="14">
        <f>SUM(C17:G17)+(($C$26*(1+$B5)/($B5-$E3)))/(1+$B5)^5</f>
        <v>67491.96226592196</v>
      </c>
      <c r="F5" s="14">
        <f>SUM(C17:G17)+(($C$26*(1+$B5)/($B5-$F3)))/(1+$B5)^5</f>
        <v>81541.130168387623</v>
      </c>
      <c r="G5" s="14">
        <f>SUM(C17:G17)+(($C$26*(1+$B5)/($B5-$G3)))/(1+$B5)^5</f>
        <v>104956.41000583045</v>
      </c>
    </row>
    <row r="6" spans="1:13" x14ac:dyDescent="0.2">
      <c r="B6" s="34">
        <f>0.11</f>
        <v>0.11</v>
      </c>
      <c r="C6" s="14">
        <f>SUM(C19:G19)+(($C$26*(1+B6)/(B6-$C3)))/(1+B6)^5</f>
        <v>44849.666944247772</v>
      </c>
      <c r="D6" s="14">
        <f>SUM(C19:G19)+(($C$26*(1+C6)/(C6-D3)))/(1+C6)^5</f>
        <v>10975.43655528974</v>
      </c>
      <c r="E6" s="14">
        <f>SUM(C17:G17)+(($C$26*(1+$B6)/($B6-$E3)))/(1+$B6)^5</f>
        <v>56460.931174669982</v>
      </c>
      <c r="F6" s="14">
        <f>SUM(C19:G19)+(($C$26*(1+$B6)/($B6-$F3)))/(1+$B6)^5</f>
        <v>65174.2051776226</v>
      </c>
      <c r="G6" s="14">
        <f>SUM(C19:G19)+(($C$26*(1+$B6)/($B6-$G3)))/(1+$B6)^5</f>
        <v>78723.897333205823</v>
      </c>
    </row>
    <row r="7" spans="1:13" x14ac:dyDescent="0.2">
      <c r="B7" s="34">
        <f>0.12</f>
        <v>0.12</v>
      </c>
      <c r="C7" s="14">
        <f>SUM(C21:G21)+(($C$26*(1+B7)/(B7-$C3)))/(1+B7)^5</f>
        <v>39718.39115859216</v>
      </c>
      <c r="D7" s="14">
        <f>SUM(C21:G21)+(($C$26*(1+C7)/(C7-D3)))/(1+C7)^5</f>
        <v>10669.019767318017</v>
      </c>
      <c r="E7" s="14">
        <f>SUM(C21:G21)+(($C$26*(1+$B7)/($B7-$E3)))/(1+$B7)^5</f>
        <v>48018.211556099057</v>
      </c>
      <c r="F7" s="14">
        <f>SUM(C21:G21)+(($C$26*(1+$B7)/($B7-$F3)))/(1+$B7)^5</f>
        <v>54243.076854229228</v>
      </c>
      <c r="G7" s="14">
        <f>SUM(C21:G21)+(($C$26*(1+$B7)/($B7-$G3)))/(1+$B7)^5</f>
        <v>62957.888271611482</v>
      </c>
    </row>
    <row r="8" spans="1:13" x14ac:dyDescent="0.2">
      <c r="B8" s="34">
        <f>0.13</f>
        <v>0.13</v>
      </c>
      <c r="C8" s="14">
        <f>SUM(C23:G23)+(($C$26*(1+B8)/(B8-$C3)))/(1+B8)^5</f>
        <v>35606.51002434158</v>
      </c>
      <c r="D8" s="14">
        <f>SUM(C23:G23)+(($C$26*(1+C8)/(C8-D3)))/(1+C8)^5</f>
        <v>10375.329832470812</v>
      </c>
      <c r="E8" s="14">
        <f>SUM(C23:G23)+(($C$26*(1+$B8)/($B8-$E3)))/(1+$B8)^5</f>
        <v>41914.305072309275</v>
      </c>
      <c r="F8" s="14">
        <f>SUM(C21:G21)+(($C$26*(1+$B8)/($B8-$F3)))/(1+$B8)^5</f>
        <v>46713.56289856197</v>
      </c>
      <c r="G8" s="14">
        <f>SUM(C23:G23)+(($C$26*(1+$B8)/($B8-$G3)))/(1+$B8)^5</f>
        <v>52427.296818922099</v>
      </c>
    </row>
    <row r="12" spans="1:13" x14ac:dyDescent="0.2">
      <c r="B12" s="14" t="s">
        <v>154</v>
      </c>
      <c r="C12" s="14">
        <v>1261.8288</v>
      </c>
      <c r="D12" s="14">
        <v>418.41480000000001</v>
      </c>
      <c r="E12" s="14">
        <v>-209.22739999999999</v>
      </c>
      <c r="F12" s="14">
        <v>286.76839999999999</v>
      </c>
      <c r="G12" s="14">
        <v>822.36019999999996</v>
      </c>
    </row>
    <row r="13" spans="1:13" x14ac:dyDescent="0.2">
      <c r="B13" s="15" t="s">
        <v>183</v>
      </c>
      <c r="C13" s="2">
        <f>C12*(1+0.5)</f>
        <v>1892.7431999999999</v>
      </c>
      <c r="D13" s="2">
        <f>C13*(1+0.35)</f>
        <v>2555.2033200000001</v>
      </c>
      <c r="E13" s="2">
        <f>D13*(1+0.25)</f>
        <v>3194.0041500000002</v>
      </c>
      <c r="F13" s="2">
        <f>E13*(1+0.15)</f>
        <v>3673.1047724999999</v>
      </c>
      <c r="G13" s="2">
        <f>F13*(1+0.12)</f>
        <v>4113.8773452000005</v>
      </c>
      <c r="H13" s="33" t="s">
        <v>201</v>
      </c>
      <c r="I13" s="33"/>
      <c r="J13" s="33"/>
      <c r="K13" s="33"/>
      <c r="L13" s="33"/>
      <c r="M13" s="35"/>
    </row>
    <row r="15" spans="1:13" x14ac:dyDescent="0.2">
      <c r="A15" s="14" t="s">
        <v>204</v>
      </c>
      <c r="B15" s="14" t="s">
        <v>200</v>
      </c>
      <c r="C15" s="14">
        <f>C13/(1+0.09)</f>
        <v>1736.4616513761466</v>
      </c>
      <c r="D15" s="14">
        <f>D13/(1+0.09)^2</f>
        <v>2150.6635131722915</v>
      </c>
      <c r="E15" s="14">
        <f>E13/(1+0.09)^3</f>
        <v>2466.3572398764813</v>
      </c>
      <c r="F15" s="14">
        <f>F13/(1+0.09)^4</f>
        <v>2602.1200237228927</v>
      </c>
      <c r="G15" s="14">
        <f>G13/(1+0.09)^5</f>
        <v>2673.7380060271926</v>
      </c>
    </row>
    <row r="17" spans="1:14" x14ac:dyDescent="0.2">
      <c r="A17" s="14" t="s">
        <v>205</v>
      </c>
      <c r="B17" s="14" t="s">
        <v>200</v>
      </c>
      <c r="C17" s="14">
        <f>C13/(1+0.1)</f>
        <v>1720.6756363636362</v>
      </c>
      <c r="D17" s="14">
        <f>D13/(1+0.1)^2</f>
        <v>2111.7382809917353</v>
      </c>
      <c r="E17" s="14">
        <f>E13/(1+0.1)^3</f>
        <v>2399.7025920360625</v>
      </c>
      <c r="F17" s="14">
        <f>F13/(1+0.1)^4</f>
        <v>2508.7799825831562</v>
      </c>
      <c r="G17" s="14">
        <f>G13/(1+0.1)^5</f>
        <v>2554.3941640846683</v>
      </c>
      <c r="N17" s="15"/>
    </row>
    <row r="19" spans="1:14" x14ac:dyDescent="0.2">
      <c r="A19" s="14" t="s">
        <v>206</v>
      </c>
      <c r="B19" s="14" t="s">
        <v>200</v>
      </c>
      <c r="C19" s="14">
        <f>C13/(1+0.11)</f>
        <v>1705.1740540540538</v>
      </c>
      <c r="D19" s="14">
        <f>D13/(1+0.11)^2</f>
        <v>2073.8603360116872</v>
      </c>
      <c r="E19" s="14">
        <f>E13/(1+0.11)^3</f>
        <v>2335.4283063194675</v>
      </c>
      <c r="F19" s="14">
        <f>F13/(1+0.11)^4</f>
        <v>2419.5878849255741</v>
      </c>
      <c r="G19" s="14">
        <f>G13/(1+0.11)^5</f>
        <v>2441.3859739789577</v>
      </c>
    </row>
    <row r="21" spans="1:14" x14ac:dyDescent="0.2">
      <c r="A21" s="14" t="s">
        <v>207</v>
      </c>
      <c r="B21" s="14" t="s">
        <v>200</v>
      </c>
      <c r="C21" s="14">
        <f>C13/(1+$B$7)</f>
        <v>1689.9492857142855</v>
      </c>
      <c r="D21" s="14">
        <f>D13/(1+$B$7)^2</f>
        <v>2036.9924426020407</v>
      </c>
      <c r="E21" s="14">
        <f>E13/(1+$B$7)^3</f>
        <v>2273.4290654040628</v>
      </c>
      <c r="F21" s="14">
        <f>F13/(1+$B$7)^4</f>
        <v>2334.3244867988146</v>
      </c>
      <c r="G21" s="14">
        <f>G13/(1+$B$7)^5</f>
        <v>2334.3244867988146</v>
      </c>
    </row>
    <row r="22" spans="1:14" x14ac:dyDescent="0.2">
      <c r="N22" s="15"/>
    </row>
    <row r="23" spans="1:14" x14ac:dyDescent="0.2">
      <c r="A23" s="14" t="s">
        <v>208</v>
      </c>
      <c r="B23" s="14" t="s">
        <v>200</v>
      </c>
      <c r="C23" s="14">
        <f>C13/(1+$B$8)</f>
        <v>1674.9939823008849</v>
      </c>
      <c r="D23" s="14">
        <f>D13/(1+$B$8)^2</f>
        <v>2001.0990054037127</v>
      </c>
      <c r="E23" s="14">
        <f>E13/(1+$B$8)^3</f>
        <v>2213.6050944731337</v>
      </c>
      <c r="F23" s="14">
        <f>F13/(1+$B$8)^4</f>
        <v>2252.7839457027467</v>
      </c>
      <c r="G23" s="14">
        <f>G13/(1+$B$8)^5</f>
        <v>2232.8478045903339</v>
      </c>
    </row>
    <row r="26" spans="1:14" x14ac:dyDescent="0.2">
      <c r="B26" s="15" t="s">
        <v>203</v>
      </c>
      <c r="C26" s="14">
        <f>G13</f>
        <v>4113.8773452000005</v>
      </c>
      <c r="N26" s="15"/>
    </row>
    <row r="28" spans="1:14" x14ac:dyDescent="0.2">
      <c r="A28" s="2" t="s">
        <v>209</v>
      </c>
    </row>
  </sheetData>
  <mergeCells count="2">
    <mergeCell ref="B2:G2"/>
    <mergeCell ref="A1:H1"/>
  </mergeCells>
  <conditionalFormatting sqref="C4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SPOT IS</vt:lpstr>
      <vt:lpstr>SPOT BS</vt:lpstr>
      <vt:lpstr>SPOT CFS</vt:lpstr>
      <vt:lpstr>FCF Calculations</vt:lpstr>
      <vt:lpstr>WACC Calculations</vt:lpstr>
      <vt:lpstr>Scenario Analysis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Kuhu</dc:creator>
  <cp:lastModifiedBy>Mishra, Kuhu</cp:lastModifiedBy>
  <dcterms:created xsi:type="dcterms:W3CDTF">2025-03-25T16:38:02Z</dcterms:created>
  <dcterms:modified xsi:type="dcterms:W3CDTF">2025-04-06T06:12:36Z</dcterms:modified>
</cp:coreProperties>
</file>