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\Desktop\"/>
    </mc:Choice>
  </mc:AlternateContent>
  <bookViews>
    <workbookView xWindow="480" yWindow="60" windowWidth="26835" windowHeight="16440"/>
  </bookViews>
  <sheets>
    <sheet name="모델링97k_100%" sheetId="8" r:id="rId1"/>
    <sheet name="현실" sheetId="9" r:id="rId2"/>
  </sheets>
  <calcPr calcId="162913"/>
</workbook>
</file>

<file path=xl/calcChain.xml><?xml version="1.0" encoding="utf-8"?>
<calcChain xmlns="http://schemas.openxmlformats.org/spreadsheetml/2006/main">
  <c r="L28" i="9" l="1"/>
  <c r="L27" i="9"/>
  <c r="L26" i="9"/>
  <c r="L25" i="9"/>
  <c r="L24" i="9"/>
  <c r="L23" i="9"/>
  <c r="L22" i="9"/>
  <c r="L21" i="9"/>
  <c r="L20" i="9"/>
  <c r="L19" i="9"/>
  <c r="L18" i="9"/>
  <c r="D18" i="9"/>
  <c r="L17" i="9"/>
  <c r="L16" i="9"/>
  <c r="L15" i="9"/>
  <c r="L14" i="9"/>
  <c r="D14" i="9"/>
  <c r="L13" i="9"/>
  <c r="L12" i="9"/>
  <c r="L11" i="9"/>
  <c r="L10" i="9"/>
  <c r="D10" i="9"/>
  <c r="L9" i="9"/>
  <c r="L29" i="9" s="1"/>
  <c r="D9" i="9"/>
  <c r="G9" i="9" s="1"/>
  <c r="C6" i="9"/>
  <c r="O8" i="9" s="1"/>
  <c r="B6" i="9"/>
  <c r="D27" i="9" s="1"/>
  <c r="G18" i="9" l="1"/>
  <c r="G27" i="9"/>
  <c r="G10" i="9"/>
  <c r="F9" i="9"/>
  <c r="G14" i="9"/>
  <c r="D11" i="9"/>
  <c r="G11" i="9" s="1"/>
  <c r="D15" i="9"/>
  <c r="G15" i="9" s="1"/>
  <c r="D19" i="9"/>
  <c r="G19" i="9" s="1"/>
  <c r="D22" i="9"/>
  <c r="G22" i="9" s="1"/>
  <c r="D24" i="9"/>
  <c r="G24" i="9" s="1"/>
  <c r="D26" i="9"/>
  <c r="G26" i="9" s="1"/>
  <c r="D28" i="9"/>
  <c r="G28" i="9" s="1"/>
  <c r="K8" i="9"/>
  <c r="I6" i="9" s="1"/>
  <c r="D12" i="9"/>
  <c r="G12" i="9" s="1"/>
  <c r="D16" i="9"/>
  <c r="G16" i="9" s="1"/>
  <c r="D20" i="9"/>
  <c r="G20" i="9" s="1"/>
  <c r="D13" i="9"/>
  <c r="G13" i="9" s="1"/>
  <c r="D17" i="9"/>
  <c r="G17" i="9" s="1"/>
  <c r="D21" i="9"/>
  <c r="G21" i="9" s="1"/>
  <c r="D23" i="9"/>
  <c r="G23" i="9" s="1"/>
  <c r="D25" i="9"/>
  <c r="G25" i="9" s="1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E9" i="8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C6" i="8"/>
  <c r="O8" i="8" s="1"/>
  <c r="B6" i="8"/>
  <c r="D27" i="8" s="1"/>
  <c r="G29" i="9" l="1"/>
  <c r="F20" i="9"/>
  <c r="F22" i="9"/>
  <c r="M22" i="9"/>
  <c r="N22" i="9" s="1"/>
  <c r="O22" i="9" s="1"/>
  <c r="Q22" i="9" s="1"/>
  <c r="F21" i="9"/>
  <c r="M21" i="9"/>
  <c r="F16" i="9"/>
  <c r="F28" i="9"/>
  <c r="M28" i="9"/>
  <c r="N28" i="9" s="1"/>
  <c r="O28" i="9" s="1"/>
  <c r="Q28" i="9" s="1"/>
  <c r="F19" i="9"/>
  <c r="F12" i="9"/>
  <c r="F15" i="9"/>
  <c r="F14" i="9"/>
  <c r="F10" i="9"/>
  <c r="F27" i="9"/>
  <c r="M27" i="9"/>
  <c r="N27" i="9" s="1"/>
  <c r="O27" i="9" s="1"/>
  <c r="Q27" i="9" s="1"/>
  <c r="M23" i="9"/>
  <c r="N23" i="9" s="1"/>
  <c r="O23" i="9" s="1"/>
  <c r="Q23" i="9" s="1"/>
  <c r="F23" i="9"/>
  <c r="F17" i="9"/>
  <c r="F26" i="9"/>
  <c r="M26" i="9"/>
  <c r="N26" i="9" s="1"/>
  <c r="O26" i="9"/>
  <c r="Q26" i="9" s="1"/>
  <c r="M25" i="9"/>
  <c r="N25" i="9" s="1"/>
  <c r="O25" i="9" s="1"/>
  <c r="Q25" i="9" s="1"/>
  <c r="F25" i="9"/>
  <c r="F13" i="9"/>
  <c r="I20" i="9"/>
  <c r="I16" i="9"/>
  <c r="I12" i="9"/>
  <c r="I19" i="9"/>
  <c r="I15" i="9"/>
  <c r="I11" i="9"/>
  <c r="K9" i="9"/>
  <c r="I10" i="9"/>
  <c r="J9" i="9"/>
  <c r="I18" i="9"/>
  <c r="I14" i="9"/>
  <c r="I17" i="9"/>
  <c r="I13" i="9"/>
  <c r="F24" i="9"/>
  <c r="M24" i="9"/>
  <c r="N24" i="9" s="1"/>
  <c r="O24" i="9" s="1"/>
  <c r="Q24" i="9" s="1"/>
  <c r="F11" i="9"/>
  <c r="F18" i="9"/>
  <c r="K8" i="8"/>
  <c r="D28" i="8"/>
  <c r="G28" i="8" s="1"/>
  <c r="M28" i="8" s="1"/>
  <c r="N28" i="8" s="1"/>
  <c r="O28" i="8" s="1"/>
  <c r="Q28" i="8" s="1"/>
  <c r="D10" i="8"/>
  <c r="G10" i="8" s="1"/>
  <c r="F10" i="8" s="1"/>
  <c r="D23" i="8"/>
  <c r="G23" i="8" s="1"/>
  <c r="D14" i="8"/>
  <c r="G14" i="8" s="1"/>
  <c r="F14" i="8" s="1"/>
  <c r="D17" i="8"/>
  <c r="G17" i="8" s="1"/>
  <c r="F17" i="8" s="1"/>
  <c r="D13" i="8"/>
  <c r="G13" i="8" s="1"/>
  <c r="F13" i="8" s="1"/>
  <c r="D15" i="8"/>
  <c r="G15" i="8" s="1"/>
  <c r="D11" i="8"/>
  <c r="G11" i="8" s="1"/>
  <c r="D18" i="8"/>
  <c r="G18" i="8" s="1"/>
  <c r="F18" i="8" s="1"/>
  <c r="D24" i="8"/>
  <c r="G24" i="8" s="1"/>
  <c r="M24" i="8" s="1"/>
  <c r="N24" i="8" s="1"/>
  <c r="O24" i="8" s="1"/>
  <c r="Q24" i="8" s="1"/>
  <c r="G27" i="8"/>
  <c r="L29" i="8"/>
  <c r="D26" i="8"/>
  <c r="G26" i="8" s="1"/>
  <c r="D22" i="8"/>
  <c r="G22" i="8" s="1"/>
  <c r="D25" i="8"/>
  <c r="G25" i="8" s="1"/>
  <c r="D21" i="8"/>
  <c r="G21" i="8" s="1"/>
  <c r="D20" i="8"/>
  <c r="G20" i="8" s="1"/>
  <c r="D19" i="8"/>
  <c r="G19" i="8" s="1"/>
  <c r="D9" i="8"/>
  <c r="G9" i="8" s="1"/>
  <c r="D12" i="8"/>
  <c r="G12" i="8" s="1"/>
  <c r="D16" i="8"/>
  <c r="G16" i="8" s="1"/>
  <c r="H9" i="9" l="1"/>
  <c r="M29" i="9"/>
  <c r="N21" i="9"/>
  <c r="O21" i="9" s="1"/>
  <c r="Q21" i="9" s="1"/>
  <c r="I29" i="9"/>
  <c r="K10" i="9"/>
  <c r="J10" i="9"/>
  <c r="H10" i="9" s="1"/>
  <c r="N10" i="9" s="1"/>
  <c r="O10" i="9" s="1"/>
  <c r="Q10" i="9" s="1"/>
  <c r="I19" i="8"/>
  <c r="I10" i="8"/>
  <c r="I11" i="8"/>
  <c r="F28" i="8"/>
  <c r="I13" i="8"/>
  <c r="I15" i="8"/>
  <c r="I18" i="8"/>
  <c r="I12" i="8"/>
  <c r="I16" i="8"/>
  <c r="I14" i="8"/>
  <c r="I20" i="8"/>
  <c r="I6" i="8"/>
  <c r="I17" i="8"/>
  <c r="J9" i="8"/>
  <c r="H9" i="8" s="1"/>
  <c r="F24" i="8"/>
  <c r="F19" i="8"/>
  <c r="M22" i="8"/>
  <c r="N22" i="8" s="1"/>
  <c r="O22" i="8" s="1"/>
  <c r="Q22" i="8" s="1"/>
  <c r="F22" i="8"/>
  <c r="F23" i="8"/>
  <c r="M23" i="8"/>
  <c r="N23" i="8" s="1"/>
  <c r="O23" i="8" s="1"/>
  <c r="Q23" i="8" s="1"/>
  <c r="F11" i="8"/>
  <c r="F16" i="8"/>
  <c r="F20" i="8"/>
  <c r="M26" i="8"/>
  <c r="N26" i="8" s="1"/>
  <c r="O26" i="8" s="1"/>
  <c r="Q26" i="8" s="1"/>
  <c r="F26" i="8"/>
  <c r="F12" i="8"/>
  <c r="M21" i="8"/>
  <c r="F21" i="8"/>
  <c r="G29" i="8"/>
  <c r="F9" i="8"/>
  <c r="M25" i="8"/>
  <c r="N25" i="8" s="1"/>
  <c r="O25" i="8" s="1"/>
  <c r="Q25" i="8" s="1"/>
  <c r="F25" i="8"/>
  <c r="K9" i="8"/>
  <c r="F27" i="8"/>
  <c r="M27" i="8"/>
  <c r="N27" i="8" s="1"/>
  <c r="O27" i="8" s="1"/>
  <c r="Q27" i="8" s="1"/>
  <c r="F15" i="8"/>
  <c r="J11" i="9" l="1"/>
  <c r="H11" i="9" s="1"/>
  <c r="N11" i="9" s="1"/>
  <c r="O11" i="9" s="1"/>
  <c r="Q11" i="9" s="1"/>
  <c r="K11" i="9"/>
  <c r="N9" i="9"/>
  <c r="K10" i="8"/>
  <c r="K11" i="8" s="1"/>
  <c r="K12" i="8" s="1"/>
  <c r="I29" i="8"/>
  <c r="M29" i="8"/>
  <c r="N21" i="8"/>
  <c r="O21" i="8" s="1"/>
  <c r="Q21" i="8" s="1"/>
  <c r="J10" i="8"/>
  <c r="N9" i="8"/>
  <c r="O9" i="9" l="1"/>
  <c r="J12" i="9"/>
  <c r="H12" i="9" s="1"/>
  <c r="N12" i="9" s="1"/>
  <c r="O12" i="9" s="1"/>
  <c r="Q12" i="9" s="1"/>
  <c r="K12" i="9"/>
  <c r="J11" i="8"/>
  <c r="H11" i="8" s="1"/>
  <c r="N11" i="8" s="1"/>
  <c r="O11" i="8" s="1"/>
  <c r="Q11" i="8" s="1"/>
  <c r="O9" i="8"/>
  <c r="Q9" i="8" s="1"/>
  <c r="H10" i="8"/>
  <c r="K13" i="9" l="1"/>
  <c r="J13" i="9"/>
  <c r="H13" i="9" s="1"/>
  <c r="N13" i="9" s="1"/>
  <c r="O13" i="9" s="1"/>
  <c r="Q13" i="9" s="1"/>
  <c r="Q9" i="9"/>
  <c r="P9" i="9"/>
  <c r="P10" i="9" s="1"/>
  <c r="P11" i="9" s="1"/>
  <c r="P12" i="9" s="1"/>
  <c r="P13" i="9" s="1"/>
  <c r="N10" i="8"/>
  <c r="P9" i="8"/>
  <c r="J12" i="8"/>
  <c r="H12" i="8" s="1"/>
  <c r="N12" i="8" s="1"/>
  <c r="O12" i="8" s="1"/>
  <c r="Q12" i="8" s="1"/>
  <c r="K14" i="9" l="1"/>
  <c r="J14" i="9"/>
  <c r="H14" i="9" s="1"/>
  <c r="O10" i="8"/>
  <c r="Q10" i="8" s="1"/>
  <c r="K13" i="8"/>
  <c r="K14" i="8" s="1"/>
  <c r="K15" i="8" s="1"/>
  <c r="K16" i="8" s="1"/>
  <c r="K17" i="8" s="1"/>
  <c r="K18" i="8" s="1"/>
  <c r="K19" i="8" s="1"/>
  <c r="K20" i="8" s="1"/>
  <c r="J13" i="8"/>
  <c r="J15" i="9" l="1"/>
  <c r="H15" i="9" s="1"/>
  <c r="N15" i="9" s="1"/>
  <c r="O15" i="9" s="1"/>
  <c r="Q15" i="9" s="1"/>
  <c r="K15" i="9"/>
  <c r="N14" i="9"/>
  <c r="P10" i="8"/>
  <c r="P11" i="8" s="1"/>
  <c r="P12" i="8" s="1"/>
  <c r="H13" i="8"/>
  <c r="J14" i="8"/>
  <c r="H14" i="8" s="1"/>
  <c r="N14" i="8" s="1"/>
  <c r="O14" i="8" s="1"/>
  <c r="Q14" i="8" s="1"/>
  <c r="O14" i="9" l="1"/>
  <c r="K16" i="9"/>
  <c r="J16" i="9"/>
  <c r="H16" i="9" s="1"/>
  <c r="N16" i="9" s="1"/>
  <c r="O16" i="9" s="1"/>
  <c r="Q16" i="9" s="1"/>
  <c r="N13" i="8"/>
  <c r="J15" i="8"/>
  <c r="H15" i="8" s="1"/>
  <c r="N15" i="8" s="1"/>
  <c r="O15" i="8" s="1"/>
  <c r="Q15" i="8" s="1"/>
  <c r="K17" i="9" l="1"/>
  <c r="J17" i="9"/>
  <c r="H17" i="9" s="1"/>
  <c r="N17" i="9" s="1"/>
  <c r="O17" i="9" s="1"/>
  <c r="Q17" i="9" s="1"/>
  <c r="Q14" i="9"/>
  <c r="P14" i="9"/>
  <c r="P15" i="9" s="1"/>
  <c r="P16" i="9" s="1"/>
  <c r="P17" i="9" s="1"/>
  <c r="O13" i="8"/>
  <c r="Q13" i="8" s="1"/>
  <c r="J16" i="8"/>
  <c r="H16" i="8" s="1"/>
  <c r="N16" i="8" s="1"/>
  <c r="O16" i="8" s="1"/>
  <c r="Q16" i="8" s="1"/>
  <c r="K18" i="9" l="1"/>
  <c r="J18" i="9"/>
  <c r="H18" i="9" s="1"/>
  <c r="N18" i="9" s="1"/>
  <c r="O18" i="9" s="1"/>
  <c r="P13" i="8"/>
  <c r="P14" i="8" s="1"/>
  <c r="P15" i="8" s="1"/>
  <c r="P16" i="8" s="1"/>
  <c r="J17" i="8"/>
  <c r="H17" i="8" s="1"/>
  <c r="N17" i="8" s="1"/>
  <c r="O17" i="8" s="1"/>
  <c r="Q17" i="8" s="1"/>
  <c r="Q18" i="9" l="1"/>
  <c r="J19" i="9"/>
  <c r="H19" i="9" s="1"/>
  <c r="N19" i="9" s="1"/>
  <c r="O19" i="9" s="1"/>
  <c r="Q19" i="9" s="1"/>
  <c r="K19" i="9"/>
  <c r="P18" i="9"/>
  <c r="J18" i="8"/>
  <c r="H18" i="8" s="1"/>
  <c r="N18" i="8" s="1"/>
  <c r="O18" i="8" s="1"/>
  <c r="Q18" i="8" s="1"/>
  <c r="P17" i="8"/>
  <c r="P19" i="9" l="1"/>
  <c r="J20" i="9"/>
  <c r="K20" i="9"/>
  <c r="J19" i="8"/>
  <c r="H19" i="8" s="1"/>
  <c r="N19" i="8" s="1"/>
  <c r="O19" i="8" s="1"/>
  <c r="Q19" i="8" s="1"/>
  <c r="P18" i="8"/>
  <c r="H20" i="9" l="1"/>
  <c r="J29" i="9"/>
  <c r="J20" i="8"/>
  <c r="P19" i="8"/>
  <c r="N20" i="9" l="1"/>
  <c r="H29" i="9"/>
  <c r="H20" i="8"/>
  <c r="J29" i="8"/>
  <c r="O20" i="9" l="1"/>
  <c r="N29" i="9"/>
  <c r="N20" i="8"/>
  <c r="H29" i="8"/>
  <c r="Q20" i="9" l="1"/>
  <c r="P30" i="9"/>
  <c r="P29" i="9"/>
  <c r="N30" i="9" s="1"/>
  <c r="P20" i="9"/>
  <c r="P21" i="9" s="1"/>
  <c r="P22" i="9" s="1"/>
  <c r="P23" i="9" s="1"/>
  <c r="P24" i="9" s="1"/>
  <c r="P25" i="9" s="1"/>
  <c r="P26" i="9" s="1"/>
  <c r="P27" i="9" s="1"/>
  <c r="P28" i="9" s="1"/>
  <c r="O20" i="8"/>
  <c r="N29" i="8"/>
  <c r="P30" i="8" l="1"/>
  <c r="Q20" i="8"/>
  <c r="P29" i="8"/>
  <c r="N30" i="8" s="1"/>
  <c r="P20" i="8"/>
  <c r="P21" i="8" s="1"/>
  <c r="P22" i="8" s="1"/>
  <c r="P23" i="8" s="1"/>
  <c r="P24" i="8" s="1"/>
  <c r="P25" i="8" s="1"/>
  <c r="P26" i="8" s="1"/>
  <c r="P27" i="8" s="1"/>
  <c r="P28" i="8" s="1"/>
</calcChain>
</file>

<file path=xl/sharedStrings.xml><?xml version="1.0" encoding="utf-8"?>
<sst xmlns="http://schemas.openxmlformats.org/spreadsheetml/2006/main" count="92" uniqueCount="46">
  <si>
    <t>발전시간</t>
    <phoneticPr fontId="3" type="noConversion"/>
  </si>
  <si>
    <t>대출금리</t>
    <phoneticPr fontId="3" type="noConversion"/>
  </si>
  <si>
    <t>연차</t>
    <phoneticPr fontId="3" type="noConversion"/>
  </si>
  <si>
    <t>연생산량</t>
    <phoneticPr fontId="3" type="noConversion"/>
  </si>
  <si>
    <t>잔여원금</t>
    <phoneticPr fontId="3" type="noConversion"/>
  </si>
  <si>
    <t>전기,CCTV외</t>
    <phoneticPr fontId="3" type="noConversion"/>
  </si>
  <si>
    <t>세금및경비</t>
    <phoneticPr fontId="3" type="noConversion"/>
  </si>
  <si>
    <t>매출X5%</t>
    <phoneticPr fontId="3" type="noConversion"/>
  </si>
  <si>
    <t>REC매가(kW환산)</t>
    <phoneticPr fontId="3" type="noConversion"/>
  </si>
  <si>
    <t>월매출액</t>
    <phoneticPr fontId="3" type="noConversion"/>
  </si>
  <si>
    <t>발전소</t>
    <phoneticPr fontId="3" type="noConversion"/>
  </si>
  <si>
    <t>회수비용</t>
    <phoneticPr fontId="3" type="noConversion"/>
  </si>
  <si>
    <t>대출기간(연)</t>
    <phoneticPr fontId="3" type="noConversion"/>
  </si>
  <si>
    <t>대출금액</t>
    <phoneticPr fontId="3" type="noConversion"/>
  </si>
  <si>
    <t>직접부담비용</t>
    <phoneticPr fontId="3" type="noConversion"/>
  </si>
  <si>
    <t>지출경비(원금균등분할)</t>
    <phoneticPr fontId="3" type="noConversion"/>
  </si>
  <si>
    <t>원금이자</t>
    <phoneticPr fontId="3" type="noConversion"/>
  </si>
  <si>
    <t>상환원금</t>
    <phoneticPr fontId="3" type="noConversion"/>
  </si>
  <si>
    <t>연매출액(A)</t>
    <phoneticPr fontId="3" type="noConversion"/>
  </si>
  <si>
    <t>연상환금(B)</t>
    <phoneticPr fontId="3" type="noConversion"/>
  </si>
  <si>
    <t>(D)</t>
    <phoneticPr fontId="3" type="noConversion"/>
  </si>
  <si>
    <t>(A)-(E)</t>
    <phoneticPr fontId="3" type="noConversion"/>
  </si>
  <si>
    <t>(B)+(C)+(D)</t>
    <phoneticPr fontId="3" type="noConversion"/>
  </si>
  <si>
    <t>연평균지출총액(E)</t>
    <phoneticPr fontId="3" type="noConversion"/>
  </si>
  <si>
    <t>운영비용(C )</t>
    <phoneticPr fontId="3" type="noConversion"/>
  </si>
  <si>
    <t>용량(kWp)</t>
    <phoneticPr fontId="3" type="noConversion"/>
  </si>
  <si>
    <t>kWp</t>
    <phoneticPr fontId="3" type="noConversion"/>
  </si>
  <si>
    <t>설치단가</t>
    <phoneticPr fontId="3" type="noConversion"/>
  </si>
  <si>
    <t>연간SMP인상율</t>
    <phoneticPr fontId="3" type="noConversion"/>
  </si>
  <si>
    <t>효율저하분</t>
    <phoneticPr fontId="3" type="noConversion"/>
  </si>
  <si>
    <t>SMP기준(kW)</t>
    <phoneticPr fontId="3" type="noConversion"/>
  </si>
  <si>
    <t>SMP예가</t>
    <phoneticPr fontId="3" type="noConversion"/>
  </si>
  <si>
    <t>누계</t>
    <phoneticPr fontId="3" type="noConversion"/>
  </si>
  <si>
    <t>연간순회수금</t>
    <phoneticPr fontId="3" type="noConversion"/>
  </si>
  <si>
    <t>연간누적회수액</t>
    <phoneticPr fontId="3" type="noConversion"/>
  </si>
  <si>
    <t>총투자비(원)</t>
    <phoneticPr fontId="3" type="noConversion"/>
  </si>
  <si>
    <t>단위 : 원</t>
    <phoneticPr fontId="3" type="noConversion"/>
  </si>
  <si>
    <t>총순이익</t>
    <phoneticPr fontId="3" type="noConversion"/>
  </si>
  <si>
    <t>발전소용량</t>
    <phoneticPr fontId="3" type="noConversion"/>
  </si>
  <si>
    <t>원/kWp</t>
    <phoneticPr fontId="3" type="noConversion"/>
  </si>
  <si>
    <t xml:space="preserve">IRR(총투자비) </t>
    <phoneticPr fontId="3" type="noConversion"/>
  </si>
  <si>
    <t>ROE(자기자본)</t>
    <phoneticPr fontId="3" type="noConversion"/>
  </si>
  <si>
    <t>SMP</t>
    <phoneticPr fontId="3" type="noConversion"/>
  </si>
  <si>
    <t>REC</t>
    <phoneticPr fontId="3" type="noConversion"/>
  </si>
  <si>
    <t>전기 판매 단가</t>
    <phoneticPr fontId="3" type="noConversion"/>
  </si>
  <si>
    <t>RPS 매입단가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</si>
</sst>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76" formatCode="0.0%"/>
    <numFmt numFmtId="177" formatCode="_-* #,##0_-;\-* #,##0_-;_-* &quot;-&quot;??_-;_-@_-"/>
    <numFmt numFmtId="178" formatCode="#,##0_);[Red]\(#,##0\)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5" tint="-0.249977111117893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5"/>
      <name val="맑은 고딕"/>
      <family val="2"/>
      <charset val="129"/>
      <scheme val="minor"/>
    </font>
    <font>
      <sz val="11"/>
      <color theme="0" tint="-0.1499984740745262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/>
    <xf numFmtId="41" fontId="4" fillId="0" borderId="0" applyFont="0" applyFill="0" applyBorder="0" applyAlignment="0" applyProtection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41" fontId="0" fillId="0" borderId="7" xfId="1" applyFont="1" applyBorder="1">
      <alignment vertical="center"/>
    </xf>
    <xf numFmtId="41" fontId="0" fillId="0" borderId="8" xfId="1" applyFont="1" applyBorder="1">
      <alignment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41" fontId="0" fillId="0" borderId="8" xfId="0" applyNumberFormat="1" applyBorder="1">
      <alignment vertical="center"/>
    </xf>
    <xf numFmtId="176" fontId="0" fillId="0" borderId="8" xfId="0" applyNumberFormat="1" applyBorder="1">
      <alignment vertical="center"/>
    </xf>
    <xf numFmtId="41" fontId="0" fillId="0" borderId="9" xfId="0" applyNumberFormat="1" applyBorder="1">
      <alignment vertical="center"/>
    </xf>
    <xf numFmtId="0" fontId="0" fillId="0" borderId="10" xfId="0" applyBorder="1">
      <alignment vertical="center"/>
    </xf>
    <xf numFmtId="41" fontId="0" fillId="0" borderId="10" xfId="1" applyFont="1" applyBorder="1">
      <alignment vertical="center"/>
    </xf>
    <xf numFmtId="41" fontId="0" fillId="0" borderId="9" xfId="1" applyFon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>
      <alignment vertical="center"/>
    </xf>
    <xf numFmtId="176" fontId="0" fillId="0" borderId="12" xfId="0" applyNumberFormat="1" applyBorder="1">
      <alignment vertical="center"/>
    </xf>
    <xf numFmtId="41" fontId="0" fillId="0" borderId="12" xfId="1" applyFont="1" applyBorder="1">
      <alignment vertical="center"/>
    </xf>
    <xf numFmtId="0" fontId="0" fillId="0" borderId="12" xfId="0" applyBorder="1">
      <alignment vertical="center"/>
    </xf>
    <xf numFmtId="41" fontId="0" fillId="0" borderId="13" xfId="0" applyNumberFormat="1" applyBorder="1">
      <alignment vertical="center"/>
    </xf>
    <xf numFmtId="41" fontId="0" fillId="0" borderId="19" xfId="0" applyNumberFormat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41" fontId="0" fillId="0" borderId="14" xfId="1" applyFont="1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41" fontId="0" fillId="0" borderId="25" xfId="0" applyNumberFormat="1" applyBorder="1">
      <alignment vertical="center"/>
    </xf>
    <xf numFmtId="0" fontId="0" fillId="0" borderId="26" xfId="0" applyBorder="1">
      <alignment vertical="center"/>
    </xf>
    <xf numFmtId="0" fontId="0" fillId="0" borderId="2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>
      <alignment vertical="center"/>
    </xf>
    <xf numFmtId="41" fontId="0" fillId="5" borderId="16" xfId="0" applyNumberFormat="1" applyFill="1" applyBorder="1">
      <alignment vertical="center"/>
    </xf>
    <xf numFmtId="41" fontId="0" fillId="5" borderId="15" xfId="0" applyNumberFormat="1" applyFill="1" applyBorder="1">
      <alignment vertical="center"/>
    </xf>
    <xf numFmtId="0" fontId="0" fillId="5" borderId="21" xfId="0" applyFill="1" applyBorder="1">
      <alignment vertical="center"/>
    </xf>
    <xf numFmtId="41" fontId="5" fillId="5" borderId="15" xfId="0" applyNumberFormat="1" applyFont="1" applyFill="1" applyBorder="1">
      <alignment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41" fontId="0" fillId="3" borderId="11" xfId="1" applyFont="1" applyFill="1" applyBorder="1">
      <alignment vertical="center"/>
    </xf>
    <xf numFmtId="41" fontId="2" fillId="3" borderId="12" xfId="1" applyFont="1" applyFill="1" applyBorder="1">
      <alignment vertical="center"/>
    </xf>
    <xf numFmtId="0" fontId="0" fillId="3" borderId="12" xfId="0" applyFill="1" applyBorder="1">
      <alignment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9" fontId="2" fillId="2" borderId="11" xfId="1" applyNumberFormat="1" applyFont="1" applyFill="1" applyBorder="1" applyAlignment="1">
      <alignment horizontal="center" vertical="center"/>
    </xf>
    <xf numFmtId="41" fontId="0" fillId="2" borderId="12" xfId="1" applyFont="1" applyFill="1" applyBorder="1">
      <alignment vertical="center"/>
    </xf>
    <xf numFmtId="10" fontId="2" fillId="2" borderId="12" xfId="0" applyNumberFormat="1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41" fontId="0" fillId="0" borderId="8" xfId="1" applyNumberFormat="1" applyFont="1" applyBorder="1">
      <alignment vertical="center"/>
    </xf>
    <xf numFmtId="177" fontId="0" fillId="0" borderId="9" xfId="1" applyNumberFormat="1" applyFont="1" applyBorder="1">
      <alignment vertical="center"/>
    </xf>
    <xf numFmtId="41" fontId="7" fillId="0" borderId="8" xfId="1" applyFont="1" applyBorder="1">
      <alignment vertical="center"/>
    </xf>
    <xf numFmtId="41" fontId="7" fillId="0" borderId="12" xfId="1" applyFont="1" applyBorder="1">
      <alignment vertical="center"/>
    </xf>
    <xf numFmtId="41" fontId="6" fillId="5" borderId="17" xfId="0" applyNumberFormat="1" applyFont="1" applyFill="1" applyBorder="1">
      <alignment vertical="center"/>
    </xf>
    <xf numFmtId="41" fontId="0" fillId="5" borderId="30" xfId="0" applyNumberFormat="1" applyFill="1" applyBorder="1">
      <alignment vertical="center"/>
    </xf>
    <xf numFmtId="41" fontId="5" fillId="5" borderId="29" xfId="0" applyNumberFormat="1" applyFont="1" applyFill="1" applyBorder="1">
      <alignment vertical="center"/>
    </xf>
    <xf numFmtId="0" fontId="0" fillId="2" borderId="41" xfId="0" applyFill="1" applyBorder="1" applyAlignment="1">
      <alignment horizontal="right" vertical="center"/>
    </xf>
    <xf numFmtId="43" fontId="5" fillId="2" borderId="42" xfId="0" applyNumberFormat="1" applyFont="1" applyFill="1" applyBorder="1">
      <alignment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0" fillId="0" borderId="42" xfId="0" applyBorder="1">
      <alignment vertical="center"/>
    </xf>
    <xf numFmtId="41" fontId="5" fillId="3" borderId="48" xfId="1" applyFont="1" applyFill="1" applyBorder="1">
      <alignment vertical="center"/>
    </xf>
    <xf numFmtId="41" fontId="5" fillId="3" borderId="42" xfId="1" applyFont="1" applyFill="1" applyBorder="1">
      <alignment vertical="center"/>
    </xf>
    <xf numFmtId="0" fontId="0" fillId="3" borderId="13" xfId="0" applyFill="1" applyBorder="1" applyAlignment="1">
      <alignment horizontal="center" vertical="center"/>
    </xf>
    <xf numFmtId="41" fontId="6" fillId="5" borderId="29" xfId="0" applyNumberFormat="1" applyFont="1" applyFill="1" applyBorder="1">
      <alignment vertical="center"/>
    </xf>
    <xf numFmtId="41" fontId="8" fillId="5" borderId="30" xfId="0" applyNumberFormat="1" applyFont="1" applyFill="1" applyBorder="1" applyAlignment="1">
      <alignment horizontal="right" vertical="center"/>
    </xf>
    <xf numFmtId="0" fontId="0" fillId="0" borderId="47" xfId="0" applyBorder="1" applyAlignment="1">
      <alignment horizontal="right" vertical="center"/>
    </xf>
    <xf numFmtId="9" fontId="5" fillId="3" borderId="43" xfId="0" applyNumberFormat="1" applyFont="1" applyFill="1" applyBorder="1" applyAlignment="1">
      <alignment horizontal="left" vertical="center"/>
    </xf>
    <xf numFmtId="0" fontId="0" fillId="0" borderId="41" xfId="0" applyBorder="1" applyAlignment="1">
      <alignment horizontal="right" vertical="center"/>
    </xf>
    <xf numFmtId="177" fontId="9" fillId="0" borderId="9" xfId="1" applyNumberFormat="1" applyFont="1" applyBorder="1">
      <alignment vertical="center"/>
    </xf>
    <xf numFmtId="41" fontId="5" fillId="5" borderId="10" xfId="0" applyNumberFormat="1" applyFont="1" applyFill="1" applyBorder="1">
      <alignment vertical="center"/>
    </xf>
    <xf numFmtId="41" fontId="5" fillId="5" borderId="14" xfId="0" applyNumberFormat="1" applyFont="1" applyFill="1" applyBorder="1">
      <alignment vertical="center"/>
    </xf>
    <xf numFmtId="9" fontId="0" fillId="0" borderId="0" xfId="0" applyNumberFormat="1">
      <alignment vertical="center"/>
    </xf>
    <xf numFmtId="41" fontId="0" fillId="0" borderId="24" xfId="0" applyNumberFormat="1" applyBorder="1">
      <alignment vertical="center"/>
    </xf>
    <xf numFmtId="41" fontId="10" fillId="0" borderId="24" xfId="0" applyNumberFormat="1" applyFont="1" applyBorder="1">
      <alignment vertical="center"/>
    </xf>
    <xf numFmtId="176" fontId="11" fillId="2" borderId="43" xfId="0" applyNumberFormat="1" applyFont="1" applyFill="1" applyBorder="1">
      <alignment vertical="center"/>
    </xf>
    <xf numFmtId="178" fontId="0" fillId="0" borderId="0" xfId="0" applyNumberFormat="1">
      <alignment vertical="center"/>
    </xf>
    <xf numFmtId="0" fontId="0" fillId="0" borderId="41" xfId="0" applyBorder="1" applyAlignment="1">
      <alignment horizontal="right" vertical="center"/>
    </xf>
    <xf numFmtId="0" fontId="0" fillId="0" borderId="41" xfId="0" applyBorder="1" applyAlignment="1">
      <alignment horizontal="right" vertical="center"/>
    </xf>
    <xf numFmtId="0" fontId="0" fillId="0" borderId="42" xfId="0" applyBorder="1" applyAlignment="1">
      <alignment horizontal="right" vertical="center"/>
    </xf>
    <xf numFmtId="0" fontId="0" fillId="6" borderId="44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</cellXfs>
  <cellStyles count="6">
    <cellStyle name="쉼표 [0]" xfId="1" builtinId="6"/>
    <cellStyle name="쉼표 [0] 2" xfId="3"/>
    <cellStyle name="쉼표 [0] 3" xfId="5"/>
    <cellStyle name="표준" xfId="0" builtinId="0"/>
    <cellStyle name="표준 2" xfId="2"/>
    <cellStyle name="표준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32"/>
  <sheetViews>
    <sheetView tabSelected="1" workbookViewId="0">
      <selection activeCell="H7" sqref="H7"/>
    </sheetView>
  </sheetViews>
  <sheetFormatPr defaultRowHeight="16.5"/>
  <cols>
    <col min="1" max="1" width="3.375" customWidth="1"/>
    <col min="2" max="2" width="10.375" bestFit="1" customWidth="1"/>
    <col min="3" max="3" width="13.75" customWidth="1"/>
    <col min="4" max="4" width="10.25" customWidth="1"/>
    <col min="5" max="5" width="8.25" customWidth="1"/>
    <col min="6" max="6" width="12.875" customWidth="1"/>
    <col min="7" max="7" width="16.5" customWidth="1"/>
    <col min="8" max="8" width="16.375" customWidth="1"/>
    <col min="9" max="9" width="14.125" customWidth="1"/>
    <col min="10" max="11" width="14" customWidth="1"/>
    <col min="12" max="12" width="14.125" customWidth="1"/>
    <col min="13" max="13" width="13" customWidth="1"/>
    <col min="14" max="14" width="16.875" customWidth="1"/>
    <col min="15" max="15" width="15.125" customWidth="1"/>
    <col min="16" max="16" width="16.875" customWidth="1"/>
    <col min="17" max="17" width="13.5" style="87" bestFit="1" customWidth="1"/>
  </cols>
  <sheetData>
    <row r="1" spans="2:17" ht="17.25" thickBot="1"/>
    <row r="2" spans="2:17" ht="17.25" thickBot="1">
      <c r="B2" s="77" t="s">
        <v>38</v>
      </c>
      <c r="C2" s="72">
        <v>99</v>
      </c>
      <c r="D2" s="69" t="s">
        <v>26</v>
      </c>
      <c r="E2" s="69"/>
      <c r="F2" s="69"/>
      <c r="G2" s="70"/>
    </row>
    <row r="3" spans="2:17" ht="17.25" thickBot="1">
      <c r="B3" s="79" t="s">
        <v>27</v>
      </c>
      <c r="C3" s="73">
        <v>2000000</v>
      </c>
      <c r="D3" s="71" t="s">
        <v>39</v>
      </c>
      <c r="E3" s="89" t="s">
        <v>28</v>
      </c>
      <c r="F3" s="90"/>
      <c r="G3" s="78">
        <v>0.05</v>
      </c>
      <c r="P3" t="s">
        <v>36</v>
      </c>
    </row>
    <row r="4" spans="2:17">
      <c r="B4" s="91" t="s">
        <v>10</v>
      </c>
      <c r="C4" s="92"/>
      <c r="D4" s="92"/>
      <c r="E4" s="92"/>
      <c r="F4" s="92"/>
      <c r="G4" s="93"/>
      <c r="H4" s="94" t="s">
        <v>15</v>
      </c>
      <c r="I4" s="95"/>
      <c r="J4" s="95"/>
      <c r="K4" s="95"/>
      <c r="L4" s="95"/>
      <c r="M4" s="95"/>
      <c r="N4" s="96"/>
      <c r="O4" s="95" t="s">
        <v>11</v>
      </c>
      <c r="P4" s="96"/>
    </row>
    <row r="5" spans="2:17">
      <c r="B5" s="36" t="s">
        <v>25</v>
      </c>
      <c r="C5" s="37" t="s">
        <v>35</v>
      </c>
      <c r="D5" s="37" t="s">
        <v>0</v>
      </c>
      <c r="E5" s="97" t="s">
        <v>30</v>
      </c>
      <c r="F5" s="98"/>
      <c r="G5" s="38" t="s">
        <v>8</v>
      </c>
      <c r="H5" s="44" t="s">
        <v>13</v>
      </c>
      <c r="I5" s="45" t="s">
        <v>14</v>
      </c>
      <c r="J5" s="45" t="s">
        <v>1</v>
      </c>
      <c r="K5" s="46" t="s">
        <v>12</v>
      </c>
      <c r="L5" s="99" t="s">
        <v>24</v>
      </c>
      <c r="M5" s="53" t="s">
        <v>6</v>
      </c>
      <c r="N5" s="101" t="s">
        <v>23</v>
      </c>
      <c r="O5" s="103" t="s">
        <v>33</v>
      </c>
      <c r="P5" s="105" t="s">
        <v>34</v>
      </c>
    </row>
    <row r="6" spans="2:17">
      <c r="B6" s="39">
        <f>+C2</f>
        <v>99</v>
      </c>
      <c r="C6" s="40">
        <f>+C2*C3</f>
        <v>198000000</v>
      </c>
      <c r="D6" s="41">
        <v>3.6</v>
      </c>
      <c r="E6" s="107">
        <v>130</v>
      </c>
      <c r="F6" s="108"/>
      <c r="G6" s="74">
        <v>230</v>
      </c>
      <c r="H6" s="47">
        <v>0.5</v>
      </c>
      <c r="I6" s="48">
        <f>+C6-K8</f>
        <v>99000000</v>
      </c>
      <c r="J6" s="49">
        <v>3.8300000000000001E-2</v>
      </c>
      <c r="K6" s="50">
        <v>11</v>
      </c>
      <c r="L6" s="100"/>
      <c r="M6" s="54" t="s">
        <v>7</v>
      </c>
      <c r="N6" s="102"/>
      <c r="O6" s="104"/>
      <c r="P6" s="106"/>
    </row>
    <row r="7" spans="2:17">
      <c r="B7" s="29" t="s">
        <v>2</v>
      </c>
      <c r="C7" s="42" t="s">
        <v>29</v>
      </c>
      <c r="D7" s="42" t="s">
        <v>3</v>
      </c>
      <c r="E7" s="42" t="s">
        <v>31</v>
      </c>
      <c r="F7" s="42" t="s">
        <v>9</v>
      </c>
      <c r="G7" s="43" t="s">
        <v>18</v>
      </c>
      <c r="H7" s="28" t="s">
        <v>19</v>
      </c>
      <c r="I7" s="51" t="s">
        <v>17</v>
      </c>
      <c r="J7" s="51" t="s">
        <v>16</v>
      </c>
      <c r="K7" s="52" t="s">
        <v>4</v>
      </c>
      <c r="L7" s="55" t="s">
        <v>5</v>
      </c>
      <c r="M7" s="56" t="s">
        <v>20</v>
      </c>
      <c r="N7" s="57" t="s">
        <v>22</v>
      </c>
      <c r="O7" s="58" t="s">
        <v>21</v>
      </c>
      <c r="P7" s="59"/>
    </row>
    <row r="8" spans="2:17">
      <c r="B8" s="26"/>
      <c r="C8" s="22"/>
      <c r="D8" s="22"/>
      <c r="E8" s="22"/>
      <c r="F8" s="22"/>
      <c r="G8" s="23"/>
      <c r="H8" s="21"/>
      <c r="I8" s="22"/>
      <c r="J8" s="22"/>
      <c r="K8" s="24">
        <f>+C6*H6</f>
        <v>99000000</v>
      </c>
      <c r="L8" s="21"/>
      <c r="M8" s="25"/>
      <c r="N8" s="23"/>
      <c r="O8" s="85">
        <f>-C6</f>
        <v>-198000000</v>
      </c>
      <c r="P8" s="84"/>
    </row>
    <row r="9" spans="2:17">
      <c r="B9" s="11">
        <v>1</v>
      </c>
      <c r="C9" s="6">
        <v>1</v>
      </c>
      <c r="D9" s="2">
        <f>+B$6*D$6*365</f>
        <v>130086.00000000001</v>
      </c>
      <c r="E9" s="60">
        <f>+E6</f>
        <v>130</v>
      </c>
      <c r="F9" s="2">
        <f>+G9/12</f>
        <v>3902580.0000000005</v>
      </c>
      <c r="G9" s="10">
        <f>+D9*(E$6+G$6)</f>
        <v>46830960.000000007</v>
      </c>
      <c r="H9" s="1">
        <f t="shared" ref="H9:H20" si="0">+I9+J9</f>
        <v>3791700</v>
      </c>
      <c r="I9" s="2"/>
      <c r="J9" s="2">
        <f t="shared" ref="J9:J20" si="1">+K8*$J$6</f>
        <v>3791700</v>
      </c>
      <c r="K9" s="17">
        <f t="shared" ref="K9:K20" si="2">+K8-I9</f>
        <v>99000000</v>
      </c>
      <c r="L9" s="1">
        <f>+C$2*30000</f>
        <v>2970000</v>
      </c>
      <c r="M9" s="8"/>
      <c r="N9" s="7">
        <f t="shared" ref="N9:N28" si="3">+H9+L9+M9</f>
        <v>6761700</v>
      </c>
      <c r="O9" s="81">
        <f>+G9-N9</f>
        <v>40069260.000000007</v>
      </c>
      <c r="P9" s="7">
        <f>+O9</f>
        <v>40069260.000000007</v>
      </c>
      <c r="Q9" s="87">
        <f>O9/12</f>
        <v>3339105.0000000005</v>
      </c>
    </row>
    <row r="10" spans="2:17">
      <c r="B10" s="11">
        <v>2</v>
      </c>
      <c r="C10" s="6">
        <v>0.995</v>
      </c>
      <c r="D10" s="2">
        <f>+(B$6*D$6*C10)*365</f>
        <v>129435.57000000002</v>
      </c>
      <c r="E10" s="60">
        <f t="shared" ref="E10:E28" si="4">+E9+(E9*G$3)</f>
        <v>136.5</v>
      </c>
      <c r="F10" s="2">
        <f t="shared" ref="F10:F28" si="5">+G10/12</f>
        <v>3953178.0337500009</v>
      </c>
      <c r="G10" s="61">
        <f>+D10*(E10+G$6)</f>
        <v>47438136.405000009</v>
      </c>
      <c r="H10" s="1">
        <f t="shared" si="0"/>
        <v>12791700</v>
      </c>
      <c r="I10" s="2">
        <f t="shared" ref="I10:I20" si="6">+$K$8/K$6</f>
        <v>9000000</v>
      </c>
      <c r="J10" s="2">
        <f t="shared" si="1"/>
        <v>3791700</v>
      </c>
      <c r="K10" s="17">
        <f t="shared" si="2"/>
        <v>90000000</v>
      </c>
      <c r="L10" s="1">
        <f t="shared" ref="L10:L28" si="7">+C$2*30000</f>
        <v>2970000</v>
      </c>
      <c r="M10" s="9"/>
      <c r="N10" s="7">
        <f t="shared" si="3"/>
        <v>15761700</v>
      </c>
      <c r="O10" s="81">
        <f>+G10-N10</f>
        <v>31676436.405000009</v>
      </c>
      <c r="P10" s="7">
        <f>+P9+O10</f>
        <v>71745696.405000016</v>
      </c>
      <c r="Q10" s="87">
        <f t="shared" ref="Q10:Q28" si="8">O10/12</f>
        <v>2639703.0337500009</v>
      </c>
    </row>
    <row r="11" spans="2:17">
      <c r="B11" s="11">
        <v>3</v>
      </c>
      <c r="C11" s="6">
        <v>0.99</v>
      </c>
      <c r="D11" s="2">
        <f t="shared" ref="D11:D28" si="9">+(B$6*D$6*C11)*365</f>
        <v>128785.14</v>
      </c>
      <c r="E11" s="60">
        <f t="shared" si="4"/>
        <v>143.32499999999999</v>
      </c>
      <c r="F11" s="2">
        <f t="shared" si="5"/>
        <v>4006559.3658750001</v>
      </c>
      <c r="G11" s="61">
        <f t="shared" ref="G11:G28" si="10">+D11*(E11+G$6)</f>
        <v>48078712.390500002</v>
      </c>
      <c r="H11" s="1">
        <f t="shared" si="0"/>
        <v>12447000</v>
      </c>
      <c r="I11" s="2">
        <f t="shared" si="6"/>
        <v>9000000</v>
      </c>
      <c r="J11" s="2">
        <f t="shared" si="1"/>
        <v>3447000</v>
      </c>
      <c r="K11" s="17">
        <f t="shared" si="2"/>
        <v>81000000</v>
      </c>
      <c r="L11" s="1">
        <f t="shared" si="7"/>
        <v>2970000</v>
      </c>
      <c r="M11" s="9"/>
      <c r="N11" s="7">
        <f t="shared" si="3"/>
        <v>15417000</v>
      </c>
      <c r="O11" s="81">
        <f t="shared" ref="O11:O28" si="11">+G11-N11</f>
        <v>32661712.390500002</v>
      </c>
      <c r="P11" s="7">
        <f>+P10+O11</f>
        <v>104407408.79550001</v>
      </c>
      <c r="Q11" s="87">
        <f t="shared" si="8"/>
        <v>2721809.3658750001</v>
      </c>
    </row>
    <row r="12" spans="2:17">
      <c r="B12" s="11">
        <v>4</v>
      </c>
      <c r="C12" s="6">
        <v>0.98499999999999999</v>
      </c>
      <c r="D12" s="2">
        <f t="shared" si="9"/>
        <v>128134.71</v>
      </c>
      <c r="E12" s="60">
        <f t="shared" si="4"/>
        <v>150.49124999999998</v>
      </c>
      <c r="F12" s="2">
        <f t="shared" si="5"/>
        <v>4062844.6646906249</v>
      </c>
      <c r="G12" s="61">
        <f t="shared" si="10"/>
        <v>48754135.976287499</v>
      </c>
      <c r="H12" s="1">
        <f t="shared" si="0"/>
        <v>12102300</v>
      </c>
      <c r="I12" s="2">
        <f t="shared" si="6"/>
        <v>9000000</v>
      </c>
      <c r="J12" s="2">
        <f t="shared" si="1"/>
        <v>3102300</v>
      </c>
      <c r="K12" s="17">
        <f t="shared" si="2"/>
        <v>72000000</v>
      </c>
      <c r="L12" s="1">
        <f t="shared" si="7"/>
        <v>2970000</v>
      </c>
      <c r="M12" s="9"/>
      <c r="N12" s="7">
        <f t="shared" si="3"/>
        <v>15072300</v>
      </c>
      <c r="O12" s="81">
        <f t="shared" si="11"/>
        <v>33681835.976287499</v>
      </c>
      <c r="P12" s="7">
        <f>+P11+O12</f>
        <v>138089244.77178752</v>
      </c>
      <c r="Q12" s="87">
        <f t="shared" si="8"/>
        <v>2806819.6646906249</v>
      </c>
    </row>
    <row r="13" spans="2:17">
      <c r="B13" s="11">
        <v>5</v>
      </c>
      <c r="C13" s="6">
        <v>0.98</v>
      </c>
      <c r="D13" s="2">
        <f t="shared" si="9"/>
        <v>127484.28000000001</v>
      </c>
      <c r="E13" s="60">
        <f t="shared" si="4"/>
        <v>158.01581249999998</v>
      </c>
      <c r="F13" s="2">
        <f t="shared" si="5"/>
        <v>4122159.707098125</v>
      </c>
      <c r="G13" s="61">
        <f t="shared" si="10"/>
        <v>49465916.485177502</v>
      </c>
      <c r="H13" s="1">
        <f t="shared" si="0"/>
        <v>11757600</v>
      </c>
      <c r="I13" s="2">
        <f t="shared" si="6"/>
        <v>9000000</v>
      </c>
      <c r="J13" s="2">
        <f t="shared" si="1"/>
        <v>2757600</v>
      </c>
      <c r="K13" s="17">
        <f t="shared" si="2"/>
        <v>63000000</v>
      </c>
      <c r="L13" s="1">
        <f t="shared" si="7"/>
        <v>2970000</v>
      </c>
      <c r="M13" s="9"/>
      <c r="N13" s="7">
        <f t="shared" si="3"/>
        <v>14727600</v>
      </c>
      <c r="O13" s="81">
        <f t="shared" si="11"/>
        <v>34738316.485177502</v>
      </c>
      <c r="P13" s="7">
        <f>+P12+O13</f>
        <v>172827561.25696504</v>
      </c>
      <c r="Q13" s="87">
        <f t="shared" si="8"/>
        <v>2894859.707098125</v>
      </c>
    </row>
    <row r="14" spans="2:17">
      <c r="B14" s="11">
        <v>6</v>
      </c>
      <c r="C14" s="6">
        <v>0.97499999999999998</v>
      </c>
      <c r="D14" s="2">
        <f t="shared" si="9"/>
        <v>126833.85</v>
      </c>
      <c r="E14" s="60">
        <f t="shared" si="4"/>
        <v>165.91660312499999</v>
      </c>
      <c r="F14" s="2">
        <f t="shared" si="5"/>
        <v>4184635.5877721482</v>
      </c>
      <c r="G14" s="61">
        <f t="shared" si="10"/>
        <v>50215627.05326578</v>
      </c>
      <c r="H14" s="1">
        <f t="shared" si="0"/>
        <v>11412900</v>
      </c>
      <c r="I14" s="2">
        <f t="shared" si="6"/>
        <v>9000000</v>
      </c>
      <c r="J14" s="2">
        <f t="shared" si="1"/>
        <v>2412900</v>
      </c>
      <c r="K14" s="17">
        <f t="shared" si="2"/>
        <v>54000000</v>
      </c>
      <c r="L14" s="1">
        <f t="shared" si="7"/>
        <v>2970000</v>
      </c>
      <c r="M14" s="9"/>
      <c r="N14" s="7">
        <f t="shared" si="3"/>
        <v>14382900</v>
      </c>
      <c r="O14" s="81">
        <f t="shared" si="11"/>
        <v>35832727.05326578</v>
      </c>
      <c r="P14" s="7">
        <f t="shared" ref="P14:P26" si="12">+P13+O14</f>
        <v>208660288.31023082</v>
      </c>
      <c r="Q14" s="87">
        <f t="shared" si="8"/>
        <v>2986060.5877721482</v>
      </c>
    </row>
    <row r="15" spans="2:17">
      <c r="B15" s="11">
        <v>7</v>
      </c>
      <c r="C15" s="6">
        <v>0.97</v>
      </c>
      <c r="D15" s="2">
        <f t="shared" si="9"/>
        <v>126183.42000000001</v>
      </c>
      <c r="E15" s="60">
        <f t="shared" si="4"/>
        <v>174.21243328124999</v>
      </c>
      <c r="F15" s="2">
        <f t="shared" si="5"/>
        <v>4250408.9364958294</v>
      </c>
      <c r="G15" s="61">
        <f t="shared" si="10"/>
        <v>51004907.237949952</v>
      </c>
      <c r="H15" s="1">
        <f t="shared" si="0"/>
        <v>11068200</v>
      </c>
      <c r="I15" s="2">
        <f t="shared" si="6"/>
        <v>9000000</v>
      </c>
      <c r="J15" s="2">
        <f t="shared" si="1"/>
        <v>2068200</v>
      </c>
      <c r="K15" s="17">
        <f t="shared" si="2"/>
        <v>45000000</v>
      </c>
      <c r="L15" s="1">
        <f t="shared" si="7"/>
        <v>2970000</v>
      </c>
      <c r="M15" s="9"/>
      <c r="N15" s="7">
        <f t="shared" si="3"/>
        <v>14038200</v>
      </c>
      <c r="O15" s="81">
        <f t="shared" si="11"/>
        <v>36966707.237949952</v>
      </c>
      <c r="P15" s="7">
        <f t="shared" si="12"/>
        <v>245626995.54818076</v>
      </c>
      <c r="Q15" s="87">
        <f t="shared" si="8"/>
        <v>3080558.9364958294</v>
      </c>
    </row>
    <row r="16" spans="2:17">
      <c r="B16" s="11">
        <v>8</v>
      </c>
      <c r="C16" s="6">
        <v>0.96499999999999997</v>
      </c>
      <c r="D16" s="2">
        <f t="shared" si="9"/>
        <v>125532.99000000002</v>
      </c>
      <c r="E16" s="60">
        <f t="shared" si="4"/>
        <v>182.92305494531249</v>
      </c>
      <c r="F16" s="2">
        <f t="shared" si="5"/>
        <v>4319622.1439349474</v>
      </c>
      <c r="G16" s="61">
        <f t="shared" si="10"/>
        <v>51835465.727219373</v>
      </c>
      <c r="H16" s="1">
        <f t="shared" si="0"/>
        <v>10723500</v>
      </c>
      <c r="I16" s="2">
        <f t="shared" si="6"/>
        <v>9000000</v>
      </c>
      <c r="J16" s="2">
        <f t="shared" si="1"/>
        <v>1723500</v>
      </c>
      <c r="K16" s="17">
        <f t="shared" si="2"/>
        <v>36000000</v>
      </c>
      <c r="L16" s="1">
        <f t="shared" si="7"/>
        <v>2970000</v>
      </c>
      <c r="M16" s="9"/>
      <c r="N16" s="7">
        <f t="shared" si="3"/>
        <v>13693500</v>
      </c>
      <c r="O16" s="81">
        <f t="shared" si="11"/>
        <v>38141965.727219373</v>
      </c>
      <c r="P16" s="7">
        <f t="shared" si="12"/>
        <v>283768961.27540016</v>
      </c>
      <c r="Q16" s="87">
        <f t="shared" si="8"/>
        <v>3178497.1439349479</v>
      </c>
    </row>
    <row r="17" spans="2:17">
      <c r="B17" s="11">
        <v>9</v>
      </c>
      <c r="C17" s="6">
        <v>0.96</v>
      </c>
      <c r="D17" s="2">
        <f t="shared" si="9"/>
        <v>124882.56</v>
      </c>
      <c r="E17" s="60">
        <f t="shared" si="4"/>
        <v>192.06920769257812</v>
      </c>
      <c r="F17" s="2">
        <f t="shared" si="5"/>
        <v>4392423.5961517375</v>
      </c>
      <c r="G17" s="61">
        <f t="shared" si="10"/>
        <v>52709083.15382085</v>
      </c>
      <c r="H17" s="1">
        <f t="shared" si="0"/>
        <v>10378800</v>
      </c>
      <c r="I17" s="2">
        <f t="shared" si="6"/>
        <v>9000000</v>
      </c>
      <c r="J17" s="2">
        <f t="shared" si="1"/>
        <v>1378800</v>
      </c>
      <c r="K17" s="17">
        <f t="shared" si="2"/>
        <v>27000000</v>
      </c>
      <c r="L17" s="1">
        <f t="shared" si="7"/>
        <v>2970000</v>
      </c>
      <c r="M17" s="9"/>
      <c r="N17" s="7">
        <f t="shared" si="3"/>
        <v>13348800</v>
      </c>
      <c r="O17" s="81">
        <f t="shared" si="11"/>
        <v>39360283.15382085</v>
      </c>
      <c r="P17" s="7">
        <f t="shared" si="12"/>
        <v>323129244.42922103</v>
      </c>
      <c r="Q17" s="87">
        <f t="shared" si="8"/>
        <v>3280023.5961517375</v>
      </c>
    </row>
    <row r="18" spans="2:17">
      <c r="B18" s="11">
        <v>10</v>
      </c>
      <c r="C18" s="6">
        <v>0.95499999999999996</v>
      </c>
      <c r="D18" s="2">
        <f t="shared" si="9"/>
        <v>124232.13</v>
      </c>
      <c r="E18" s="60">
        <f t="shared" si="4"/>
        <v>201.67266807720702</v>
      </c>
      <c r="F18" s="2">
        <f t="shared" si="5"/>
        <v>4468967.9181678696</v>
      </c>
      <c r="G18" s="61">
        <f t="shared" si="10"/>
        <v>53627615.018014438</v>
      </c>
      <c r="H18" s="1">
        <f t="shared" si="0"/>
        <v>10034100</v>
      </c>
      <c r="I18" s="2">
        <f t="shared" si="6"/>
        <v>9000000</v>
      </c>
      <c r="J18" s="2">
        <f t="shared" si="1"/>
        <v>1034100</v>
      </c>
      <c r="K18" s="17">
        <f t="shared" si="2"/>
        <v>18000000</v>
      </c>
      <c r="L18" s="1">
        <f t="shared" si="7"/>
        <v>2970000</v>
      </c>
      <c r="M18" s="9"/>
      <c r="N18" s="7">
        <f t="shared" si="3"/>
        <v>13004100</v>
      </c>
      <c r="O18" s="81">
        <f t="shared" si="11"/>
        <v>40623515.018014438</v>
      </c>
      <c r="P18" s="7">
        <f t="shared" si="12"/>
        <v>363752759.44723547</v>
      </c>
      <c r="Q18" s="87">
        <f t="shared" si="8"/>
        <v>3385292.91816787</v>
      </c>
    </row>
    <row r="19" spans="2:17">
      <c r="B19" s="11">
        <v>11</v>
      </c>
      <c r="C19" s="6">
        <v>0.95</v>
      </c>
      <c r="D19" s="2">
        <f t="shared" si="9"/>
        <v>123581.70000000001</v>
      </c>
      <c r="E19" s="60">
        <f t="shared" si="4"/>
        <v>211.75630148106737</v>
      </c>
      <c r="F19" s="2">
        <f t="shared" si="5"/>
        <v>4549416.2268952355</v>
      </c>
      <c r="G19" s="61">
        <f t="shared" si="10"/>
        <v>54592994.722742826</v>
      </c>
      <c r="H19" s="1">
        <f t="shared" si="0"/>
        <v>9689400</v>
      </c>
      <c r="I19" s="2">
        <f t="shared" si="6"/>
        <v>9000000</v>
      </c>
      <c r="J19" s="2">
        <f t="shared" si="1"/>
        <v>689400</v>
      </c>
      <c r="K19" s="17">
        <f t="shared" si="2"/>
        <v>9000000</v>
      </c>
      <c r="L19" s="1">
        <f t="shared" si="7"/>
        <v>2970000</v>
      </c>
      <c r="M19" s="9"/>
      <c r="N19" s="7">
        <f t="shared" si="3"/>
        <v>12659400</v>
      </c>
      <c r="O19" s="81">
        <f t="shared" si="11"/>
        <v>41933594.722742826</v>
      </c>
      <c r="P19" s="7">
        <f t="shared" si="12"/>
        <v>405686354.16997826</v>
      </c>
      <c r="Q19" s="87">
        <f t="shared" si="8"/>
        <v>3494466.2268952355</v>
      </c>
    </row>
    <row r="20" spans="2:17">
      <c r="B20" s="11">
        <v>12</v>
      </c>
      <c r="C20" s="6">
        <v>0.94499999999999995</v>
      </c>
      <c r="D20" s="2">
        <f t="shared" si="9"/>
        <v>122931.27</v>
      </c>
      <c r="E20" s="60">
        <f t="shared" si="4"/>
        <v>222.34411655512073</v>
      </c>
      <c r="F20" s="2">
        <f t="shared" si="5"/>
        <v>4633936.3937624181</v>
      </c>
      <c r="G20" s="61">
        <f t="shared" si="10"/>
        <v>55607236.725149021</v>
      </c>
      <c r="H20" s="1">
        <f t="shared" si="0"/>
        <v>9344700</v>
      </c>
      <c r="I20" s="2">
        <f t="shared" si="6"/>
        <v>9000000</v>
      </c>
      <c r="J20" s="2">
        <f t="shared" si="1"/>
        <v>344700</v>
      </c>
      <c r="K20" s="17">
        <f t="shared" si="2"/>
        <v>0</v>
      </c>
      <c r="L20" s="1">
        <f t="shared" si="7"/>
        <v>2970000</v>
      </c>
      <c r="M20" s="9"/>
      <c r="N20" s="7">
        <f t="shared" si="3"/>
        <v>12314700</v>
      </c>
      <c r="O20" s="81">
        <f t="shared" si="11"/>
        <v>43292536.725149021</v>
      </c>
      <c r="P20" s="7">
        <f t="shared" si="12"/>
        <v>448978890.8951273</v>
      </c>
      <c r="Q20" s="87">
        <f t="shared" si="8"/>
        <v>3607711.3937624185</v>
      </c>
    </row>
    <row r="21" spans="2:17">
      <c r="B21" s="11">
        <v>13</v>
      </c>
      <c r="C21" s="6">
        <v>0.94</v>
      </c>
      <c r="D21" s="2">
        <f t="shared" si="9"/>
        <v>122280.84000000001</v>
      </c>
      <c r="E21" s="60">
        <f t="shared" si="4"/>
        <v>233.46132238287677</v>
      </c>
      <c r="F21" s="62">
        <f t="shared" si="5"/>
        <v>4722703.3173740814</v>
      </c>
      <c r="G21" s="80">
        <f t="shared" si="10"/>
        <v>56672439.80848898</v>
      </c>
      <c r="H21" s="1"/>
      <c r="I21" s="2"/>
      <c r="J21" s="2"/>
      <c r="K21" s="17"/>
      <c r="L21" s="1">
        <f t="shared" si="7"/>
        <v>2970000</v>
      </c>
      <c r="M21" s="9">
        <f t="shared" ref="M21:M28" si="13">+G21*0.05</f>
        <v>2833621.9904244491</v>
      </c>
      <c r="N21" s="7">
        <f t="shared" si="3"/>
        <v>5803621.9904244486</v>
      </c>
      <c r="O21" s="81">
        <f t="shared" si="11"/>
        <v>50868817.818064533</v>
      </c>
      <c r="P21" s="7">
        <f t="shared" si="12"/>
        <v>499847708.71319181</v>
      </c>
      <c r="Q21" s="87">
        <f t="shared" si="8"/>
        <v>4239068.1515053781</v>
      </c>
    </row>
    <row r="22" spans="2:17">
      <c r="B22" s="11">
        <v>14</v>
      </c>
      <c r="C22" s="6">
        <v>0.93500000000000005</v>
      </c>
      <c r="D22" s="2">
        <f t="shared" si="9"/>
        <v>121630.41000000002</v>
      </c>
      <c r="E22" s="60">
        <f t="shared" si="4"/>
        <v>245.13438850202061</v>
      </c>
      <c r="F22" s="62">
        <f t="shared" si="5"/>
        <v>4815899.2065500049</v>
      </c>
      <c r="G22" s="80">
        <f t="shared" si="10"/>
        <v>57790790.478600062</v>
      </c>
      <c r="H22" s="4"/>
      <c r="I22" s="3"/>
      <c r="J22" s="3"/>
      <c r="K22" s="18"/>
      <c r="L22" s="1">
        <f t="shared" si="7"/>
        <v>2970000</v>
      </c>
      <c r="M22" s="9">
        <f t="shared" si="13"/>
        <v>2889539.5239300034</v>
      </c>
      <c r="N22" s="7">
        <f t="shared" si="3"/>
        <v>5859539.5239300039</v>
      </c>
      <c r="O22" s="81">
        <f t="shared" si="11"/>
        <v>51931250.954670057</v>
      </c>
      <c r="P22" s="7">
        <f t="shared" si="12"/>
        <v>551778959.66786182</v>
      </c>
      <c r="Q22" s="87">
        <f t="shared" si="8"/>
        <v>4327604.2462225044</v>
      </c>
    </row>
    <row r="23" spans="2:17">
      <c r="B23" s="11">
        <v>15</v>
      </c>
      <c r="C23" s="6">
        <v>0.93</v>
      </c>
      <c r="D23" s="2">
        <f t="shared" si="9"/>
        <v>120979.98000000003</v>
      </c>
      <c r="E23" s="60">
        <f t="shared" si="4"/>
        <v>257.39110792712165</v>
      </c>
      <c r="F23" s="62">
        <f t="shared" si="5"/>
        <v>4913713.8741000863</v>
      </c>
      <c r="G23" s="80">
        <f t="shared" si="10"/>
        <v>58964566.489201032</v>
      </c>
      <c r="H23" s="4"/>
      <c r="I23" s="3"/>
      <c r="J23" s="5"/>
      <c r="K23" s="18"/>
      <c r="L23" s="1">
        <f t="shared" si="7"/>
        <v>2970000</v>
      </c>
      <c r="M23" s="9">
        <f t="shared" si="13"/>
        <v>2948228.324460052</v>
      </c>
      <c r="N23" s="7">
        <f t="shared" si="3"/>
        <v>5918228.324460052</v>
      </c>
      <c r="O23" s="81">
        <f t="shared" si="11"/>
        <v>53046338.16474098</v>
      </c>
      <c r="P23" s="7">
        <f t="shared" si="12"/>
        <v>604825297.83260274</v>
      </c>
      <c r="Q23" s="87">
        <f t="shared" si="8"/>
        <v>4420528.1803950816</v>
      </c>
    </row>
    <row r="24" spans="2:17">
      <c r="B24" s="11">
        <v>16</v>
      </c>
      <c r="C24" s="6">
        <v>0.92500000000000004</v>
      </c>
      <c r="D24" s="2">
        <f t="shared" si="9"/>
        <v>120329.55000000003</v>
      </c>
      <c r="E24" s="60">
        <f t="shared" si="4"/>
        <v>270.26066332347773</v>
      </c>
      <c r="F24" s="62">
        <f t="shared" si="5"/>
        <v>5016345.0417012991</v>
      </c>
      <c r="G24" s="80">
        <f t="shared" si="10"/>
        <v>60196140.500415593</v>
      </c>
      <c r="H24" s="4"/>
      <c r="I24" s="3"/>
      <c r="J24" s="3"/>
      <c r="K24" s="18"/>
      <c r="L24" s="1">
        <f t="shared" si="7"/>
        <v>2970000</v>
      </c>
      <c r="M24" s="9">
        <f t="shared" si="13"/>
        <v>3009807.02502078</v>
      </c>
      <c r="N24" s="7">
        <f t="shared" si="3"/>
        <v>5979807.02502078</v>
      </c>
      <c r="O24" s="81">
        <f t="shared" si="11"/>
        <v>54216333.475394815</v>
      </c>
      <c r="P24" s="7">
        <f t="shared" si="12"/>
        <v>659041631.30799758</v>
      </c>
      <c r="Q24" s="87">
        <f t="shared" si="8"/>
        <v>4518027.7896162346</v>
      </c>
    </row>
    <row r="25" spans="2:17">
      <c r="B25" s="11">
        <v>17</v>
      </c>
      <c r="C25" s="6">
        <v>0.92</v>
      </c>
      <c r="D25" s="2">
        <f t="shared" si="9"/>
        <v>119679.12000000001</v>
      </c>
      <c r="E25" s="60">
        <f t="shared" si="4"/>
        <v>283.77369648965163</v>
      </c>
      <c r="F25" s="62">
        <f t="shared" si="5"/>
        <v>5123998.6562523842</v>
      </c>
      <c r="G25" s="80">
        <f t="shared" si="10"/>
        <v>61487983.87502861</v>
      </c>
      <c r="H25" s="4"/>
      <c r="I25" s="3"/>
      <c r="J25" s="3"/>
      <c r="K25" s="18"/>
      <c r="L25" s="1">
        <f t="shared" si="7"/>
        <v>2970000</v>
      </c>
      <c r="M25" s="9">
        <f t="shared" si="13"/>
        <v>3074399.1937514306</v>
      </c>
      <c r="N25" s="7">
        <f t="shared" si="3"/>
        <v>6044399.1937514301</v>
      </c>
      <c r="O25" s="81">
        <f t="shared" si="11"/>
        <v>55443584.681277178</v>
      </c>
      <c r="P25" s="7">
        <f t="shared" si="12"/>
        <v>714485215.98927474</v>
      </c>
      <c r="Q25" s="87">
        <f t="shared" si="8"/>
        <v>4620298.7234397652</v>
      </c>
    </row>
    <row r="26" spans="2:17">
      <c r="B26" s="11">
        <v>18</v>
      </c>
      <c r="C26" s="6">
        <v>0.91500000000000004</v>
      </c>
      <c r="D26" s="2">
        <f t="shared" si="9"/>
        <v>119028.69000000002</v>
      </c>
      <c r="E26" s="60">
        <f t="shared" si="4"/>
        <v>297.96238131413423</v>
      </c>
      <c r="F26" s="62">
        <f t="shared" si="5"/>
        <v>5236889.2180918241</v>
      </c>
      <c r="G26" s="80">
        <f t="shared" si="10"/>
        <v>62842670.617101893</v>
      </c>
      <c r="H26" s="4"/>
      <c r="I26" s="3"/>
      <c r="J26" s="3"/>
      <c r="K26" s="18"/>
      <c r="L26" s="1">
        <f t="shared" si="7"/>
        <v>2970000</v>
      </c>
      <c r="M26" s="9">
        <f t="shared" si="13"/>
        <v>3142133.530855095</v>
      </c>
      <c r="N26" s="7">
        <f t="shared" si="3"/>
        <v>6112133.530855095</v>
      </c>
      <c r="O26" s="81">
        <f t="shared" si="11"/>
        <v>56730537.086246796</v>
      </c>
      <c r="P26" s="7">
        <f t="shared" si="12"/>
        <v>771215753.07552159</v>
      </c>
      <c r="Q26" s="87">
        <f t="shared" si="8"/>
        <v>4727544.7571872333</v>
      </c>
    </row>
    <row r="27" spans="2:17">
      <c r="B27" s="11">
        <v>19</v>
      </c>
      <c r="C27" s="6">
        <v>0.91</v>
      </c>
      <c r="D27" s="2">
        <f t="shared" si="9"/>
        <v>118378.26000000002</v>
      </c>
      <c r="E27" s="60">
        <f t="shared" si="4"/>
        <v>312.86050037984097</v>
      </c>
      <c r="F27" s="62">
        <f t="shared" si="5"/>
        <v>5355240.1214745762</v>
      </c>
      <c r="G27" s="80">
        <f t="shared" si="10"/>
        <v>64262881.457694918</v>
      </c>
      <c r="H27" s="4"/>
      <c r="I27" s="3"/>
      <c r="J27" s="3"/>
      <c r="K27" s="18"/>
      <c r="L27" s="1">
        <f t="shared" si="7"/>
        <v>2970000</v>
      </c>
      <c r="M27" s="9">
        <f t="shared" si="13"/>
        <v>3213144.0728847459</v>
      </c>
      <c r="N27" s="7">
        <f t="shared" si="3"/>
        <v>6183144.0728847459</v>
      </c>
      <c r="O27" s="81">
        <f t="shared" si="11"/>
        <v>58079737.384810172</v>
      </c>
      <c r="P27" s="7">
        <f>+P26+O27</f>
        <v>829295490.4603318</v>
      </c>
      <c r="Q27" s="87">
        <f t="shared" si="8"/>
        <v>4839978.115400848</v>
      </c>
    </row>
    <row r="28" spans="2:17">
      <c r="B28" s="27">
        <v>20</v>
      </c>
      <c r="C28" s="13">
        <v>0.90500000000000003</v>
      </c>
      <c r="D28" s="14">
        <f t="shared" si="9"/>
        <v>117727.83000000002</v>
      </c>
      <c r="E28" s="60">
        <f t="shared" si="4"/>
        <v>328.50352539883301</v>
      </c>
      <c r="F28" s="63">
        <f t="shared" si="5"/>
        <v>5479284.0077128755</v>
      </c>
      <c r="G28" s="80">
        <f t="shared" si="10"/>
        <v>65751408.09255451</v>
      </c>
      <c r="H28" s="12"/>
      <c r="I28" s="15"/>
      <c r="J28" s="15"/>
      <c r="K28" s="19"/>
      <c r="L28" s="1">
        <f t="shared" si="7"/>
        <v>2970000</v>
      </c>
      <c r="M28" s="20">
        <f t="shared" si="13"/>
        <v>3287570.4046277255</v>
      </c>
      <c r="N28" s="16">
        <f t="shared" si="3"/>
        <v>6257570.4046277255</v>
      </c>
      <c r="O28" s="82">
        <f t="shared" si="11"/>
        <v>59493837.687926784</v>
      </c>
      <c r="P28" s="16">
        <f>+P27+O28</f>
        <v>888789328.14825857</v>
      </c>
      <c r="Q28" s="87">
        <f t="shared" si="8"/>
        <v>4957819.8073272323</v>
      </c>
    </row>
    <row r="29" spans="2:17" ht="17.25" thickBot="1">
      <c r="B29" s="30" t="s">
        <v>32</v>
      </c>
      <c r="C29" s="31"/>
      <c r="D29" s="31"/>
      <c r="E29" s="31"/>
      <c r="F29" s="32"/>
      <c r="G29" s="64">
        <f>SUM(G9:G28)</f>
        <v>1098129672.2142129</v>
      </c>
      <c r="H29" s="35">
        <f>SUM(H9:H28)</f>
        <v>125541900</v>
      </c>
      <c r="I29" s="32">
        <f>SUM(I9:I28)</f>
        <v>99000000</v>
      </c>
      <c r="J29" s="32">
        <f>SUM(J9:J28)</f>
        <v>26541900</v>
      </c>
      <c r="K29" s="34"/>
      <c r="L29" s="33">
        <f>SUM(L9:L28)</f>
        <v>59400000</v>
      </c>
      <c r="M29" s="65">
        <f>SUM(M9:M28)</f>
        <v>24398444.065954283</v>
      </c>
      <c r="N29" s="66">
        <f>SUM(N9:N28)</f>
        <v>209340344.06595427</v>
      </c>
      <c r="O29" s="76" t="s">
        <v>37</v>
      </c>
      <c r="P29" s="75">
        <f>SUM(O9:O28)</f>
        <v>888789328.14825857</v>
      </c>
    </row>
    <row r="30" spans="2:17" ht="17.25" thickBot="1">
      <c r="M30" s="67" t="s">
        <v>41</v>
      </c>
      <c r="N30" s="68">
        <f>+P29/I6</f>
        <v>8.9776699812955414</v>
      </c>
      <c r="O30" s="67" t="s">
        <v>40</v>
      </c>
      <c r="P30" s="86">
        <f>IRR(O8:O28)</f>
        <v>0.18529866029045516</v>
      </c>
    </row>
    <row r="31" spans="2:17">
      <c r="B31" t="s">
        <v>42</v>
      </c>
      <c r="C31" t="s">
        <v>44</v>
      </c>
      <c r="O31" s="83"/>
      <c r="P31" s="83"/>
    </row>
    <row r="32" spans="2:17">
      <c r="B32" t="s">
        <v>43</v>
      </c>
      <c r="C32" t="s">
        <v>45</v>
      </c>
    </row>
  </sheetData>
  <mergeCells count="10">
    <mergeCell ref="E3:F3"/>
    <mergeCell ref="B4:G4"/>
    <mergeCell ref="H4:N4"/>
    <mergeCell ref="O4:P4"/>
    <mergeCell ref="E5:F5"/>
    <mergeCell ref="L5:L6"/>
    <mergeCell ref="N5:N6"/>
    <mergeCell ref="O5:O6"/>
    <mergeCell ref="P5:P6"/>
    <mergeCell ref="E6:F6"/>
  </mergeCells>
  <phoneticPr fontId="3" type="noConversion"/>
  <pageMargins left="0.23622047244094491" right="0.23622047244094491" top="1.9685039370078741" bottom="0.74803149606299213" header="0.31496062992125984" footer="0.31496062992125984"/>
  <pageSetup paperSize="9"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32"/>
  <sheetViews>
    <sheetView workbookViewId="0">
      <selection activeCell="H24" sqref="H24"/>
    </sheetView>
  </sheetViews>
  <sheetFormatPr defaultRowHeight="16.5"/>
  <cols>
    <col min="1" max="1" width="3.375" customWidth="1"/>
    <col min="2" max="2" width="10.375" bestFit="1" customWidth="1"/>
    <col min="3" max="3" width="13.75" customWidth="1"/>
    <col min="4" max="4" width="10.25" customWidth="1"/>
    <col min="5" max="5" width="8.25" customWidth="1"/>
    <col min="6" max="6" width="12.875" customWidth="1"/>
    <col min="7" max="7" width="16.5" customWidth="1"/>
    <col min="8" max="8" width="16.375" customWidth="1"/>
    <col min="9" max="9" width="14.125" customWidth="1"/>
    <col min="10" max="11" width="14" customWidth="1"/>
    <col min="12" max="12" width="14.125" customWidth="1"/>
    <col min="13" max="13" width="13" customWidth="1"/>
    <col min="14" max="14" width="16.875" customWidth="1"/>
    <col min="15" max="15" width="15.125" customWidth="1"/>
    <col min="16" max="16" width="16.875" customWidth="1"/>
    <col min="17" max="17" width="13.5" style="87" bestFit="1" customWidth="1"/>
  </cols>
  <sheetData>
    <row r="1" spans="2:17" ht="17.25" thickBot="1"/>
    <row r="2" spans="2:17" ht="17.25" thickBot="1">
      <c r="B2" s="77" t="s">
        <v>38</v>
      </c>
      <c r="C2" s="72">
        <v>99</v>
      </c>
      <c r="D2" s="69" t="s">
        <v>26</v>
      </c>
      <c r="E2" s="69"/>
      <c r="F2" s="69"/>
      <c r="G2" s="70"/>
    </row>
    <row r="3" spans="2:17" ht="17.25" thickBot="1">
      <c r="B3" s="88" t="s">
        <v>27</v>
      </c>
      <c r="C3" s="73">
        <v>2300000</v>
      </c>
      <c r="D3" s="71" t="s">
        <v>39</v>
      </c>
      <c r="E3" s="89" t="s">
        <v>28</v>
      </c>
      <c r="F3" s="90"/>
      <c r="G3" s="78">
        <v>0.01</v>
      </c>
      <c r="P3" t="s">
        <v>36</v>
      </c>
    </row>
    <row r="4" spans="2:17">
      <c r="B4" s="91" t="s">
        <v>10</v>
      </c>
      <c r="C4" s="92"/>
      <c r="D4" s="92"/>
      <c r="E4" s="92"/>
      <c r="F4" s="92"/>
      <c r="G4" s="93"/>
      <c r="H4" s="94" t="s">
        <v>15</v>
      </c>
      <c r="I4" s="95"/>
      <c r="J4" s="95"/>
      <c r="K4" s="95"/>
      <c r="L4" s="95"/>
      <c r="M4" s="95"/>
      <c r="N4" s="96"/>
      <c r="O4" s="95" t="s">
        <v>11</v>
      </c>
      <c r="P4" s="96"/>
    </row>
    <row r="5" spans="2:17">
      <c r="B5" s="36" t="s">
        <v>25</v>
      </c>
      <c r="C5" s="37" t="s">
        <v>35</v>
      </c>
      <c r="D5" s="37" t="s">
        <v>0</v>
      </c>
      <c r="E5" s="97" t="s">
        <v>30</v>
      </c>
      <c r="F5" s="98"/>
      <c r="G5" s="38" t="s">
        <v>8</v>
      </c>
      <c r="H5" s="44" t="s">
        <v>13</v>
      </c>
      <c r="I5" s="45" t="s">
        <v>14</v>
      </c>
      <c r="J5" s="45" t="s">
        <v>1</v>
      </c>
      <c r="K5" s="46" t="s">
        <v>12</v>
      </c>
      <c r="L5" s="99" t="s">
        <v>24</v>
      </c>
      <c r="M5" s="53" t="s">
        <v>6</v>
      </c>
      <c r="N5" s="101" t="s">
        <v>23</v>
      </c>
      <c r="O5" s="103" t="s">
        <v>33</v>
      </c>
      <c r="P5" s="105" t="s">
        <v>34</v>
      </c>
    </row>
    <row r="6" spans="2:17">
      <c r="B6" s="39">
        <f>+C2</f>
        <v>99</v>
      </c>
      <c r="C6" s="40">
        <f>+C2*C3</f>
        <v>227700000</v>
      </c>
      <c r="D6" s="41">
        <v>3.6</v>
      </c>
      <c r="E6" s="107">
        <v>130</v>
      </c>
      <c r="F6" s="108"/>
      <c r="G6" s="74">
        <v>230</v>
      </c>
      <c r="H6" s="47">
        <v>0.5</v>
      </c>
      <c r="I6" s="48">
        <f>+C6-K8</f>
        <v>113850000</v>
      </c>
      <c r="J6" s="49">
        <v>5.74E-2</v>
      </c>
      <c r="K6" s="50">
        <v>11</v>
      </c>
      <c r="L6" s="100"/>
      <c r="M6" s="54" t="s">
        <v>7</v>
      </c>
      <c r="N6" s="102"/>
      <c r="O6" s="104"/>
      <c r="P6" s="106"/>
    </row>
    <row r="7" spans="2:17">
      <c r="B7" s="29" t="s">
        <v>2</v>
      </c>
      <c r="C7" s="42" t="s">
        <v>29</v>
      </c>
      <c r="D7" s="42" t="s">
        <v>3</v>
      </c>
      <c r="E7" s="42" t="s">
        <v>31</v>
      </c>
      <c r="F7" s="42" t="s">
        <v>9</v>
      </c>
      <c r="G7" s="43" t="s">
        <v>18</v>
      </c>
      <c r="H7" s="28" t="s">
        <v>19</v>
      </c>
      <c r="I7" s="51" t="s">
        <v>17</v>
      </c>
      <c r="J7" s="51" t="s">
        <v>16</v>
      </c>
      <c r="K7" s="52" t="s">
        <v>4</v>
      </c>
      <c r="L7" s="55" t="s">
        <v>5</v>
      </c>
      <c r="M7" s="56" t="s">
        <v>20</v>
      </c>
      <c r="N7" s="57" t="s">
        <v>22</v>
      </c>
      <c r="O7" s="58" t="s">
        <v>21</v>
      </c>
      <c r="P7" s="59"/>
    </row>
    <row r="8" spans="2:17">
      <c r="B8" s="26"/>
      <c r="C8" s="22"/>
      <c r="D8" s="22"/>
      <c r="E8" s="22"/>
      <c r="F8" s="22"/>
      <c r="G8" s="23"/>
      <c r="H8" s="21"/>
      <c r="I8" s="22"/>
      <c r="J8" s="22"/>
      <c r="K8" s="24">
        <f>+C6*H6</f>
        <v>113850000</v>
      </c>
      <c r="L8" s="21"/>
      <c r="M8" s="25"/>
      <c r="N8" s="23"/>
      <c r="O8" s="85">
        <f>-C6</f>
        <v>-227700000</v>
      </c>
      <c r="P8" s="84"/>
    </row>
    <row r="9" spans="2:17">
      <c r="B9" s="11">
        <v>1</v>
      </c>
      <c r="C9" s="6">
        <v>1</v>
      </c>
      <c r="D9" s="2">
        <f>+B$6*D$6*365</f>
        <v>130086.00000000001</v>
      </c>
      <c r="E9" s="60">
        <v>158.96</v>
      </c>
      <c r="F9" s="2">
        <f>+G9/12</f>
        <v>3902580.0000000005</v>
      </c>
      <c r="G9" s="10">
        <f>+D9*(E$6+G$6)</f>
        <v>46830960.000000007</v>
      </c>
      <c r="H9" s="1">
        <f t="shared" ref="H9:H20" si="0">+I9+J9</f>
        <v>6534990</v>
      </c>
      <c r="I9" s="2"/>
      <c r="J9" s="2">
        <f t="shared" ref="J9:J20" si="1">+K8*$J$6</f>
        <v>6534990</v>
      </c>
      <c r="K9" s="17">
        <f t="shared" ref="K9:K20" si="2">+K8-I9</f>
        <v>113850000</v>
      </c>
      <c r="L9" s="1">
        <f>+C$2*30000</f>
        <v>2970000</v>
      </c>
      <c r="M9" s="8"/>
      <c r="N9" s="7">
        <f t="shared" ref="N9:N28" si="3">+H9+L9+M9</f>
        <v>9504990</v>
      </c>
      <c r="O9" s="81">
        <f>+G9-N9</f>
        <v>37325970.000000007</v>
      </c>
      <c r="P9" s="7">
        <f>+O9</f>
        <v>37325970.000000007</v>
      </c>
      <c r="Q9" s="87">
        <f>O9/12</f>
        <v>3110497.5000000005</v>
      </c>
    </row>
    <row r="10" spans="2:17">
      <c r="B10" s="11">
        <v>2</v>
      </c>
      <c r="C10" s="6">
        <v>0.99</v>
      </c>
      <c r="D10" s="2">
        <f>+(B$6*D$6*C10)*365</f>
        <v>128785.14</v>
      </c>
      <c r="E10" s="60">
        <v>158.96</v>
      </c>
      <c r="F10" s="2">
        <f t="shared" ref="F10:F28" si="4">+G10/12</f>
        <v>4174355.6712000002</v>
      </c>
      <c r="G10" s="61">
        <f>+D10*(E10+G$6)</f>
        <v>50092268.054400004</v>
      </c>
      <c r="H10" s="1">
        <f t="shared" si="0"/>
        <v>16884990</v>
      </c>
      <c r="I10" s="2">
        <f t="shared" ref="I10:I20" si="5">+$K$8/K$6</f>
        <v>10350000</v>
      </c>
      <c r="J10" s="2">
        <f t="shared" si="1"/>
        <v>6534990</v>
      </c>
      <c r="K10" s="17">
        <f t="shared" si="2"/>
        <v>103500000</v>
      </c>
      <c r="L10" s="1">
        <f t="shared" ref="L10:L28" si="6">+C$2*30000</f>
        <v>2970000</v>
      </c>
      <c r="M10" s="9"/>
      <c r="N10" s="7">
        <f t="shared" si="3"/>
        <v>19854990</v>
      </c>
      <c r="O10" s="81">
        <f>+G10-N10</f>
        <v>30237278.054400004</v>
      </c>
      <c r="P10" s="7">
        <f>+P9+O10</f>
        <v>67563248.054400012</v>
      </c>
      <c r="Q10" s="87">
        <f t="shared" ref="Q10:Q28" si="7">O10/12</f>
        <v>2519773.1712000002</v>
      </c>
    </row>
    <row r="11" spans="2:17">
      <c r="B11" s="11">
        <v>3</v>
      </c>
      <c r="C11" s="6">
        <v>0.98</v>
      </c>
      <c r="D11" s="2">
        <f t="shared" ref="D11:D28" si="8">+(B$6*D$6*C11)*365</f>
        <v>127484.28000000001</v>
      </c>
      <c r="E11" s="60">
        <v>158.96</v>
      </c>
      <c r="F11" s="2">
        <f t="shared" si="4"/>
        <v>4132190.4624000005</v>
      </c>
      <c r="G11" s="61">
        <f t="shared" ref="G11:G28" si="9">+D11*(E11+G$6)</f>
        <v>49586285.548800007</v>
      </c>
      <c r="H11" s="1">
        <f t="shared" si="0"/>
        <v>16290900</v>
      </c>
      <c r="I11" s="2">
        <f t="shared" si="5"/>
        <v>10350000</v>
      </c>
      <c r="J11" s="2">
        <f t="shared" si="1"/>
        <v>5940900</v>
      </c>
      <c r="K11" s="17">
        <f t="shared" si="2"/>
        <v>93150000</v>
      </c>
      <c r="L11" s="1">
        <f t="shared" si="6"/>
        <v>2970000</v>
      </c>
      <c r="M11" s="9"/>
      <c r="N11" s="7">
        <f t="shared" si="3"/>
        <v>19260900</v>
      </c>
      <c r="O11" s="81">
        <f t="shared" ref="O11:O28" si="10">+G11-N11</f>
        <v>30325385.548800007</v>
      </c>
      <c r="P11" s="7">
        <f>+P10+O11</f>
        <v>97888633.603200018</v>
      </c>
      <c r="Q11" s="87">
        <f t="shared" si="7"/>
        <v>2527115.4624000005</v>
      </c>
    </row>
    <row r="12" spans="2:17">
      <c r="B12" s="11">
        <v>4</v>
      </c>
      <c r="C12" s="6">
        <v>0.97</v>
      </c>
      <c r="D12" s="2">
        <f t="shared" si="8"/>
        <v>126183.42000000001</v>
      </c>
      <c r="E12" s="60">
        <v>158.96</v>
      </c>
      <c r="F12" s="2">
        <f t="shared" si="4"/>
        <v>4090025.2536000009</v>
      </c>
      <c r="G12" s="61">
        <f t="shared" si="9"/>
        <v>49080303.043200009</v>
      </c>
      <c r="H12" s="1">
        <f t="shared" si="0"/>
        <v>15696810</v>
      </c>
      <c r="I12" s="2">
        <f t="shared" si="5"/>
        <v>10350000</v>
      </c>
      <c r="J12" s="2">
        <f t="shared" si="1"/>
        <v>5346810</v>
      </c>
      <c r="K12" s="17">
        <f t="shared" si="2"/>
        <v>82800000</v>
      </c>
      <c r="L12" s="1">
        <f t="shared" si="6"/>
        <v>2970000</v>
      </c>
      <c r="M12" s="9"/>
      <c r="N12" s="7">
        <f t="shared" si="3"/>
        <v>18666810</v>
      </c>
      <c r="O12" s="81">
        <f t="shared" si="10"/>
        <v>30413493.043200009</v>
      </c>
      <c r="P12" s="7">
        <f>+P11+O12</f>
        <v>128302126.64640003</v>
      </c>
      <c r="Q12" s="87">
        <f t="shared" si="7"/>
        <v>2534457.7536000009</v>
      </c>
    </row>
    <row r="13" spans="2:17">
      <c r="B13" s="11">
        <v>5</v>
      </c>
      <c r="C13" s="6">
        <v>0.96</v>
      </c>
      <c r="D13" s="2">
        <f t="shared" si="8"/>
        <v>124882.56</v>
      </c>
      <c r="E13" s="60">
        <v>158.96</v>
      </c>
      <c r="F13" s="2">
        <f t="shared" si="4"/>
        <v>4047860.0448000003</v>
      </c>
      <c r="G13" s="61">
        <f t="shared" si="9"/>
        <v>48574320.537600003</v>
      </c>
      <c r="H13" s="1">
        <f t="shared" si="0"/>
        <v>15102720</v>
      </c>
      <c r="I13" s="2">
        <f t="shared" si="5"/>
        <v>10350000</v>
      </c>
      <c r="J13" s="2">
        <f t="shared" si="1"/>
        <v>4752720</v>
      </c>
      <c r="K13" s="17">
        <f t="shared" si="2"/>
        <v>72450000</v>
      </c>
      <c r="L13" s="1">
        <f t="shared" si="6"/>
        <v>2970000</v>
      </c>
      <c r="M13" s="9"/>
      <c r="N13" s="7">
        <f t="shared" si="3"/>
        <v>18072720</v>
      </c>
      <c r="O13" s="81">
        <f t="shared" si="10"/>
        <v>30501600.537600003</v>
      </c>
      <c r="P13" s="7">
        <f>+P12+O13</f>
        <v>158803727.18400005</v>
      </c>
      <c r="Q13" s="87">
        <f t="shared" si="7"/>
        <v>2541800.0448000003</v>
      </c>
    </row>
    <row r="14" spans="2:17">
      <c r="B14" s="11">
        <v>6</v>
      </c>
      <c r="C14" s="6">
        <v>0.95</v>
      </c>
      <c r="D14" s="2">
        <f t="shared" si="8"/>
        <v>123581.70000000001</v>
      </c>
      <c r="E14" s="60">
        <v>158.96</v>
      </c>
      <c r="F14" s="2">
        <f t="shared" si="4"/>
        <v>4005694.8360000011</v>
      </c>
      <c r="G14" s="61">
        <f t="shared" si="9"/>
        <v>48068338.032000013</v>
      </c>
      <c r="H14" s="1">
        <f t="shared" si="0"/>
        <v>14508630</v>
      </c>
      <c r="I14" s="2">
        <f t="shared" si="5"/>
        <v>10350000</v>
      </c>
      <c r="J14" s="2">
        <f t="shared" si="1"/>
        <v>4158630</v>
      </c>
      <c r="K14" s="17">
        <f t="shared" si="2"/>
        <v>62100000</v>
      </c>
      <c r="L14" s="1">
        <f t="shared" si="6"/>
        <v>2970000</v>
      </c>
      <c r="M14" s="9"/>
      <c r="N14" s="7">
        <f t="shared" si="3"/>
        <v>17478630</v>
      </c>
      <c r="O14" s="81">
        <f t="shared" si="10"/>
        <v>30589708.032000013</v>
      </c>
      <c r="P14" s="7">
        <f t="shared" ref="P14:P26" si="11">+P13+O14</f>
        <v>189393435.21600005</v>
      </c>
      <c r="Q14" s="87">
        <f t="shared" si="7"/>
        <v>2549142.3360000011</v>
      </c>
    </row>
    <row r="15" spans="2:17">
      <c r="B15" s="11">
        <v>7</v>
      </c>
      <c r="C15" s="6">
        <v>0.94</v>
      </c>
      <c r="D15" s="2">
        <f t="shared" si="8"/>
        <v>122280.84000000001</v>
      </c>
      <c r="E15" s="60">
        <v>158.96</v>
      </c>
      <c r="F15" s="2">
        <f t="shared" si="4"/>
        <v>3963529.6272000005</v>
      </c>
      <c r="G15" s="61">
        <f t="shared" si="9"/>
        <v>47562355.526400007</v>
      </c>
      <c r="H15" s="1">
        <f t="shared" si="0"/>
        <v>13914540</v>
      </c>
      <c r="I15" s="2">
        <f t="shared" si="5"/>
        <v>10350000</v>
      </c>
      <c r="J15" s="2">
        <f t="shared" si="1"/>
        <v>3564540</v>
      </c>
      <c r="K15" s="17">
        <f t="shared" si="2"/>
        <v>51750000</v>
      </c>
      <c r="L15" s="1">
        <f t="shared" si="6"/>
        <v>2970000</v>
      </c>
      <c r="M15" s="9"/>
      <c r="N15" s="7">
        <f t="shared" si="3"/>
        <v>16884540</v>
      </c>
      <c r="O15" s="81">
        <f t="shared" si="10"/>
        <v>30677815.526400007</v>
      </c>
      <c r="P15" s="7">
        <f t="shared" si="11"/>
        <v>220071250.74240005</v>
      </c>
      <c r="Q15" s="87">
        <f t="shared" si="7"/>
        <v>2556484.6272000005</v>
      </c>
    </row>
    <row r="16" spans="2:17">
      <c r="B16" s="11">
        <v>8</v>
      </c>
      <c r="C16" s="6">
        <v>0.93</v>
      </c>
      <c r="D16" s="2">
        <f t="shared" si="8"/>
        <v>120979.98000000003</v>
      </c>
      <c r="E16" s="60">
        <v>158.96</v>
      </c>
      <c r="F16" s="2">
        <f t="shared" si="4"/>
        <v>3921364.4184000012</v>
      </c>
      <c r="G16" s="61">
        <f t="shared" si="9"/>
        <v>47056373.020800017</v>
      </c>
      <c r="H16" s="1">
        <f t="shared" si="0"/>
        <v>13320450</v>
      </c>
      <c r="I16" s="2">
        <f t="shared" si="5"/>
        <v>10350000</v>
      </c>
      <c r="J16" s="2">
        <f t="shared" si="1"/>
        <v>2970450</v>
      </c>
      <c r="K16" s="17">
        <f t="shared" si="2"/>
        <v>41400000</v>
      </c>
      <c r="L16" s="1">
        <f t="shared" si="6"/>
        <v>2970000</v>
      </c>
      <c r="M16" s="9"/>
      <c r="N16" s="7">
        <f t="shared" si="3"/>
        <v>16290450</v>
      </c>
      <c r="O16" s="81">
        <f t="shared" si="10"/>
        <v>30765923.020800017</v>
      </c>
      <c r="P16" s="7">
        <f t="shared" si="11"/>
        <v>250837173.76320007</v>
      </c>
      <c r="Q16" s="87">
        <f t="shared" si="7"/>
        <v>2563826.9184000012</v>
      </c>
    </row>
    <row r="17" spans="2:17">
      <c r="B17" s="11">
        <v>9</v>
      </c>
      <c r="C17" s="6">
        <v>0.92</v>
      </c>
      <c r="D17" s="2">
        <f t="shared" si="8"/>
        <v>119679.12000000001</v>
      </c>
      <c r="E17" s="60">
        <v>158.96</v>
      </c>
      <c r="F17" s="2">
        <f t="shared" si="4"/>
        <v>3879199.2096000011</v>
      </c>
      <c r="G17" s="61">
        <f t="shared" si="9"/>
        <v>46550390.515200011</v>
      </c>
      <c r="H17" s="1">
        <f t="shared" si="0"/>
        <v>12726360</v>
      </c>
      <c r="I17" s="2">
        <f t="shared" si="5"/>
        <v>10350000</v>
      </c>
      <c r="J17" s="2">
        <f t="shared" si="1"/>
        <v>2376360</v>
      </c>
      <c r="K17" s="17">
        <f t="shared" si="2"/>
        <v>31050000</v>
      </c>
      <c r="L17" s="1">
        <f t="shared" si="6"/>
        <v>2970000</v>
      </c>
      <c r="M17" s="9"/>
      <c r="N17" s="7">
        <f t="shared" si="3"/>
        <v>15696360</v>
      </c>
      <c r="O17" s="81">
        <f t="shared" si="10"/>
        <v>30854030.515200011</v>
      </c>
      <c r="P17" s="7">
        <f t="shared" si="11"/>
        <v>281691204.27840006</v>
      </c>
      <c r="Q17" s="87">
        <f t="shared" si="7"/>
        <v>2571169.2096000011</v>
      </c>
    </row>
    <row r="18" spans="2:17">
      <c r="B18" s="11">
        <v>10</v>
      </c>
      <c r="C18" s="6">
        <v>0.91</v>
      </c>
      <c r="D18" s="2">
        <f t="shared" si="8"/>
        <v>118378.26000000002</v>
      </c>
      <c r="E18" s="60">
        <v>158.96</v>
      </c>
      <c r="F18" s="2">
        <f t="shared" si="4"/>
        <v>3837034.000800001</v>
      </c>
      <c r="G18" s="61">
        <f t="shared" si="9"/>
        <v>46044408.009600013</v>
      </c>
      <c r="H18" s="1">
        <f t="shared" si="0"/>
        <v>12132270</v>
      </c>
      <c r="I18" s="2">
        <f t="shared" si="5"/>
        <v>10350000</v>
      </c>
      <c r="J18" s="2">
        <f t="shared" si="1"/>
        <v>1782270</v>
      </c>
      <c r="K18" s="17">
        <f t="shared" si="2"/>
        <v>20700000</v>
      </c>
      <c r="L18" s="1">
        <f t="shared" si="6"/>
        <v>2970000</v>
      </c>
      <c r="M18" s="9"/>
      <c r="N18" s="7">
        <f t="shared" si="3"/>
        <v>15102270</v>
      </c>
      <c r="O18" s="81">
        <f t="shared" si="10"/>
        <v>30942138.009600013</v>
      </c>
      <c r="P18" s="7">
        <f t="shared" si="11"/>
        <v>312633342.28800011</v>
      </c>
      <c r="Q18" s="87">
        <f t="shared" si="7"/>
        <v>2578511.500800001</v>
      </c>
    </row>
    <row r="19" spans="2:17">
      <c r="B19" s="11">
        <v>11</v>
      </c>
      <c r="C19" s="6">
        <v>0.9</v>
      </c>
      <c r="D19" s="2">
        <f t="shared" si="8"/>
        <v>117077.40000000002</v>
      </c>
      <c r="E19" s="60">
        <v>158.96</v>
      </c>
      <c r="F19" s="2">
        <f t="shared" si="4"/>
        <v>3794868.7920000013</v>
      </c>
      <c r="G19" s="61">
        <f t="shared" si="9"/>
        <v>45538425.504000016</v>
      </c>
      <c r="H19" s="1">
        <f t="shared" si="0"/>
        <v>11538180</v>
      </c>
      <c r="I19" s="2">
        <f t="shared" si="5"/>
        <v>10350000</v>
      </c>
      <c r="J19" s="2">
        <f t="shared" si="1"/>
        <v>1188180</v>
      </c>
      <c r="K19" s="17">
        <f t="shared" si="2"/>
        <v>10350000</v>
      </c>
      <c r="L19" s="1">
        <f t="shared" si="6"/>
        <v>2970000</v>
      </c>
      <c r="M19" s="9"/>
      <c r="N19" s="7">
        <f t="shared" si="3"/>
        <v>14508180</v>
      </c>
      <c r="O19" s="81">
        <f t="shared" si="10"/>
        <v>31030245.504000016</v>
      </c>
      <c r="P19" s="7">
        <f t="shared" si="11"/>
        <v>343663587.79200011</v>
      </c>
      <c r="Q19" s="87">
        <f t="shared" si="7"/>
        <v>2585853.7920000013</v>
      </c>
    </row>
    <row r="20" spans="2:17">
      <c r="B20" s="11">
        <v>12</v>
      </c>
      <c r="C20" s="6">
        <v>0.89</v>
      </c>
      <c r="D20" s="2">
        <f t="shared" si="8"/>
        <v>115776.54000000001</v>
      </c>
      <c r="E20" s="60">
        <v>158.96</v>
      </c>
      <c r="F20" s="2">
        <f t="shared" si="4"/>
        <v>3752703.5832000007</v>
      </c>
      <c r="G20" s="61">
        <f t="shared" si="9"/>
        <v>45032442.99840001</v>
      </c>
      <c r="H20" s="1">
        <f t="shared" si="0"/>
        <v>10944090</v>
      </c>
      <c r="I20" s="2">
        <f t="shared" si="5"/>
        <v>10350000</v>
      </c>
      <c r="J20" s="2">
        <f t="shared" si="1"/>
        <v>594090</v>
      </c>
      <c r="K20" s="17">
        <f t="shared" si="2"/>
        <v>0</v>
      </c>
      <c r="L20" s="1">
        <f t="shared" si="6"/>
        <v>2970000</v>
      </c>
      <c r="M20" s="9"/>
      <c r="N20" s="7">
        <f t="shared" si="3"/>
        <v>13914090</v>
      </c>
      <c r="O20" s="81">
        <f t="shared" si="10"/>
        <v>31118352.99840001</v>
      </c>
      <c r="P20" s="7">
        <f t="shared" si="11"/>
        <v>374781940.79040015</v>
      </c>
      <c r="Q20" s="87">
        <f t="shared" si="7"/>
        <v>2593196.0832000007</v>
      </c>
    </row>
    <row r="21" spans="2:17">
      <c r="B21" s="11">
        <v>13</v>
      </c>
      <c r="C21" s="6">
        <v>0.88</v>
      </c>
      <c r="D21" s="2">
        <f t="shared" si="8"/>
        <v>114475.68000000001</v>
      </c>
      <c r="E21" s="60">
        <v>158.96</v>
      </c>
      <c r="F21" s="62">
        <f t="shared" si="4"/>
        <v>3710538.3744000006</v>
      </c>
      <c r="G21" s="80">
        <f t="shared" si="9"/>
        <v>44526460.492800005</v>
      </c>
      <c r="H21" s="1"/>
      <c r="I21" s="2"/>
      <c r="J21" s="2"/>
      <c r="K21" s="17"/>
      <c r="L21" s="1">
        <f t="shared" si="6"/>
        <v>2970000</v>
      </c>
      <c r="M21" s="9">
        <f t="shared" ref="M21:M28" si="12">+G21*0.05</f>
        <v>2226323.0246400004</v>
      </c>
      <c r="N21" s="7">
        <f t="shared" si="3"/>
        <v>5196323.0246400004</v>
      </c>
      <c r="O21" s="81">
        <f t="shared" si="10"/>
        <v>39330137.468160003</v>
      </c>
      <c r="P21" s="7">
        <f t="shared" si="11"/>
        <v>414112078.25856018</v>
      </c>
      <c r="Q21" s="87">
        <f t="shared" si="7"/>
        <v>3277511.4556800001</v>
      </c>
    </row>
    <row r="22" spans="2:17">
      <c r="B22" s="11">
        <v>14</v>
      </c>
      <c r="C22" s="6">
        <v>0.87</v>
      </c>
      <c r="D22" s="2">
        <f t="shared" si="8"/>
        <v>113174.82000000002</v>
      </c>
      <c r="E22" s="60">
        <v>158.96</v>
      </c>
      <c r="F22" s="62">
        <f t="shared" si="4"/>
        <v>3668373.1656000013</v>
      </c>
      <c r="G22" s="80">
        <f t="shared" si="9"/>
        <v>44020477.987200014</v>
      </c>
      <c r="H22" s="4"/>
      <c r="I22" s="3"/>
      <c r="J22" s="3"/>
      <c r="K22" s="18"/>
      <c r="L22" s="1">
        <f t="shared" si="6"/>
        <v>2970000</v>
      </c>
      <c r="M22" s="9">
        <f t="shared" si="12"/>
        <v>2201023.8993600006</v>
      </c>
      <c r="N22" s="7">
        <f t="shared" si="3"/>
        <v>5171023.8993600011</v>
      </c>
      <c r="O22" s="81">
        <f t="shared" si="10"/>
        <v>38849454.087840013</v>
      </c>
      <c r="P22" s="7">
        <f t="shared" si="11"/>
        <v>452961532.3464002</v>
      </c>
      <c r="Q22" s="87">
        <f t="shared" si="7"/>
        <v>3237454.5073200013</v>
      </c>
    </row>
    <row r="23" spans="2:17">
      <c r="B23" s="11">
        <v>15</v>
      </c>
      <c r="C23" s="6">
        <v>0.86</v>
      </c>
      <c r="D23" s="2">
        <f t="shared" si="8"/>
        <v>111873.96</v>
      </c>
      <c r="E23" s="60">
        <v>158.96</v>
      </c>
      <c r="F23" s="62">
        <f t="shared" si="4"/>
        <v>3626207.9568000007</v>
      </c>
      <c r="G23" s="80">
        <f t="shared" si="9"/>
        <v>43514495.481600009</v>
      </c>
      <c r="H23" s="4"/>
      <c r="I23" s="3"/>
      <c r="J23" s="5"/>
      <c r="K23" s="18"/>
      <c r="L23" s="1">
        <f t="shared" si="6"/>
        <v>2970000</v>
      </c>
      <c r="M23" s="9">
        <f t="shared" si="12"/>
        <v>2175724.7740800004</v>
      </c>
      <c r="N23" s="7">
        <f t="shared" si="3"/>
        <v>5145724.7740800008</v>
      </c>
      <c r="O23" s="81">
        <f t="shared" si="10"/>
        <v>38368770.707520008</v>
      </c>
      <c r="P23" s="7">
        <f t="shared" si="11"/>
        <v>491330303.05392021</v>
      </c>
      <c r="Q23" s="87">
        <f t="shared" si="7"/>
        <v>3197397.5589600005</v>
      </c>
    </row>
    <row r="24" spans="2:17">
      <c r="B24" s="11">
        <v>16</v>
      </c>
      <c r="C24" s="6">
        <v>0.85</v>
      </c>
      <c r="D24" s="2">
        <f t="shared" si="8"/>
        <v>110573.1</v>
      </c>
      <c r="E24" s="60">
        <v>158.96</v>
      </c>
      <c r="F24" s="62">
        <f t="shared" si="4"/>
        <v>3584042.7480000001</v>
      </c>
      <c r="G24" s="80">
        <f t="shared" si="9"/>
        <v>43008512.976000004</v>
      </c>
      <c r="H24" s="4"/>
      <c r="I24" s="3"/>
      <c r="J24" s="3"/>
      <c r="K24" s="18"/>
      <c r="L24" s="1">
        <f t="shared" si="6"/>
        <v>2970000</v>
      </c>
      <c r="M24" s="9">
        <f t="shared" si="12"/>
        <v>2150425.6488000001</v>
      </c>
      <c r="N24" s="7">
        <f t="shared" si="3"/>
        <v>5120425.6488000005</v>
      </c>
      <c r="O24" s="81">
        <f t="shared" si="10"/>
        <v>37888087.327200003</v>
      </c>
      <c r="P24" s="7">
        <f t="shared" si="11"/>
        <v>529218390.3811202</v>
      </c>
      <c r="Q24" s="87">
        <f t="shared" si="7"/>
        <v>3157340.6106000002</v>
      </c>
    </row>
    <row r="25" spans="2:17">
      <c r="B25" s="11">
        <v>17</v>
      </c>
      <c r="C25" s="6">
        <v>0.84</v>
      </c>
      <c r="D25" s="2">
        <f t="shared" si="8"/>
        <v>109272.24</v>
      </c>
      <c r="E25" s="60">
        <v>158.96</v>
      </c>
      <c r="F25" s="62">
        <f t="shared" si="4"/>
        <v>3541877.5392000005</v>
      </c>
      <c r="G25" s="80">
        <f t="shared" si="9"/>
        <v>42502530.470400006</v>
      </c>
      <c r="H25" s="4"/>
      <c r="I25" s="3"/>
      <c r="J25" s="3"/>
      <c r="K25" s="18"/>
      <c r="L25" s="1">
        <f t="shared" si="6"/>
        <v>2970000</v>
      </c>
      <c r="M25" s="9">
        <f t="shared" si="12"/>
        <v>2125126.5235200003</v>
      </c>
      <c r="N25" s="7">
        <f t="shared" si="3"/>
        <v>5095126.5235200003</v>
      </c>
      <c r="O25" s="81">
        <f t="shared" si="10"/>
        <v>37407403.946880005</v>
      </c>
      <c r="P25" s="7">
        <f t="shared" si="11"/>
        <v>566625794.32800019</v>
      </c>
      <c r="Q25" s="87">
        <f t="shared" si="7"/>
        <v>3117283.6622400004</v>
      </c>
    </row>
    <row r="26" spans="2:17">
      <c r="B26" s="11">
        <v>18</v>
      </c>
      <c r="C26" s="6">
        <v>0.83</v>
      </c>
      <c r="D26" s="2">
        <f t="shared" si="8"/>
        <v>107971.38</v>
      </c>
      <c r="E26" s="60">
        <v>158.96</v>
      </c>
      <c r="F26" s="62">
        <f t="shared" si="4"/>
        <v>3499712.3304000008</v>
      </c>
      <c r="G26" s="80">
        <f t="shared" si="9"/>
        <v>41996547.964800008</v>
      </c>
      <c r="H26" s="4"/>
      <c r="I26" s="3"/>
      <c r="J26" s="3"/>
      <c r="K26" s="18"/>
      <c r="L26" s="1">
        <f t="shared" si="6"/>
        <v>2970000</v>
      </c>
      <c r="M26" s="9">
        <f t="shared" si="12"/>
        <v>2099827.3982400005</v>
      </c>
      <c r="N26" s="7">
        <f t="shared" si="3"/>
        <v>5069827.39824</v>
      </c>
      <c r="O26" s="81">
        <f t="shared" si="10"/>
        <v>36926720.566560008</v>
      </c>
      <c r="P26" s="7">
        <f t="shared" si="11"/>
        <v>603552514.89456022</v>
      </c>
      <c r="Q26" s="87">
        <f t="shared" si="7"/>
        <v>3077226.7138800006</v>
      </c>
    </row>
    <row r="27" spans="2:17">
      <c r="B27" s="11">
        <v>19</v>
      </c>
      <c r="C27" s="6">
        <v>0.82</v>
      </c>
      <c r="D27" s="2">
        <f t="shared" si="8"/>
        <v>106670.51999999999</v>
      </c>
      <c r="E27" s="60">
        <v>158.96</v>
      </c>
      <c r="F27" s="62">
        <f t="shared" si="4"/>
        <v>3457547.1216000002</v>
      </c>
      <c r="G27" s="80">
        <f t="shared" si="9"/>
        <v>41490565.459200002</v>
      </c>
      <c r="H27" s="4"/>
      <c r="I27" s="3"/>
      <c r="J27" s="3"/>
      <c r="K27" s="18"/>
      <c r="L27" s="1">
        <f t="shared" si="6"/>
        <v>2970000</v>
      </c>
      <c r="M27" s="9">
        <f t="shared" si="12"/>
        <v>2074528.2729600002</v>
      </c>
      <c r="N27" s="7">
        <f t="shared" si="3"/>
        <v>5044528.2729599997</v>
      </c>
      <c r="O27" s="81">
        <f t="shared" si="10"/>
        <v>36446037.186240003</v>
      </c>
      <c r="P27" s="7">
        <f>+P26+O27</f>
        <v>639998552.08080018</v>
      </c>
      <c r="Q27" s="87">
        <f t="shared" si="7"/>
        <v>3037169.7655200004</v>
      </c>
    </row>
    <row r="28" spans="2:17">
      <c r="B28" s="27">
        <v>20</v>
      </c>
      <c r="C28" s="13">
        <v>0.81</v>
      </c>
      <c r="D28" s="14">
        <f t="shared" si="8"/>
        <v>105369.66</v>
      </c>
      <c r="E28" s="60">
        <v>158.96</v>
      </c>
      <c r="F28" s="63">
        <f t="shared" si="4"/>
        <v>3415381.9128000005</v>
      </c>
      <c r="G28" s="80">
        <f t="shared" si="9"/>
        <v>40984582.953600004</v>
      </c>
      <c r="H28" s="12"/>
      <c r="I28" s="15"/>
      <c r="J28" s="15"/>
      <c r="K28" s="19"/>
      <c r="L28" s="1">
        <f t="shared" si="6"/>
        <v>2970000</v>
      </c>
      <c r="M28" s="20">
        <f t="shared" si="12"/>
        <v>2049229.1476800004</v>
      </c>
      <c r="N28" s="16">
        <f t="shared" si="3"/>
        <v>5019229.1476800004</v>
      </c>
      <c r="O28" s="82">
        <f t="shared" si="10"/>
        <v>35965353.805920005</v>
      </c>
      <c r="P28" s="16">
        <f>+P27+O28</f>
        <v>675963905.88672018</v>
      </c>
      <c r="Q28" s="87">
        <f t="shared" si="7"/>
        <v>2997112.8171600006</v>
      </c>
    </row>
    <row r="29" spans="2:17" ht="17.25" thickBot="1">
      <c r="B29" s="30" t="s">
        <v>32</v>
      </c>
      <c r="C29" s="31"/>
      <c r="D29" s="31"/>
      <c r="E29" s="31"/>
      <c r="F29" s="32"/>
      <c r="G29" s="64">
        <f>SUM(G9:G28)</f>
        <v>912061044.57600021</v>
      </c>
      <c r="H29" s="35">
        <f>SUM(H9:H28)</f>
        <v>159594930</v>
      </c>
      <c r="I29" s="32">
        <f>SUM(I9:I28)</f>
        <v>113850000</v>
      </c>
      <c r="J29" s="32">
        <f>SUM(J9:J28)</f>
        <v>45744930</v>
      </c>
      <c r="K29" s="34"/>
      <c r="L29" s="33">
        <f>SUM(L9:L28)</f>
        <v>59400000</v>
      </c>
      <c r="M29" s="65">
        <f>SUM(M9:M28)</f>
        <v>17102208.689280003</v>
      </c>
      <c r="N29" s="66">
        <f>SUM(N9:N28)</f>
        <v>236097138.68928003</v>
      </c>
      <c r="O29" s="76" t="s">
        <v>37</v>
      </c>
      <c r="P29" s="75">
        <f>SUM(O9:O28)</f>
        <v>675963905.88672018</v>
      </c>
    </row>
    <row r="30" spans="2:17" ht="17.25" thickBot="1">
      <c r="M30" s="67" t="s">
        <v>41</v>
      </c>
      <c r="N30" s="68">
        <f>+P29/I6</f>
        <v>5.9373202098086972</v>
      </c>
      <c r="O30" s="67" t="s">
        <v>40</v>
      </c>
      <c r="P30" s="86">
        <f>IRR(O8:O28)</f>
        <v>0.13086342875593182</v>
      </c>
    </row>
    <row r="31" spans="2:17">
      <c r="B31" t="s">
        <v>42</v>
      </c>
      <c r="C31" t="s">
        <v>44</v>
      </c>
      <c r="O31" s="83"/>
      <c r="P31" s="83"/>
    </row>
    <row r="32" spans="2:17">
      <c r="B32" t="s">
        <v>43</v>
      </c>
      <c r="C32" t="s">
        <v>45</v>
      </c>
    </row>
  </sheetData>
  <mergeCells count="10">
    <mergeCell ref="E3:F3"/>
    <mergeCell ref="B4:G4"/>
    <mergeCell ref="H4:N4"/>
    <mergeCell ref="O4:P4"/>
    <mergeCell ref="E5:F5"/>
    <mergeCell ref="L5:L6"/>
    <mergeCell ref="N5:N6"/>
    <mergeCell ref="O5:O6"/>
    <mergeCell ref="P5:P6"/>
    <mergeCell ref="E6:F6"/>
  </mergeCells>
  <phoneticPr fontId="3" type="noConversion"/>
  <pageMargins left="0.23622047244094491" right="0.23622047244094491" top="1.9685039370078741" bottom="0.74803149606299213" header="0.31496062992125984" footer="0.31496062992125984"/>
  <pageSetup paperSize="9" scale="6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모델링97k_100%</vt:lpstr>
      <vt:lpstr>현실</vt:lpstr>
    </vt:vector>
  </TitlesOfParts>
  <Company>kjwkor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Aeon HEO</dc:creator>
  <cp:lastModifiedBy>5</cp:lastModifiedBy>
  <cp:lastPrinted>2013-02-12T14:36:00Z</cp:lastPrinted>
  <dcterms:created xsi:type="dcterms:W3CDTF">2012-10-22T07:06:28Z</dcterms:created>
  <dcterms:modified xsi:type="dcterms:W3CDTF">2022-12-23T05:35:13Z</dcterms:modified>
</cp:coreProperties>
</file>