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34538\Desktop\"/>
    </mc:Choice>
  </mc:AlternateContent>
  <xr:revisionPtr revIDLastSave="0" documentId="13_ncr:1_{4B58A24F-0793-4C80-B043-739A820C1EF2}" xr6:coauthVersionLast="47" xr6:coauthVersionMax="47" xr10:uidLastSave="{00000000-0000-0000-0000-000000000000}"/>
  <bookViews>
    <workbookView xWindow="-108" yWindow="-108" windowWidth="23256" windowHeight="12720" tabRatio="601" activeTab="3" xr2:uid="{00000000-000D-0000-FFFF-FFFF00000000}"/>
  </bookViews>
  <sheets>
    <sheet name="参数调整" sheetId="1" r:id="rId1"/>
    <sheet name="产品配置表" sheetId="3" r:id="rId2"/>
    <sheet name="第一季度" sheetId="4" r:id="rId3"/>
    <sheet name="第二季度" sheetId="5" r:id="rId4"/>
    <sheet name="第三季度" sheetId="8" r:id="rId5"/>
    <sheet name="第四季度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2" i="5" l="1"/>
  <c r="Q33" i="5"/>
  <c r="Q34" i="5"/>
  <c r="Q35" i="5"/>
  <c r="Q36" i="5"/>
  <c r="Q37" i="5"/>
  <c r="Q38" i="5"/>
  <c r="Q39" i="5"/>
  <c r="Q40" i="5"/>
  <c r="Q41" i="5"/>
  <c r="Q42" i="5"/>
  <c r="Q31" i="5"/>
  <c r="F43" i="5" l="1"/>
  <c r="F44" i="5"/>
  <c r="F45" i="5"/>
  <c r="F46" i="5"/>
  <c r="F47" i="5"/>
  <c r="F48" i="5"/>
  <c r="F49" i="5"/>
  <c r="F50" i="5"/>
  <c r="F51" i="5"/>
  <c r="F52" i="5"/>
  <c r="F53" i="5"/>
  <c r="F54" i="5"/>
  <c r="F55" i="5"/>
  <c r="F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42" i="5"/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3" i="5"/>
  <c r="D3" i="5" s="1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42" i="5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J74" i="8"/>
  <c r="J73" i="8"/>
  <c r="J72" i="8"/>
  <c r="J70" i="8"/>
  <c r="J69" i="8"/>
  <c r="J68" i="8"/>
  <c r="J67" i="8"/>
  <c r="J66" i="8"/>
  <c r="J65" i="8"/>
  <c r="J64" i="8"/>
  <c r="J63" i="8"/>
  <c r="Q42" i="9"/>
  <c r="D42" i="9"/>
  <c r="Q41" i="9"/>
  <c r="R40" i="9"/>
  <c r="Q40" i="9"/>
  <c r="Q39" i="9"/>
  <c r="Q38" i="9"/>
  <c r="AP37" i="9"/>
  <c r="G37" i="9"/>
  <c r="G35" i="9"/>
  <c r="AP34" i="9"/>
  <c r="AP32" i="9"/>
  <c r="G32" i="9"/>
  <c r="AP30" i="9"/>
  <c r="AP28" i="9"/>
  <c r="U27" i="9"/>
  <c r="T27" i="9"/>
  <c r="S27" i="9"/>
  <c r="S22" i="9" s="1"/>
  <c r="AP26" i="9"/>
  <c r="U26" i="9"/>
  <c r="U21" i="9" s="1"/>
  <c r="T26" i="9"/>
  <c r="S26" i="9"/>
  <c r="AP25" i="9"/>
  <c r="AI25" i="9"/>
  <c r="U25" i="9"/>
  <c r="U20" i="9" s="1"/>
  <c r="T25" i="9"/>
  <c r="S25" i="9"/>
  <c r="AP24" i="9"/>
  <c r="AI24" i="9"/>
  <c r="U24" i="9"/>
  <c r="T24" i="9"/>
  <c r="T19" i="9" s="1"/>
  <c r="S24" i="9"/>
  <c r="S19" i="9" s="1"/>
  <c r="R24" i="9"/>
  <c r="AP23" i="9"/>
  <c r="AI23" i="9"/>
  <c r="AP22" i="9"/>
  <c r="AI22" i="9"/>
  <c r="U22" i="9"/>
  <c r="Z13" i="9" s="1"/>
  <c r="T22" i="9"/>
  <c r="AP21" i="9"/>
  <c r="AI21" i="9"/>
  <c r="T21" i="9"/>
  <c r="T38" i="9" s="1"/>
  <c r="S21" i="9"/>
  <c r="S38" i="9" s="1"/>
  <c r="AP20" i="9"/>
  <c r="AI20" i="9"/>
  <c r="T20" i="9"/>
  <c r="S20" i="9"/>
  <c r="AO19" i="9"/>
  <c r="AO27" i="9" s="1"/>
  <c r="AP27" i="9" s="1"/>
  <c r="AI19" i="9"/>
  <c r="U19" i="9"/>
  <c r="AP18" i="9"/>
  <c r="AO18" i="9"/>
  <c r="AI18" i="9"/>
  <c r="AP17" i="9"/>
  <c r="AI17" i="9"/>
  <c r="AP16" i="9"/>
  <c r="AI16" i="9"/>
  <c r="E16" i="9"/>
  <c r="C16" i="9"/>
  <c r="D43" i="9" s="1"/>
  <c r="A16" i="9"/>
  <c r="AP15" i="9"/>
  <c r="AI15" i="9"/>
  <c r="U15" i="9"/>
  <c r="T15" i="9"/>
  <c r="S15" i="9"/>
  <c r="R15" i="9"/>
  <c r="E15" i="9"/>
  <c r="C15" i="9"/>
  <c r="A15" i="9"/>
  <c r="AP14" i="9"/>
  <c r="AI14" i="9"/>
  <c r="V14" i="9"/>
  <c r="N14" i="9"/>
  <c r="M14" i="9"/>
  <c r="K14" i="9"/>
  <c r="P14" i="9" s="1"/>
  <c r="J14" i="9"/>
  <c r="Z14" i="9" s="1"/>
  <c r="E14" i="9"/>
  <c r="C14" i="9"/>
  <c r="D41" i="9" s="1"/>
  <c r="A14" i="9"/>
  <c r="AP13" i="9"/>
  <c r="AI13" i="9"/>
  <c r="V13" i="9"/>
  <c r="P13" i="9"/>
  <c r="M13" i="9"/>
  <c r="K13" i="9"/>
  <c r="O13" i="9" s="1"/>
  <c r="J13" i="9"/>
  <c r="E13" i="9"/>
  <c r="C13" i="9"/>
  <c r="D40" i="9" s="1"/>
  <c r="A13" i="9"/>
  <c r="AO12" i="9"/>
  <c r="AP12" i="9" s="1"/>
  <c r="AI12" i="9"/>
  <c r="V12" i="9"/>
  <c r="P12" i="9"/>
  <c r="O12" i="9"/>
  <c r="N12" i="9"/>
  <c r="M12" i="9"/>
  <c r="L12" i="9"/>
  <c r="K12" i="9"/>
  <c r="J12" i="9"/>
  <c r="Z12" i="9" s="1"/>
  <c r="E12" i="9"/>
  <c r="C12" i="9"/>
  <c r="D39" i="9" s="1"/>
  <c r="A12" i="9"/>
  <c r="AO11" i="9"/>
  <c r="AP11" i="9" s="1"/>
  <c r="AI11" i="9"/>
  <c r="V11" i="9"/>
  <c r="N11" i="9"/>
  <c r="M11" i="9"/>
  <c r="L11" i="9"/>
  <c r="K11" i="9"/>
  <c r="P11" i="9" s="1"/>
  <c r="J11" i="9"/>
  <c r="Z11" i="9" s="1"/>
  <c r="E11" i="9"/>
  <c r="C11" i="9"/>
  <c r="A11" i="9"/>
  <c r="AO10" i="9"/>
  <c r="AP10" i="9" s="1"/>
  <c r="AI10" i="9"/>
  <c r="V10" i="9"/>
  <c r="N10" i="9"/>
  <c r="K10" i="9"/>
  <c r="L10" i="9" s="1"/>
  <c r="J10" i="9"/>
  <c r="Z10" i="9" s="1"/>
  <c r="E10" i="9"/>
  <c r="C10" i="9"/>
  <c r="A10" i="9"/>
  <c r="AP9" i="9"/>
  <c r="AO9" i="9"/>
  <c r="V9" i="9"/>
  <c r="P9" i="9"/>
  <c r="O9" i="9"/>
  <c r="N9" i="9"/>
  <c r="M9" i="9"/>
  <c r="L9" i="9"/>
  <c r="K9" i="9"/>
  <c r="J9" i="9"/>
  <c r="Z9" i="9" s="1"/>
  <c r="E9" i="9"/>
  <c r="C9" i="9"/>
  <c r="A9" i="9"/>
  <c r="AO8" i="9"/>
  <c r="AP8" i="9" s="1"/>
  <c r="Z8" i="9"/>
  <c r="V8" i="9"/>
  <c r="P8" i="9"/>
  <c r="K8" i="9"/>
  <c r="N8" i="9" s="1"/>
  <c r="J8" i="9"/>
  <c r="E8" i="9"/>
  <c r="C8" i="9"/>
  <c r="A8" i="9"/>
  <c r="AO7" i="9"/>
  <c r="AP7" i="9" s="1"/>
  <c r="V7" i="9"/>
  <c r="K7" i="9"/>
  <c r="P7" i="9" s="1"/>
  <c r="J7" i="9"/>
  <c r="E7" i="9"/>
  <c r="C7" i="9"/>
  <c r="A7" i="9"/>
  <c r="AP6" i="9"/>
  <c r="AO6" i="9"/>
  <c r="AI6" i="9"/>
  <c r="AA6" i="9"/>
  <c r="G24" i="9" s="1"/>
  <c r="V6" i="9"/>
  <c r="K6" i="9"/>
  <c r="P6" i="9" s="1"/>
  <c r="J6" i="9"/>
  <c r="W6" i="9" s="1"/>
  <c r="E6" i="9"/>
  <c r="C6" i="9"/>
  <c r="A6" i="9"/>
  <c r="AQ5" i="9"/>
  <c r="AO5" i="9"/>
  <c r="AP5" i="9" s="1"/>
  <c r="AI5" i="9"/>
  <c r="V5" i="9"/>
  <c r="N5" i="9"/>
  <c r="M5" i="9"/>
  <c r="L5" i="9"/>
  <c r="K5" i="9"/>
  <c r="P5" i="9" s="1"/>
  <c r="J5" i="9"/>
  <c r="Z5" i="9" s="1"/>
  <c r="E5" i="9"/>
  <c r="C5" i="9"/>
  <c r="A5" i="9"/>
  <c r="AI4" i="9"/>
  <c r="AA4" i="9"/>
  <c r="G22" i="9" s="1"/>
  <c r="Z4" i="9"/>
  <c r="V4" i="9"/>
  <c r="P4" i="9"/>
  <c r="O4" i="9"/>
  <c r="M4" i="9"/>
  <c r="K4" i="9"/>
  <c r="N4" i="9" s="1"/>
  <c r="J4" i="9"/>
  <c r="W4" i="9" s="1"/>
  <c r="E4" i="9"/>
  <c r="C4" i="9"/>
  <c r="A4" i="9"/>
  <c r="AI3" i="9"/>
  <c r="AA3" i="9"/>
  <c r="G21" i="9" s="1"/>
  <c r="V3" i="9"/>
  <c r="O3" i="9"/>
  <c r="K3" i="9"/>
  <c r="P3" i="9" s="1"/>
  <c r="J3" i="9"/>
  <c r="W3" i="9" s="1"/>
  <c r="E3" i="9"/>
  <c r="C3" i="9"/>
  <c r="A3" i="9"/>
  <c r="Q42" i="8"/>
  <c r="D42" i="8"/>
  <c r="R41" i="8"/>
  <c r="Q41" i="8"/>
  <c r="R40" i="8"/>
  <c r="Q40" i="8"/>
  <c r="Q39" i="8"/>
  <c r="Q38" i="8"/>
  <c r="AP37" i="8"/>
  <c r="G37" i="8"/>
  <c r="G35" i="8"/>
  <c r="AP34" i="8"/>
  <c r="AP32" i="8"/>
  <c r="G32" i="8"/>
  <c r="AP30" i="8"/>
  <c r="AP28" i="8"/>
  <c r="AO27" i="8"/>
  <c r="AP27" i="8" s="1"/>
  <c r="U27" i="8"/>
  <c r="T27" i="8"/>
  <c r="S27" i="8"/>
  <c r="S22" i="8" s="1"/>
  <c r="AP26" i="8"/>
  <c r="U26" i="8"/>
  <c r="U21" i="8" s="1"/>
  <c r="T26" i="8"/>
  <c r="S26" i="8"/>
  <c r="AP25" i="8"/>
  <c r="AI25" i="8"/>
  <c r="U25" i="8"/>
  <c r="U20" i="8" s="1"/>
  <c r="T25" i="8"/>
  <c r="S25" i="8"/>
  <c r="AP24" i="8"/>
  <c r="AI24" i="8"/>
  <c r="U24" i="8"/>
  <c r="T24" i="8"/>
  <c r="T19" i="8" s="1"/>
  <c r="S24" i="8"/>
  <c r="S19" i="8" s="1"/>
  <c r="R24" i="8"/>
  <c r="AP23" i="8"/>
  <c r="AI23" i="8"/>
  <c r="AP22" i="8"/>
  <c r="AI22" i="8"/>
  <c r="U22" i="8"/>
  <c r="Z13" i="8" s="1"/>
  <c r="T22" i="8"/>
  <c r="AP21" i="8"/>
  <c r="AI21" i="8"/>
  <c r="T21" i="8"/>
  <c r="T38" i="8" s="1"/>
  <c r="S21" i="8"/>
  <c r="S38" i="8" s="1"/>
  <c r="AP20" i="8"/>
  <c r="AI20" i="8"/>
  <c r="T20" i="8"/>
  <c r="S20" i="8"/>
  <c r="AO19" i="8"/>
  <c r="AP19" i="8" s="1"/>
  <c r="AI19" i="8"/>
  <c r="U19" i="8"/>
  <c r="AP18" i="8"/>
  <c r="AO18" i="8"/>
  <c r="AI18" i="8"/>
  <c r="AP17" i="8"/>
  <c r="AI17" i="8"/>
  <c r="AP16" i="8"/>
  <c r="AI16" i="8"/>
  <c r="E16" i="8"/>
  <c r="C16" i="8"/>
  <c r="D43" i="8" s="1"/>
  <c r="A16" i="8"/>
  <c r="AP15" i="8"/>
  <c r="AI15" i="8"/>
  <c r="U15" i="8"/>
  <c r="T15" i="8"/>
  <c r="S15" i="8"/>
  <c r="R15" i="8"/>
  <c r="E15" i="8"/>
  <c r="C15" i="8"/>
  <c r="A15" i="8"/>
  <c r="AP14" i="8"/>
  <c r="AI14" i="8"/>
  <c r="V14" i="8"/>
  <c r="N14" i="8"/>
  <c r="M14" i="8"/>
  <c r="K14" i="8"/>
  <c r="P14" i="8" s="1"/>
  <c r="J14" i="8"/>
  <c r="Z14" i="8" s="1"/>
  <c r="E14" i="8"/>
  <c r="C14" i="8"/>
  <c r="D41" i="8" s="1"/>
  <c r="A14" i="8"/>
  <c r="AP13" i="8"/>
  <c r="AI13" i="8"/>
  <c r="V13" i="8"/>
  <c r="P13" i="8"/>
  <c r="N13" i="8"/>
  <c r="M13" i="8"/>
  <c r="K13" i="8"/>
  <c r="O13" i="8" s="1"/>
  <c r="J13" i="8"/>
  <c r="E13" i="8"/>
  <c r="C13" i="8"/>
  <c r="D40" i="8" s="1"/>
  <c r="A13" i="8"/>
  <c r="AO12" i="8"/>
  <c r="AP12" i="8" s="1"/>
  <c r="AI12" i="8"/>
  <c r="V12" i="8"/>
  <c r="P12" i="8"/>
  <c r="O12" i="8"/>
  <c r="N12" i="8"/>
  <c r="M12" i="8"/>
  <c r="L12" i="8"/>
  <c r="K12" i="8"/>
  <c r="J12" i="8"/>
  <c r="Z12" i="8" s="1"/>
  <c r="E12" i="8"/>
  <c r="C12" i="8"/>
  <c r="D39" i="8" s="1"/>
  <c r="AP39" i="8" s="1"/>
  <c r="A12" i="8"/>
  <c r="AO11" i="8"/>
  <c r="AP11" i="8" s="1"/>
  <c r="AI11" i="8"/>
  <c r="V11" i="8"/>
  <c r="N11" i="8"/>
  <c r="M11" i="8"/>
  <c r="L11" i="8"/>
  <c r="K11" i="8"/>
  <c r="P11" i="8" s="1"/>
  <c r="J11" i="8"/>
  <c r="Z11" i="8" s="1"/>
  <c r="E11" i="8"/>
  <c r="C11" i="8"/>
  <c r="A11" i="8"/>
  <c r="AO10" i="8"/>
  <c r="AP10" i="8" s="1"/>
  <c r="AI10" i="8"/>
  <c r="V10" i="8"/>
  <c r="O10" i="8"/>
  <c r="N10" i="8"/>
  <c r="M10" i="8"/>
  <c r="L10" i="8"/>
  <c r="K10" i="8"/>
  <c r="P10" i="8" s="1"/>
  <c r="J10" i="8"/>
  <c r="Z10" i="8" s="1"/>
  <c r="E10" i="8"/>
  <c r="C10" i="8"/>
  <c r="A10" i="8"/>
  <c r="AP9" i="8"/>
  <c r="AO9" i="8"/>
  <c r="V9" i="8"/>
  <c r="P9" i="8"/>
  <c r="O9" i="8"/>
  <c r="N9" i="8"/>
  <c r="M9" i="8"/>
  <c r="L9" i="8"/>
  <c r="K9" i="8"/>
  <c r="J9" i="8"/>
  <c r="Z9" i="8" s="1"/>
  <c r="E9" i="8"/>
  <c r="C9" i="8"/>
  <c r="A9" i="8"/>
  <c r="AO8" i="8"/>
  <c r="AP8" i="8" s="1"/>
  <c r="Z8" i="8"/>
  <c r="V8" i="8"/>
  <c r="K8" i="8"/>
  <c r="N8" i="8" s="1"/>
  <c r="J8" i="8"/>
  <c r="W8" i="8" s="1"/>
  <c r="E8" i="8"/>
  <c r="C8" i="8"/>
  <c r="A8" i="8"/>
  <c r="AP7" i="8"/>
  <c r="AO7" i="8"/>
  <c r="V7" i="8"/>
  <c r="K7" i="8"/>
  <c r="P7" i="8" s="1"/>
  <c r="J7" i="8"/>
  <c r="E7" i="8"/>
  <c r="C7" i="8"/>
  <c r="A7" i="8"/>
  <c r="AP6" i="8"/>
  <c r="AO6" i="8"/>
  <c r="AI6" i="8"/>
  <c r="AA6" i="8"/>
  <c r="G24" i="8" s="1"/>
  <c r="V6" i="8"/>
  <c r="P6" i="8"/>
  <c r="O6" i="8"/>
  <c r="K6" i="8"/>
  <c r="N6" i="8" s="1"/>
  <c r="J6" i="8"/>
  <c r="E6" i="8"/>
  <c r="C6" i="8"/>
  <c r="A6" i="8"/>
  <c r="AQ5" i="8"/>
  <c r="AO5" i="8"/>
  <c r="AP5" i="8" s="1"/>
  <c r="AI5" i="8"/>
  <c r="V5" i="8"/>
  <c r="P5" i="8"/>
  <c r="N5" i="8"/>
  <c r="M5" i="8"/>
  <c r="L5" i="8"/>
  <c r="K5" i="8"/>
  <c r="O5" i="8" s="1"/>
  <c r="J5" i="8"/>
  <c r="Z5" i="8" s="1"/>
  <c r="E5" i="8"/>
  <c r="C5" i="8"/>
  <c r="A5" i="8"/>
  <c r="AI4" i="8"/>
  <c r="AA4" i="8"/>
  <c r="G22" i="8" s="1"/>
  <c r="Z4" i="8"/>
  <c r="V4" i="8"/>
  <c r="P4" i="8"/>
  <c r="O4" i="8"/>
  <c r="M4" i="8"/>
  <c r="K4" i="8"/>
  <c r="N4" i="8" s="1"/>
  <c r="J4" i="8"/>
  <c r="E4" i="8"/>
  <c r="C4" i="8"/>
  <c r="A4" i="8"/>
  <c r="AI3" i="8"/>
  <c r="AA3" i="8"/>
  <c r="G21" i="8" s="1"/>
  <c r="V3" i="8"/>
  <c r="P3" i="8"/>
  <c r="O3" i="8"/>
  <c r="K3" i="8"/>
  <c r="N3" i="8" s="1"/>
  <c r="J3" i="8"/>
  <c r="E3" i="8"/>
  <c r="C3" i="8"/>
  <c r="A3" i="8"/>
  <c r="G37" i="5"/>
  <c r="G35" i="5"/>
  <c r="G32" i="5"/>
  <c r="U20" i="5"/>
  <c r="U21" i="5"/>
  <c r="Z7" i="5" s="1"/>
  <c r="U22" i="5"/>
  <c r="Z13" i="5" s="1"/>
  <c r="U19" i="5"/>
  <c r="T20" i="5"/>
  <c r="T21" i="5"/>
  <c r="T22" i="5"/>
  <c r="T19" i="5"/>
  <c r="S20" i="5"/>
  <c r="S21" i="5"/>
  <c r="S22" i="5"/>
  <c r="W9" i="5" s="1"/>
  <c r="S19" i="5"/>
  <c r="U27" i="5"/>
  <c r="U26" i="5"/>
  <c r="U25" i="5"/>
  <c r="U24" i="5"/>
  <c r="T27" i="5"/>
  <c r="T26" i="5"/>
  <c r="T25" i="5"/>
  <c r="T24" i="5"/>
  <c r="S27" i="5"/>
  <c r="S26" i="5"/>
  <c r="S25" i="5"/>
  <c r="S24" i="5"/>
  <c r="U4" i="4"/>
  <c r="U5" i="4"/>
  <c r="U6" i="4"/>
  <c r="U7" i="4"/>
  <c r="U8" i="4"/>
  <c r="U9" i="4"/>
  <c r="U10" i="4"/>
  <c r="U11" i="4"/>
  <c r="U12" i="4"/>
  <c r="U13" i="4"/>
  <c r="U14" i="4"/>
  <c r="U3" i="4"/>
  <c r="V4" i="5"/>
  <c r="V5" i="5"/>
  <c r="V6" i="5"/>
  <c r="V7" i="5"/>
  <c r="V8" i="5"/>
  <c r="V9" i="5"/>
  <c r="V10" i="5"/>
  <c r="V11" i="5"/>
  <c r="V12" i="5"/>
  <c r="V13" i="5"/>
  <c r="V14" i="5"/>
  <c r="V3" i="5"/>
  <c r="K4" i="5"/>
  <c r="K5" i="5"/>
  <c r="K6" i="5"/>
  <c r="K7" i="5"/>
  <c r="K8" i="5"/>
  <c r="O8" i="5" s="1"/>
  <c r="K9" i="5"/>
  <c r="K10" i="5"/>
  <c r="K11" i="5"/>
  <c r="K12" i="5"/>
  <c r="K13" i="5"/>
  <c r="K14" i="5"/>
  <c r="P14" i="5" s="1"/>
  <c r="K3" i="5"/>
  <c r="J4" i="5"/>
  <c r="J5" i="5"/>
  <c r="J6" i="5"/>
  <c r="Z6" i="5" s="1"/>
  <c r="J7" i="5"/>
  <c r="J8" i="5"/>
  <c r="J9" i="5"/>
  <c r="J10" i="5"/>
  <c r="J11" i="5"/>
  <c r="J12" i="5"/>
  <c r="J13" i="5"/>
  <c r="J14" i="5"/>
  <c r="Z14" i="5" s="1"/>
  <c r="J3" i="5"/>
  <c r="R20" i="4"/>
  <c r="R21" i="4"/>
  <c r="R19" i="4"/>
  <c r="AN36" i="4"/>
  <c r="AP37" i="5"/>
  <c r="AP34" i="5"/>
  <c r="AP32" i="5"/>
  <c r="AP30" i="5"/>
  <c r="AP28" i="5"/>
  <c r="AO27" i="5"/>
  <c r="AP27" i="5" s="1"/>
  <c r="AP26" i="5"/>
  <c r="AP25" i="5"/>
  <c r="AI25" i="5"/>
  <c r="AP24" i="5"/>
  <c r="AI24" i="5"/>
  <c r="R24" i="5"/>
  <c r="AP23" i="5"/>
  <c r="AI23" i="5"/>
  <c r="AP22" i="5"/>
  <c r="AI22" i="5"/>
  <c r="AP21" i="5"/>
  <c r="AI21" i="5"/>
  <c r="AP20" i="5"/>
  <c r="AI20" i="5"/>
  <c r="AO19" i="5"/>
  <c r="AP19" i="5" s="1"/>
  <c r="AI19" i="5"/>
  <c r="AO18" i="5"/>
  <c r="AP18" i="5" s="1"/>
  <c r="AI18" i="5"/>
  <c r="AP17" i="5"/>
  <c r="AI17" i="5"/>
  <c r="AP16" i="5"/>
  <c r="AI16" i="5"/>
  <c r="E16" i="5"/>
  <c r="C16" i="5"/>
  <c r="A16" i="5"/>
  <c r="AP15" i="5"/>
  <c r="AI15" i="5"/>
  <c r="U15" i="5"/>
  <c r="T15" i="5"/>
  <c r="S15" i="5"/>
  <c r="R15" i="5"/>
  <c r="E15" i="5"/>
  <c r="C15" i="5"/>
  <c r="A15" i="5"/>
  <c r="AP14" i="5"/>
  <c r="AI14" i="5"/>
  <c r="E14" i="5"/>
  <c r="C14" i="5"/>
  <c r="A14" i="5"/>
  <c r="AP13" i="5"/>
  <c r="AI13" i="5"/>
  <c r="P13" i="5"/>
  <c r="O13" i="5"/>
  <c r="N13" i="5"/>
  <c r="M13" i="5"/>
  <c r="L13" i="5"/>
  <c r="E13" i="5"/>
  <c r="C13" i="5"/>
  <c r="A13" i="5"/>
  <c r="AO12" i="5"/>
  <c r="AP12" i="5" s="1"/>
  <c r="AI12" i="5"/>
  <c r="P12" i="5"/>
  <c r="O12" i="5"/>
  <c r="N12" i="5"/>
  <c r="M12" i="5"/>
  <c r="L12" i="5"/>
  <c r="E12" i="5"/>
  <c r="C12" i="5"/>
  <c r="A12" i="5"/>
  <c r="AP11" i="5"/>
  <c r="AO11" i="5"/>
  <c r="AI11" i="5"/>
  <c r="P11" i="5"/>
  <c r="O11" i="5"/>
  <c r="N11" i="5"/>
  <c r="M11" i="5"/>
  <c r="L11" i="5"/>
  <c r="E11" i="5"/>
  <c r="C11" i="5"/>
  <c r="A11" i="5"/>
  <c r="AO10" i="5"/>
  <c r="AP10" i="5" s="1"/>
  <c r="AI10" i="5"/>
  <c r="P10" i="5"/>
  <c r="O10" i="5"/>
  <c r="N10" i="5"/>
  <c r="M10" i="5"/>
  <c r="L10" i="5"/>
  <c r="E10" i="5"/>
  <c r="C10" i="5"/>
  <c r="A10" i="5"/>
  <c r="AO9" i="5"/>
  <c r="AP9" i="5" s="1"/>
  <c r="Z9" i="5"/>
  <c r="P9" i="5"/>
  <c r="O9" i="5"/>
  <c r="N9" i="5"/>
  <c r="M9" i="5"/>
  <c r="L9" i="5"/>
  <c r="E9" i="5"/>
  <c r="C9" i="5"/>
  <c r="A9" i="5"/>
  <c r="AO8" i="5"/>
  <c r="AP8" i="5" s="1"/>
  <c r="P8" i="5"/>
  <c r="E8" i="5"/>
  <c r="C8" i="5"/>
  <c r="A8" i="5"/>
  <c r="AO7" i="5"/>
  <c r="AP7" i="5" s="1"/>
  <c r="P7" i="5"/>
  <c r="O7" i="5"/>
  <c r="N7" i="5"/>
  <c r="M7" i="5"/>
  <c r="L7" i="5"/>
  <c r="E7" i="5"/>
  <c r="C7" i="5"/>
  <c r="A7" i="5"/>
  <c r="AO6" i="5"/>
  <c r="AP6" i="5" s="1"/>
  <c r="AI6" i="5"/>
  <c r="AA6" i="5"/>
  <c r="G24" i="5" s="1"/>
  <c r="P6" i="5"/>
  <c r="O6" i="5"/>
  <c r="N6" i="5"/>
  <c r="M6" i="5"/>
  <c r="L6" i="5"/>
  <c r="E6" i="5"/>
  <c r="C6" i="5"/>
  <c r="A6" i="5"/>
  <c r="AQ5" i="5"/>
  <c r="AO5" i="5"/>
  <c r="AP5" i="5" s="1"/>
  <c r="AI5" i="5"/>
  <c r="AA5" i="5"/>
  <c r="G23" i="5" s="1"/>
  <c r="Z5" i="5"/>
  <c r="P5" i="5"/>
  <c r="O5" i="5"/>
  <c r="N5" i="5"/>
  <c r="M5" i="5"/>
  <c r="L5" i="5"/>
  <c r="E5" i="5"/>
  <c r="C5" i="5"/>
  <c r="A5" i="5"/>
  <c r="AI4" i="5"/>
  <c r="AA4" i="5"/>
  <c r="G22" i="5" s="1"/>
  <c r="Z4" i="5"/>
  <c r="P4" i="5"/>
  <c r="O4" i="5"/>
  <c r="N4" i="5"/>
  <c r="M4" i="5"/>
  <c r="L4" i="5"/>
  <c r="E4" i="5"/>
  <c r="C4" i="5"/>
  <c r="A4" i="5"/>
  <c r="AI3" i="5"/>
  <c r="AA3" i="5"/>
  <c r="G21" i="5" s="1"/>
  <c r="Z3" i="5"/>
  <c r="P3" i="5"/>
  <c r="O3" i="5"/>
  <c r="N3" i="5"/>
  <c r="M3" i="5"/>
  <c r="L3" i="5"/>
  <c r="E3" i="5"/>
  <c r="C3" i="5"/>
  <c r="A3" i="5"/>
  <c r="AO5" i="4"/>
  <c r="AN37" i="4"/>
  <c r="AN34" i="4"/>
  <c r="AN32" i="4"/>
  <c r="AN30" i="4"/>
  <c r="AN28" i="4"/>
  <c r="AN26" i="4"/>
  <c r="AN25" i="4"/>
  <c r="AN24" i="4"/>
  <c r="AN23" i="4"/>
  <c r="AN22" i="4"/>
  <c r="AN21" i="4"/>
  <c r="AN20" i="4"/>
  <c r="AN19" i="4"/>
  <c r="AN18" i="4"/>
  <c r="AN17" i="4"/>
  <c r="AN27" i="4"/>
  <c r="AN12" i="4"/>
  <c r="AN15" i="4"/>
  <c r="AN16" i="4"/>
  <c r="AN14" i="4"/>
  <c r="AN13" i="4"/>
  <c r="AN11" i="4"/>
  <c r="AN10" i="4"/>
  <c r="AN9" i="4"/>
  <c r="AN8" i="4"/>
  <c r="AN7" i="4"/>
  <c r="AN6" i="4"/>
  <c r="AM27" i="4"/>
  <c r="AM19" i="4"/>
  <c r="AM18" i="4"/>
  <c r="V3" i="4"/>
  <c r="V4" i="4"/>
  <c r="V5" i="4"/>
  <c r="V6" i="4"/>
  <c r="V7" i="4"/>
  <c r="V8" i="4"/>
  <c r="V9" i="4"/>
  <c r="V10" i="4"/>
  <c r="V11" i="4"/>
  <c r="V12" i="4"/>
  <c r="V13" i="4"/>
  <c r="V14" i="4"/>
  <c r="W8" i="9" l="1"/>
  <c r="W5" i="9"/>
  <c r="Z7" i="9"/>
  <c r="W7" i="9"/>
  <c r="AP39" i="9"/>
  <c r="W14" i="9"/>
  <c r="W11" i="9"/>
  <c r="W13" i="9"/>
  <c r="Z3" i="9"/>
  <c r="L4" i="9"/>
  <c r="Z6" i="9"/>
  <c r="O8" i="9"/>
  <c r="M10" i="9"/>
  <c r="L13" i="9"/>
  <c r="L7" i="9"/>
  <c r="O10" i="9"/>
  <c r="N13" i="9"/>
  <c r="AP19" i="9"/>
  <c r="S40" i="9"/>
  <c r="U40" i="9" s="1"/>
  <c r="AA5" i="9"/>
  <c r="G23" i="9" s="1"/>
  <c r="M7" i="9"/>
  <c r="P10" i="9"/>
  <c r="T40" i="9"/>
  <c r="N7" i="9"/>
  <c r="R42" i="9"/>
  <c r="L3" i="9"/>
  <c r="L6" i="9"/>
  <c r="O7" i="9"/>
  <c r="W10" i="9"/>
  <c r="R39" i="9"/>
  <c r="S42" i="9"/>
  <c r="M3" i="9"/>
  <c r="M6" i="9"/>
  <c r="S39" i="9"/>
  <c r="T42" i="9"/>
  <c r="N3" i="9"/>
  <c r="N6" i="9"/>
  <c r="L14" i="9"/>
  <c r="T39" i="9"/>
  <c r="O6" i="9"/>
  <c r="B14" i="9" s="1"/>
  <c r="G14" i="9" s="1"/>
  <c r="R41" i="9"/>
  <c r="U41" i="9" s="1"/>
  <c r="L8" i="9"/>
  <c r="R38" i="9"/>
  <c r="U38" i="9" s="1"/>
  <c r="S41" i="9"/>
  <c r="O5" i="9"/>
  <c r="B15" i="9" s="1"/>
  <c r="G15" i="9" s="1"/>
  <c r="M8" i="9"/>
  <c r="W9" i="9"/>
  <c r="O11" i="9"/>
  <c r="W12" i="9"/>
  <c r="O14" i="9"/>
  <c r="T41" i="9"/>
  <c r="Z7" i="8"/>
  <c r="W7" i="8"/>
  <c r="W13" i="8"/>
  <c r="W14" i="8"/>
  <c r="W11" i="8"/>
  <c r="W5" i="8"/>
  <c r="W4" i="8"/>
  <c r="W3" i="8"/>
  <c r="W6" i="8"/>
  <c r="Z6" i="8"/>
  <c r="Z3" i="8"/>
  <c r="L4" i="8"/>
  <c r="O8" i="8"/>
  <c r="L13" i="8"/>
  <c r="P8" i="8"/>
  <c r="L7" i="8"/>
  <c r="S40" i="8"/>
  <c r="U40" i="8" s="1"/>
  <c r="AA5" i="8"/>
  <c r="G23" i="8" s="1"/>
  <c r="M7" i="8"/>
  <c r="T40" i="8"/>
  <c r="N7" i="8"/>
  <c r="B10" i="8" s="1"/>
  <c r="G10" i="8" s="1"/>
  <c r="D10" i="8" s="1"/>
  <c r="R42" i="8"/>
  <c r="L3" i="8"/>
  <c r="L6" i="8"/>
  <c r="O7" i="8"/>
  <c r="W10" i="8"/>
  <c r="R39" i="8"/>
  <c r="S42" i="8"/>
  <c r="M3" i="8"/>
  <c r="M6" i="8"/>
  <c r="S39" i="8"/>
  <c r="T42" i="8"/>
  <c r="L14" i="8"/>
  <c r="T39" i="8"/>
  <c r="L8" i="8"/>
  <c r="R38" i="8"/>
  <c r="U38" i="8" s="1"/>
  <c r="S41" i="8"/>
  <c r="U41" i="8" s="1"/>
  <c r="M8" i="8"/>
  <c r="W9" i="8"/>
  <c r="O11" i="8"/>
  <c r="B13" i="8" s="1"/>
  <c r="G13" i="8" s="1"/>
  <c r="W12" i="8"/>
  <c r="O14" i="8"/>
  <c r="B15" i="8" s="1"/>
  <c r="G15" i="8" s="1"/>
  <c r="T41" i="8"/>
  <c r="W7" i="5"/>
  <c r="Z10" i="5"/>
  <c r="Z11" i="5"/>
  <c r="W12" i="5"/>
  <c r="W13" i="5"/>
  <c r="W10" i="5"/>
  <c r="Z12" i="5"/>
  <c r="Z8" i="5"/>
  <c r="W5" i="5"/>
  <c r="W3" i="5"/>
  <c r="W4" i="5"/>
  <c r="W11" i="5"/>
  <c r="W8" i="5"/>
  <c r="L8" i="5"/>
  <c r="M8" i="5"/>
  <c r="B6" i="5" s="1"/>
  <c r="N8" i="5"/>
  <c r="L14" i="5"/>
  <c r="B5" i="5"/>
  <c r="M14" i="5"/>
  <c r="N14" i="5"/>
  <c r="B9" i="5" s="1"/>
  <c r="O14" i="5"/>
  <c r="B15" i="5" s="1"/>
  <c r="B3" i="5"/>
  <c r="W14" i="5"/>
  <c r="W6" i="5"/>
  <c r="B4" i="5"/>
  <c r="D4" i="5" s="1"/>
  <c r="F4" i="5" s="1"/>
  <c r="AP39" i="5"/>
  <c r="AI26" i="5"/>
  <c r="D15" i="9" l="1"/>
  <c r="F42" i="9"/>
  <c r="F41" i="9"/>
  <c r="D14" i="9"/>
  <c r="U39" i="9"/>
  <c r="AI26" i="9"/>
  <c r="B11" i="9"/>
  <c r="G11" i="9" s="1"/>
  <c r="D11" i="9" s="1"/>
  <c r="B12" i="9"/>
  <c r="G12" i="9" s="1"/>
  <c r="B9" i="9"/>
  <c r="G9" i="9" s="1"/>
  <c r="D9" i="9" s="1"/>
  <c r="F9" i="9" s="1"/>
  <c r="B10" i="9"/>
  <c r="G10" i="9" s="1"/>
  <c r="D10" i="9" s="1"/>
  <c r="U42" i="9"/>
  <c r="B13" i="9"/>
  <c r="G13" i="9" s="1"/>
  <c r="B16" i="9"/>
  <c r="G16" i="9" s="1"/>
  <c r="B5" i="9"/>
  <c r="G5" i="9" s="1"/>
  <c r="D5" i="9" s="1"/>
  <c r="F5" i="9" s="1"/>
  <c r="B3" i="9"/>
  <c r="G3" i="9" s="1"/>
  <c r="D3" i="9" s="1"/>
  <c r="B4" i="9"/>
  <c r="G4" i="9" s="1"/>
  <c r="D4" i="9" s="1"/>
  <c r="F4" i="9" s="1"/>
  <c r="B8" i="9"/>
  <c r="G8" i="9" s="1"/>
  <c r="D8" i="9" s="1"/>
  <c r="F8" i="9" s="1"/>
  <c r="B6" i="9"/>
  <c r="G6" i="9" s="1"/>
  <c r="D6" i="9" s="1"/>
  <c r="F6" i="9" s="1"/>
  <c r="B7" i="9"/>
  <c r="G7" i="9" s="1"/>
  <c r="D7" i="9" s="1"/>
  <c r="F7" i="9" s="1"/>
  <c r="F10" i="8"/>
  <c r="T31" i="8"/>
  <c r="S31" i="8"/>
  <c r="R31" i="8"/>
  <c r="Q31" i="8"/>
  <c r="D15" i="8"/>
  <c r="F42" i="8"/>
  <c r="F40" i="8"/>
  <c r="D13" i="8"/>
  <c r="B11" i="8"/>
  <c r="G11" i="8" s="1"/>
  <c r="D11" i="8" s="1"/>
  <c r="U39" i="8"/>
  <c r="AI26" i="8"/>
  <c r="B14" i="8"/>
  <c r="G14" i="8" s="1"/>
  <c r="B9" i="8"/>
  <c r="G9" i="8" s="1"/>
  <c r="D9" i="8" s="1"/>
  <c r="F9" i="8" s="1"/>
  <c r="B16" i="8"/>
  <c r="G16" i="8" s="1"/>
  <c r="B5" i="8"/>
  <c r="G5" i="8" s="1"/>
  <c r="D5" i="8" s="1"/>
  <c r="F5" i="8" s="1"/>
  <c r="B3" i="8"/>
  <c r="G3" i="8" s="1"/>
  <c r="D3" i="8" s="1"/>
  <c r="B4" i="8"/>
  <c r="G4" i="8" s="1"/>
  <c r="D4" i="8" s="1"/>
  <c r="F4" i="8" s="1"/>
  <c r="B6" i="8"/>
  <c r="G6" i="8" s="1"/>
  <c r="D6" i="8" s="1"/>
  <c r="F6" i="8" s="1"/>
  <c r="B7" i="8"/>
  <c r="G7" i="8" s="1"/>
  <c r="D7" i="8" s="1"/>
  <c r="F7" i="8" s="1"/>
  <c r="B8" i="8"/>
  <c r="G8" i="8" s="1"/>
  <c r="D8" i="8" s="1"/>
  <c r="F8" i="8" s="1"/>
  <c r="U42" i="8"/>
  <c r="B12" i="8"/>
  <c r="G12" i="8" s="1"/>
  <c r="B8" i="5"/>
  <c r="D8" i="5" s="1"/>
  <c r="D5" i="5"/>
  <c r="F5" i="5" s="1"/>
  <c r="B14" i="5"/>
  <c r="B10" i="5"/>
  <c r="B7" i="5"/>
  <c r="B13" i="5"/>
  <c r="B16" i="5"/>
  <c r="B11" i="5"/>
  <c r="B12" i="5"/>
  <c r="D6" i="5"/>
  <c r="F6" i="5" s="1"/>
  <c r="D15" i="5"/>
  <c r="F3" i="5"/>
  <c r="D9" i="5"/>
  <c r="F8" i="5" l="1"/>
  <c r="F9" i="5"/>
  <c r="D13" i="5"/>
  <c r="F40" i="9"/>
  <c r="D13" i="9"/>
  <c r="F10" i="9"/>
  <c r="T31" i="9"/>
  <c r="S31" i="9"/>
  <c r="R31" i="9"/>
  <c r="Q31" i="9"/>
  <c r="D12" i="9"/>
  <c r="F44" i="9" s="1"/>
  <c r="F39" i="9"/>
  <c r="S32" i="9"/>
  <c r="R32" i="9"/>
  <c r="Q32" i="9"/>
  <c r="F11" i="9"/>
  <c r="T32" i="9"/>
  <c r="G18" i="9"/>
  <c r="AI27" i="9" s="1"/>
  <c r="AI28" i="9" s="1"/>
  <c r="F3" i="9"/>
  <c r="T35" i="9"/>
  <c r="S35" i="9"/>
  <c r="R35" i="9"/>
  <c r="Q35" i="9"/>
  <c r="F14" i="9"/>
  <c r="F43" i="9"/>
  <c r="D16" i="9"/>
  <c r="T36" i="9"/>
  <c r="S36" i="9"/>
  <c r="F15" i="9"/>
  <c r="R36" i="9"/>
  <c r="Q36" i="9"/>
  <c r="S32" i="8"/>
  <c r="R32" i="8"/>
  <c r="Q32" i="8"/>
  <c r="F11" i="8"/>
  <c r="T32" i="8"/>
  <c r="T34" i="8"/>
  <c r="F13" i="8"/>
  <c r="S34" i="8"/>
  <c r="R34" i="8"/>
  <c r="U34" i="8" s="1"/>
  <c r="Q34" i="8"/>
  <c r="G18" i="8"/>
  <c r="AI27" i="8" s="1"/>
  <c r="AI28" i="8" s="1"/>
  <c r="F3" i="8"/>
  <c r="U31" i="8"/>
  <c r="D12" i="8"/>
  <c r="F44" i="8" s="1"/>
  <c r="F39" i="8"/>
  <c r="T36" i="8"/>
  <c r="Q36" i="8"/>
  <c r="S36" i="8"/>
  <c r="F15" i="8"/>
  <c r="R36" i="8"/>
  <c r="U36" i="8" s="1"/>
  <c r="F43" i="8"/>
  <c r="D16" i="8"/>
  <c r="F41" i="8"/>
  <c r="D14" i="8"/>
  <c r="F15" i="5"/>
  <c r="D16" i="5"/>
  <c r="D14" i="5"/>
  <c r="D7" i="5"/>
  <c r="D12" i="5"/>
  <c r="D10" i="5"/>
  <c r="D11" i="5"/>
  <c r="F7" i="5" l="1"/>
  <c r="F13" i="5"/>
  <c r="U36" i="9"/>
  <c r="F11" i="5"/>
  <c r="G18" i="5" s="1"/>
  <c r="F10" i="5"/>
  <c r="F12" i="5"/>
  <c r="U72" i="8"/>
  <c r="Y72" i="8" s="1"/>
  <c r="U70" i="8"/>
  <c r="Y70" i="8" s="1"/>
  <c r="U66" i="8"/>
  <c r="Y66" i="8" s="1"/>
  <c r="U74" i="8"/>
  <c r="Y74" i="8" s="1"/>
  <c r="U73" i="8"/>
  <c r="Y73" i="8" s="1"/>
  <c r="U71" i="8"/>
  <c r="Y71" i="8" s="1"/>
  <c r="U63" i="8"/>
  <c r="Y63" i="8" s="1"/>
  <c r="U68" i="8"/>
  <c r="Y68" i="8" s="1"/>
  <c r="U65" i="8"/>
  <c r="Y65" i="8" s="1"/>
  <c r="U64" i="8"/>
  <c r="Y64" i="8" s="1"/>
  <c r="U67" i="8"/>
  <c r="Y67" i="8" s="1"/>
  <c r="U69" i="8"/>
  <c r="Y69" i="8" s="1"/>
  <c r="F16" i="5"/>
  <c r="AJ28" i="9"/>
  <c r="AI31" i="9"/>
  <c r="AA11" i="9" s="1"/>
  <c r="U32" i="9"/>
  <c r="U35" i="9"/>
  <c r="T33" i="9"/>
  <c r="S33" i="9"/>
  <c r="R33" i="9"/>
  <c r="Q33" i="9"/>
  <c r="F12" i="9"/>
  <c r="AP38" i="9" s="1"/>
  <c r="U31" i="9"/>
  <c r="T34" i="9"/>
  <c r="S34" i="9"/>
  <c r="R34" i="9"/>
  <c r="Q34" i="9"/>
  <c r="F13" i="9"/>
  <c r="F16" i="9"/>
  <c r="T37" i="9"/>
  <c r="S37" i="9"/>
  <c r="R37" i="9"/>
  <c r="Q37" i="9"/>
  <c r="AJ28" i="8"/>
  <c r="AI31" i="8"/>
  <c r="AA11" i="8" s="1"/>
  <c r="F16" i="8"/>
  <c r="T37" i="8"/>
  <c r="S37" i="8"/>
  <c r="R37" i="8"/>
  <c r="Q37" i="8"/>
  <c r="T33" i="8"/>
  <c r="S33" i="8"/>
  <c r="R33" i="8"/>
  <c r="Q33" i="8"/>
  <c r="F12" i="8"/>
  <c r="AP41" i="8" s="1"/>
  <c r="AP42" i="8" s="1"/>
  <c r="U32" i="8"/>
  <c r="T35" i="8"/>
  <c r="S35" i="8"/>
  <c r="R35" i="8"/>
  <c r="Q35" i="8"/>
  <c r="F14" i="8"/>
  <c r="F14" i="5"/>
  <c r="AP41" i="5" l="1"/>
  <c r="AP42" i="5" s="1"/>
  <c r="AI27" i="5"/>
  <c r="AI28" i="5" s="1"/>
  <c r="AJ28" i="5" s="1"/>
  <c r="U37" i="8"/>
  <c r="AP38" i="5"/>
  <c r="U37" i="9"/>
  <c r="U33" i="9"/>
  <c r="U33" i="8"/>
  <c r="AP38" i="8"/>
  <c r="U34" i="9"/>
  <c r="U35" i="8"/>
  <c r="AP41" i="9"/>
  <c r="AP42" i="9" s="1"/>
  <c r="AI31" i="5" l="1"/>
  <c r="AA11" i="5" s="1"/>
  <c r="X9" i="4"/>
  <c r="X4" i="4"/>
  <c r="X5" i="4"/>
  <c r="X6" i="4"/>
  <c r="X7" i="4"/>
  <c r="X8" i="4"/>
  <c r="X10" i="4"/>
  <c r="X11" i="4"/>
  <c r="X12" i="4"/>
  <c r="X13" i="4"/>
  <c r="X14" i="4"/>
  <c r="X3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30" i="4"/>
  <c r="AN39" i="4" l="1"/>
  <c r="AM10" i="4"/>
  <c r="AM11" i="4"/>
  <c r="AM12" i="4"/>
  <c r="AM9" i="4"/>
  <c r="AM8" i="4"/>
  <c r="AM7" i="4"/>
  <c r="AM6" i="4"/>
  <c r="AM5" i="4"/>
  <c r="AN5" i="4" s="1"/>
  <c r="Q24" i="4"/>
  <c r="AG25" i="4"/>
  <c r="AG24" i="4"/>
  <c r="AG23" i="4"/>
  <c r="AG22" i="4"/>
  <c r="AG18" i="4"/>
  <c r="AG19" i="4"/>
  <c r="AG20" i="4"/>
  <c r="AG21" i="4"/>
  <c r="AG17" i="4"/>
  <c r="AG16" i="4"/>
  <c r="AG15" i="4"/>
  <c r="AG14" i="4"/>
  <c r="AG13" i="4"/>
  <c r="AG12" i="4"/>
  <c r="AG11" i="4"/>
  <c r="AG10" i="4"/>
  <c r="AG6" i="4"/>
  <c r="AG5" i="4"/>
  <c r="AG4" i="4"/>
  <c r="AG3" i="4"/>
  <c r="U22" i="4"/>
  <c r="U21" i="4"/>
  <c r="U20" i="4"/>
  <c r="U19" i="4"/>
  <c r="Y4" i="4"/>
  <c r="G22" i="4" s="1"/>
  <c r="Y6" i="4"/>
  <c r="G24" i="4" s="1"/>
  <c r="Y5" i="4"/>
  <c r="G23" i="4" s="1"/>
  <c r="Y3" i="4"/>
  <c r="R15" i="4"/>
  <c r="S15" i="4"/>
  <c r="T15" i="4"/>
  <c r="Q15" i="4"/>
  <c r="P4" i="4"/>
  <c r="P5" i="4"/>
  <c r="P6" i="4"/>
  <c r="P7" i="4"/>
  <c r="P8" i="4"/>
  <c r="P9" i="4"/>
  <c r="P10" i="4"/>
  <c r="P11" i="4"/>
  <c r="P12" i="4"/>
  <c r="P13" i="4"/>
  <c r="P14" i="4"/>
  <c r="P3" i="4"/>
  <c r="O4" i="4"/>
  <c r="O5" i="4"/>
  <c r="O6" i="4"/>
  <c r="O7" i="4"/>
  <c r="O8" i="4"/>
  <c r="O9" i="4"/>
  <c r="O10" i="4"/>
  <c r="O11" i="4"/>
  <c r="O12" i="4"/>
  <c r="O13" i="4"/>
  <c r="O14" i="4"/>
  <c r="O3" i="4"/>
  <c r="N10" i="4"/>
  <c r="N11" i="4"/>
  <c r="N12" i="4"/>
  <c r="N13" i="4"/>
  <c r="N14" i="4"/>
  <c r="N4" i="4"/>
  <c r="N5" i="4"/>
  <c r="N6" i="4"/>
  <c r="N7" i="4"/>
  <c r="N8" i="4"/>
  <c r="N9" i="4"/>
  <c r="N3" i="4"/>
  <c r="M4" i="4"/>
  <c r="M5" i="4"/>
  <c r="M6" i="4"/>
  <c r="M7" i="4"/>
  <c r="M8" i="4"/>
  <c r="M9" i="4"/>
  <c r="M10" i="4"/>
  <c r="M11" i="4"/>
  <c r="M12" i="4"/>
  <c r="M13" i="4"/>
  <c r="M14" i="4"/>
  <c r="M3" i="4"/>
  <c r="L4" i="4"/>
  <c r="L5" i="4"/>
  <c r="L6" i="4"/>
  <c r="L7" i="4"/>
  <c r="L8" i="4"/>
  <c r="L9" i="4"/>
  <c r="L10" i="4"/>
  <c r="L11" i="4"/>
  <c r="L12" i="4"/>
  <c r="L13" i="4"/>
  <c r="L14" i="4"/>
  <c r="L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3" i="4"/>
  <c r="AG26" i="4" l="1"/>
  <c r="G21" i="4"/>
  <c r="B6" i="4"/>
  <c r="G6" i="4" s="1"/>
  <c r="B8" i="4"/>
  <c r="G8" i="4" s="1"/>
  <c r="B7" i="4"/>
  <c r="G7" i="4" s="1"/>
  <c r="B3" i="4"/>
  <c r="G3" i="4" s="1"/>
  <c r="B5" i="4"/>
  <c r="G5" i="4" s="1"/>
  <c r="B4" i="4"/>
  <c r="G4" i="4" s="1"/>
  <c r="B16" i="4"/>
  <c r="G16" i="4" s="1"/>
  <c r="B15" i="4"/>
  <c r="G15" i="4" s="1"/>
  <c r="B14" i="4"/>
  <c r="G14" i="4" s="1"/>
  <c r="B13" i="4"/>
  <c r="G13" i="4" s="1"/>
  <c r="B12" i="4"/>
  <c r="G12" i="4" s="1"/>
  <c r="B11" i="4"/>
  <c r="G11" i="4" s="1"/>
  <c r="B10" i="4"/>
  <c r="G10" i="4" s="1"/>
  <c r="B9" i="4"/>
  <c r="G9" i="4" s="1"/>
  <c r="D11" i="4" l="1"/>
  <c r="F11" i="4" s="1"/>
  <c r="F38" i="4"/>
  <c r="F39" i="4"/>
  <c r="D12" i="4"/>
  <c r="F12" i="4" s="1"/>
  <c r="D13" i="4"/>
  <c r="F13" i="4" s="1"/>
  <c r="F40" i="4"/>
  <c r="F41" i="4"/>
  <c r="D14" i="4"/>
  <c r="F14" i="4" s="1"/>
  <c r="D9" i="4"/>
  <c r="F9" i="4" s="1"/>
  <c r="F36" i="4"/>
  <c r="F42" i="4"/>
  <c r="D15" i="4"/>
  <c r="F15" i="4" s="1"/>
  <c r="F37" i="4"/>
  <c r="D10" i="4"/>
  <c r="F10" i="4" s="1"/>
  <c r="F43" i="4"/>
  <c r="D16" i="4"/>
  <c r="F16" i="4" s="1"/>
  <c r="F31" i="4"/>
  <c r="D4" i="4"/>
  <c r="F4" i="4" s="1"/>
  <c r="D5" i="4"/>
  <c r="F5" i="4" s="1"/>
  <c r="F32" i="4"/>
  <c r="D3" i="4"/>
  <c r="F30" i="4"/>
  <c r="D7" i="4"/>
  <c r="F7" i="4" s="1"/>
  <c r="F34" i="4"/>
  <c r="D8" i="4"/>
  <c r="F8" i="4" s="1"/>
  <c r="F35" i="4"/>
  <c r="D6" i="4"/>
  <c r="F6" i="4" s="1"/>
  <c r="F33" i="4"/>
  <c r="L3" i="3"/>
  <c r="O18" i="3"/>
  <c r="P18" i="3"/>
  <c r="Q18" i="3"/>
  <c r="R18" i="3"/>
  <c r="S18" i="3"/>
  <c r="J18" i="3"/>
  <c r="K18" i="3"/>
  <c r="L18" i="3"/>
  <c r="M18" i="3"/>
  <c r="N18" i="3"/>
  <c r="I18" i="3"/>
  <c r="U3" i="3"/>
  <c r="T3" i="3"/>
  <c r="S3" i="3"/>
  <c r="R3" i="3"/>
  <c r="Q3" i="3"/>
  <c r="P3" i="3"/>
  <c r="O3" i="3"/>
  <c r="N3" i="3"/>
  <c r="M3" i="3"/>
  <c r="K3" i="3"/>
  <c r="J3" i="3"/>
  <c r="I3" i="3"/>
  <c r="A61" i="1"/>
  <c r="L14" i="1"/>
  <c r="L13" i="1"/>
  <c r="L12" i="1"/>
  <c r="L11" i="1"/>
  <c r="F44" i="4" l="1"/>
  <c r="F3" i="4"/>
  <c r="G18" i="4"/>
  <c r="AG27" i="4" s="1"/>
  <c r="AG28" i="4" s="1"/>
  <c r="AN38" i="4" l="1"/>
  <c r="AG31" i="4"/>
  <c r="Y11" i="4" s="1"/>
  <c r="AK2" i="4" s="1"/>
  <c r="AN41" i="4" s="1"/>
  <c r="AN42" i="4" s="1"/>
  <c r="AH28" i="4"/>
  <c r="AN44" i="4" l="1"/>
</calcChain>
</file>

<file path=xl/sharedStrings.xml><?xml version="1.0" encoding="utf-8"?>
<sst xmlns="http://schemas.openxmlformats.org/spreadsheetml/2006/main" count="931" uniqueCount="356">
  <si>
    <t>公司初始现金</t>
  </si>
  <si>
    <t>公司注册设立费用</t>
  </si>
  <si>
    <t>办公室租金</t>
  </si>
  <si>
    <t>所得税率</t>
  </si>
  <si>
    <t>营业税率</t>
  </si>
  <si>
    <t>增值税率</t>
  </si>
  <si>
    <t>城建税率</t>
  </si>
  <si>
    <t>教育附加税率</t>
  </si>
  <si>
    <t>地方教育附加税率</t>
  </si>
  <si>
    <t>行政管理费</t>
  </si>
  <si>
    <t>小组人员工资</t>
  </si>
  <si>
    <t>养老保险比率</t>
  </si>
  <si>
    <t>失业保险比率</t>
  </si>
  <si>
    <t>工伤保险比率</t>
  </si>
  <si>
    <t>生育保险比率</t>
  </si>
  <si>
    <t>医疗保险比率</t>
  </si>
  <si>
    <t>未办理保险罚款</t>
  </si>
  <si>
    <t>普通借款利率</t>
  </si>
  <si>
    <t>普通借款还款周期(季度)</t>
  </si>
  <si>
    <t>紧急借款利率</t>
  </si>
  <si>
    <t>紧急借款还款周期(季度)</t>
  </si>
  <si>
    <t>同期最大借款授信额度</t>
  </si>
  <si>
    <t>一账期应收账款贴现率</t>
  </si>
  <si>
    <t>二账期应收账款贴现率</t>
  </si>
  <si>
    <t>三账期应收账款贴现率</t>
  </si>
  <si>
    <t>四账期应收账款贴现率</t>
  </si>
  <si>
    <t>公司产品上限</t>
  </si>
  <si>
    <t>厂房折旧率</t>
  </si>
  <si>
    <t>设备折旧率</t>
  </si>
  <si>
    <t>未交付订单的罚金比率</t>
  </si>
  <si>
    <t>产品设计费用</t>
  </si>
  <si>
    <t>产品研发每期投入</t>
  </si>
  <si>
    <t>广告累计影响时间</t>
  </si>
  <si>
    <t>紧急贷款扣分</t>
  </si>
  <si>
    <t>每期广告最低投入</t>
  </si>
  <si>
    <t>订单报价，最低价比例</t>
  </si>
  <si>
    <t>资质认证</t>
    <phoneticPr fontId="5" type="noConversion"/>
  </si>
  <si>
    <t>CCC认证</t>
    <phoneticPr fontId="5" type="noConversion"/>
  </si>
  <si>
    <t>SRC认证</t>
    <phoneticPr fontId="5" type="noConversion"/>
  </si>
  <si>
    <t>原料价格表</t>
  </si>
  <si>
    <t>高亮LED</t>
  </si>
  <si>
    <t>TFT触摸屏</t>
  </si>
  <si>
    <t>OLED显示屏</t>
  </si>
  <si>
    <t>塑胶</t>
  </si>
  <si>
    <t>金属</t>
  </si>
  <si>
    <t>皮革</t>
  </si>
  <si>
    <t>7天以下</t>
  </si>
  <si>
    <t>15天</t>
  </si>
  <si>
    <t>30天</t>
  </si>
  <si>
    <t>30天以上</t>
  </si>
  <si>
    <t>有氧锻炼</t>
  </si>
  <si>
    <t>心率测试</t>
  </si>
  <si>
    <t>GPS定位</t>
  </si>
  <si>
    <t>支付功能</t>
  </si>
  <si>
    <t>正式经营开始之前每家公司获得的注册资金（实收资本）</t>
  </si>
  <si>
    <t>公司设立开办过程中所发生的所有相关的费用。该笔费用在第一季度初自动扣除</t>
  </si>
  <si>
    <t>公司租赁办公场地的费用，每季度初自动扣除当季的租金</t>
  </si>
  <si>
    <t>企业经营当季如果有利润，按该税率在下季初缴纳所得税</t>
  </si>
  <si>
    <t>营改增改革后，停征营业税。</t>
  </si>
  <si>
    <t>销项税-进项税</t>
    <phoneticPr fontId="7" type="noConversion"/>
  </si>
  <si>
    <t>根据企业实际缴纳增值税</t>
    <phoneticPr fontId="7" type="noConversion"/>
  </si>
  <si>
    <t>根据企业应缴纳的增值税，按该税率缴纳教育附加税</t>
  </si>
  <si>
    <t>根据企业应缴纳的增值税</t>
    <phoneticPr fontId="7" type="noConversion"/>
  </si>
  <si>
    <t>公司每季度运营的行政管理费用</t>
  </si>
  <si>
    <t>小组管理团队所有人员的季度工资，不分人数多少</t>
  </si>
  <si>
    <t>根据工资总额按该比率缴纳养老保险费用</t>
  </si>
  <si>
    <t>根据工资总额按该比率缴纳失业保险费用</t>
  </si>
  <si>
    <t>根据工资总额按该比率缴纳工伤保险费用</t>
  </si>
  <si>
    <t>根据工资总额按该比率缴纳生育保险费用</t>
  </si>
  <si>
    <t>根据工资总额按该比率缴纳医疗保险费用</t>
  </si>
  <si>
    <t>没有给员工办理保险的情况下按该金额缴纳罚款</t>
    <phoneticPr fontId="7" type="noConversion"/>
  </si>
  <si>
    <t>正常向银行申请借款的利率</t>
  </si>
  <si>
    <t>普通借款还款周期</t>
  </si>
  <si>
    <t>公司资金链断裂时，紧急借款时的利率</t>
    <phoneticPr fontId="7" type="noConversion"/>
  </si>
  <si>
    <t>紧急借款还款周期</t>
  </si>
  <si>
    <t>同一个周期内，普通借款允许的最大借款金额</t>
  </si>
  <si>
    <t>在一个季度内到期的应收账款贴现率</t>
  </si>
  <si>
    <t>在二个季度内到期的应收账款贴现率</t>
  </si>
  <si>
    <t>在三个季度内到期的应收账款贴现率</t>
  </si>
  <si>
    <t>在四个季度内到期的应收账款贴现率</t>
  </si>
  <si>
    <t>8个</t>
  </si>
  <si>
    <t>每个公司最多能设计研发的产品类别数量</t>
  </si>
  <si>
    <t>每季度按该折旧率对购买的厂房原值计提折旧</t>
  </si>
  <si>
    <t>每季度按该折旧率对购买的设备原值计提折旧</t>
  </si>
  <si>
    <t>订单违约金 = (该订单最高限价 * 未交付订单数量) * 该比例</t>
    <phoneticPr fontId="7" type="noConversion"/>
  </si>
  <si>
    <t>产品设计修改的费用</t>
  </si>
  <si>
    <t>产品研发每期投入的资金</t>
  </si>
  <si>
    <t>投入广告后能够对定单分配进行影响的时间</t>
  </si>
  <si>
    <t>出现紧急贷款时。综合分值扣除分数/次</t>
  </si>
  <si>
    <t>每期广告最低投入，小于该数额将不允许投入。</t>
  </si>
  <si>
    <t>订单报价，最低价比例。最低价 = 上季度同一市场同一渠道同一消费群体所有报价产品平均数 * 该比例</t>
  </si>
  <si>
    <t>周期</t>
    <phoneticPr fontId="5" type="noConversion"/>
  </si>
  <si>
    <t>成本</t>
    <phoneticPr fontId="5" type="noConversion"/>
  </si>
  <si>
    <t>柔性线</t>
  </si>
  <si>
    <t>购买价格</t>
  </si>
  <si>
    <t>设备产能</t>
  </si>
  <si>
    <t>成品率</t>
  </si>
  <si>
    <t>混合投料</t>
  </si>
  <si>
    <t>是</t>
  </si>
  <si>
    <t>安装周期</t>
  </si>
  <si>
    <t>生产周期</t>
  </si>
  <si>
    <t>单件加工费</t>
  </si>
  <si>
    <t>工人上限</t>
  </si>
  <si>
    <t>维护费用</t>
  </si>
  <si>
    <t>升级费用</t>
  </si>
  <si>
    <t>升级周期</t>
  </si>
  <si>
    <t>升级提升</t>
  </si>
  <si>
    <t>搬迁周期</t>
  </si>
  <si>
    <t>搬迁费用</t>
  </si>
  <si>
    <t>自动线</t>
  </si>
  <si>
    <t>半自动线</t>
  </si>
  <si>
    <t>否</t>
  </si>
  <si>
    <t>手工线</t>
  </si>
  <si>
    <t>腕带材质</t>
  </si>
  <si>
    <t>待机时间</t>
  </si>
  <si>
    <t>附加功能</t>
  </si>
  <si>
    <t>4季度</t>
  </si>
  <si>
    <t>5季度</t>
    <phoneticPr fontId="7" type="noConversion"/>
  </si>
  <si>
    <t>6季度</t>
    <phoneticPr fontId="7" type="noConversion"/>
  </si>
  <si>
    <t>到货周期</t>
    <phoneticPr fontId="7" type="noConversion"/>
  </si>
  <si>
    <t>付款周期</t>
    <phoneticPr fontId="7" type="noConversion"/>
  </si>
  <si>
    <t>研发系数</t>
    <phoneticPr fontId="7" type="noConversion"/>
  </si>
  <si>
    <t>1季度</t>
    <phoneticPr fontId="7" type="noConversion"/>
  </si>
  <si>
    <t>2季度</t>
    <phoneticPr fontId="7" type="noConversion"/>
  </si>
  <si>
    <t>3季度</t>
    <phoneticPr fontId="7" type="noConversion"/>
  </si>
  <si>
    <t>市场名称</t>
    <phoneticPr fontId="5" type="noConversion"/>
  </si>
  <si>
    <t>每期开发成本</t>
    <phoneticPr fontId="5" type="noConversion"/>
  </si>
  <si>
    <t>开发周期</t>
    <phoneticPr fontId="5" type="noConversion"/>
  </si>
  <si>
    <t>华东</t>
    <phoneticPr fontId="7" type="noConversion"/>
  </si>
  <si>
    <t>华北</t>
    <phoneticPr fontId="5" type="noConversion"/>
  </si>
  <si>
    <t>华南</t>
    <phoneticPr fontId="5" type="noConversion"/>
  </si>
  <si>
    <t>华中</t>
    <phoneticPr fontId="5" type="noConversion"/>
  </si>
  <si>
    <t>西南</t>
    <phoneticPr fontId="5" type="noConversion"/>
  </si>
  <si>
    <t>东北</t>
    <phoneticPr fontId="7" type="noConversion"/>
  </si>
  <si>
    <t>西北</t>
    <phoneticPr fontId="7" type="noConversion"/>
  </si>
  <si>
    <t>群体名称</t>
  </si>
  <si>
    <t>最高参考价格</t>
    <phoneticPr fontId="5" type="noConversion"/>
  </si>
  <si>
    <t>品牌权重</t>
  </si>
  <si>
    <t>功能权重</t>
    <phoneticPr fontId="3" type="noConversion"/>
  </si>
  <si>
    <t>销售权重</t>
    <phoneticPr fontId="3" type="noConversion"/>
  </si>
  <si>
    <t>口碑权重</t>
    <phoneticPr fontId="7" type="noConversion"/>
  </si>
  <si>
    <t>合计</t>
    <phoneticPr fontId="7" type="noConversion"/>
  </si>
  <si>
    <t>商务人士</t>
    <phoneticPr fontId="7" type="noConversion"/>
  </si>
  <si>
    <t>公司白领</t>
    <phoneticPr fontId="7" type="noConversion"/>
  </si>
  <si>
    <t>青少年群体</t>
    <phoneticPr fontId="7" type="noConversion"/>
  </si>
  <si>
    <t>老年群体</t>
    <phoneticPr fontId="7" type="noConversion"/>
  </si>
  <si>
    <t>员工设置</t>
    <phoneticPr fontId="5" type="noConversion"/>
  </si>
  <si>
    <t>聘用价格</t>
    <phoneticPr fontId="5" type="noConversion"/>
  </si>
  <si>
    <t>生产销售能力</t>
    <phoneticPr fontId="5" type="noConversion"/>
  </si>
  <si>
    <t>培训费用</t>
    <phoneticPr fontId="5" type="noConversion"/>
  </si>
  <si>
    <t>培训提升</t>
    <phoneticPr fontId="5" type="noConversion"/>
  </si>
  <si>
    <t>员工工资</t>
    <phoneticPr fontId="5" type="noConversion"/>
  </si>
  <si>
    <t>试用期</t>
    <phoneticPr fontId="5" type="noConversion"/>
  </si>
  <si>
    <t>辞退补偿费用</t>
    <phoneticPr fontId="5" type="noConversion"/>
  </si>
  <si>
    <t>销售员</t>
    <phoneticPr fontId="5" type="noConversion"/>
  </si>
  <si>
    <t>生产工人</t>
    <phoneticPr fontId="5" type="noConversion"/>
  </si>
  <si>
    <t>厂房设置：</t>
    <phoneticPr fontId="5" type="noConversion"/>
  </si>
  <si>
    <t>大厂房</t>
    <phoneticPr fontId="5" type="noConversion"/>
  </si>
  <si>
    <t>中厂房</t>
    <phoneticPr fontId="5" type="noConversion"/>
  </si>
  <si>
    <t>小厂房</t>
    <phoneticPr fontId="5" type="noConversion"/>
  </si>
  <si>
    <t>容纳生产线</t>
  </si>
  <si>
    <t>购买价格(元)</t>
    <phoneticPr fontId="5" type="noConversion"/>
  </si>
  <si>
    <t>购买价格(元)</t>
  </si>
  <si>
    <t>租用价格(元/季度)</t>
  </si>
  <si>
    <t>折旧率</t>
  </si>
  <si>
    <t>生产线设置：</t>
    <phoneticPr fontId="5" type="noConversion"/>
  </si>
  <si>
    <t>半自动线</t>
    <phoneticPr fontId="7" type="noConversion"/>
  </si>
  <si>
    <t>手工线</t>
    <phoneticPr fontId="7" type="noConversion"/>
  </si>
  <si>
    <t>紧急采购</t>
    <phoneticPr fontId="5" type="noConversion"/>
  </si>
  <si>
    <t>原材料折扣：</t>
    <phoneticPr fontId="5" type="noConversion"/>
  </si>
  <si>
    <t>批量上限值</t>
    <phoneticPr fontId="7" type="noConversion"/>
  </si>
  <si>
    <t>塑胶</t>
    <phoneticPr fontId="3" type="noConversion"/>
  </si>
  <si>
    <t>金属</t>
    <phoneticPr fontId="3" type="noConversion"/>
  </si>
  <si>
    <t xml:space="preserve"> 产品设计基础分</t>
    <phoneticPr fontId="7" type="noConversion"/>
  </si>
  <si>
    <t>材料</t>
    <phoneticPr fontId="7" type="noConversion"/>
  </si>
  <si>
    <t>群体</t>
    <phoneticPr fontId="7" type="noConversion"/>
  </si>
  <si>
    <t>序号</t>
  </si>
  <si>
    <t>商务</t>
  </si>
  <si>
    <t>白领</t>
  </si>
  <si>
    <t>青少年</t>
  </si>
  <si>
    <t>老年</t>
  </si>
  <si>
    <t>人群</t>
  </si>
  <si>
    <t>S</t>
    <phoneticPr fontId="7" type="noConversion"/>
  </si>
  <si>
    <t>B</t>
    <phoneticPr fontId="7" type="noConversion"/>
  </si>
  <si>
    <t>Q</t>
    <phoneticPr fontId="7" type="noConversion"/>
  </si>
  <si>
    <t>L</t>
    <phoneticPr fontId="7" type="noConversion"/>
  </si>
  <si>
    <t>产品配置</t>
    <phoneticPr fontId="7" type="noConversion"/>
  </si>
  <si>
    <t>屏幕类型</t>
    <phoneticPr fontId="7" type="noConversion"/>
  </si>
  <si>
    <t>高亮</t>
    <phoneticPr fontId="7" type="noConversion"/>
  </si>
  <si>
    <t>产品设计</t>
  </si>
  <si>
    <t>TFT</t>
  </si>
  <si>
    <t>OLED</t>
  </si>
  <si>
    <t>有氧</t>
  </si>
  <si>
    <t>心率</t>
  </si>
  <si>
    <t>GPS</t>
  </si>
  <si>
    <t>总分</t>
    <phoneticPr fontId="7" type="noConversion"/>
  </si>
  <si>
    <t>S</t>
    <phoneticPr fontId="3" type="noConversion"/>
  </si>
  <si>
    <t>B</t>
    <phoneticPr fontId="3" type="noConversion"/>
  </si>
  <si>
    <t>Q</t>
    <phoneticPr fontId="3" type="noConversion"/>
  </si>
  <si>
    <t>L</t>
    <phoneticPr fontId="3" type="noConversion"/>
  </si>
  <si>
    <t>顺序购买数量</t>
  </si>
  <si>
    <t>实际购买</t>
  </si>
  <si>
    <t>单价</t>
    <phoneticPr fontId="3" type="noConversion"/>
  </si>
  <si>
    <t>实际价格</t>
    <phoneticPr fontId="3" type="noConversion"/>
  </si>
  <si>
    <t xml:space="preserve"> 付款周期</t>
    <phoneticPr fontId="3" type="noConversion"/>
  </si>
  <si>
    <t>预购数量</t>
    <phoneticPr fontId="3" type="noConversion"/>
  </si>
  <si>
    <t>材料费用</t>
    <phoneticPr fontId="28" type="noConversion"/>
  </si>
  <si>
    <t>第一季度广告分</t>
    <phoneticPr fontId="3" type="noConversion"/>
  </si>
  <si>
    <t>人均广告</t>
    <phoneticPr fontId="3" type="noConversion"/>
  </si>
  <si>
    <t>品种</t>
  </si>
  <si>
    <t>产品名称</t>
  </si>
  <si>
    <t>手工投产</t>
  </si>
  <si>
    <t>成品</t>
  </si>
  <si>
    <t>广告</t>
  </si>
  <si>
    <t>现金流</t>
  </si>
  <si>
    <t>季度初现金</t>
  </si>
  <si>
    <t>厂房购买</t>
  </si>
  <si>
    <t>购买小厂房</t>
  </si>
  <si>
    <t>购买中厂房</t>
  </si>
  <si>
    <t>生产加工费</t>
  </si>
  <si>
    <t>购买大厂房</t>
  </si>
  <si>
    <t>租用小厂房</t>
  </si>
  <si>
    <t>租用中厂房</t>
  </si>
  <si>
    <t>租用大厂房</t>
  </si>
  <si>
    <t>产房租金</t>
  </si>
  <si>
    <t>小厂房</t>
  </si>
  <si>
    <t>设备购买</t>
  </si>
  <si>
    <t>中厂房</t>
  </si>
  <si>
    <t>大厂房</t>
  </si>
  <si>
    <t>全自动线</t>
  </si>
  <si>
    <t>维护费</t>
  </si>
  <si>
    <t>设计数量</t>
  </si>
  <si>
    <t>研发数量</t>
  </si>
  <si>
    <t>市场开发</t>
  </si>
  <si>
    <t>工人招聘</t>
  </si>
  <si>
    <t>销售招聘</t>
  </si>
  <si>
    <t>广告投入</t>
  </si>
  <si>
    <t>原材料当季费用</t>
  </si>
  <si>
    <t>判断</t>
  </si>
  <si>
    <t>借款</t>
  </si>
  <si>
    <t>半自动投产</t>
    <phoneticPr fontId="3" type="noConversion"/>
  </si>
  <si>
    <t>自动投产</t>
    <phoneticPr fontId="3" type="noConversion"/>
  </si>
  <si>
    <t>柔性投产</t>
    <phoneticPr fontId="3" type="noConversion"/>
  </si>
  <si>
    <t>建议</t>
    <phoneticPr fontId="3" type="noConversion"/>
  </si>
  <si>
    <t>预测广告分</t>
    <phoneticPr fontId="3" type="noConversion"/>
  </si>
  <si>
    <t>广告</t>
    <phoneticPr fontId="3" type="noConversion"/>
  </si>
  <si>
    <t>交单前的现金流</t>
    <phoneticPr fontId="3" type="noConversion"/>
  </si>
  <si>
    <t>交单后现金流</t>
    <phoneticPr fontId="3" type="noConversion"/>
  </si>
  <si>
    <t>一账期可贴现额</t>
    <phoneticPr fontId="3" type="noConversion"/>
  </si>
  <si>
    <t>二账期可贴现额</t>
    <phoneticPr fontId="3" type="noConversion"/>
  </si>
  <si>
    <t>第
一
季
度
末</t>
    <phoneticPr fontId="3" type="noConversion"/>
  </si>
  <si>
    <t>项目</t>
    <phoneticPr fontId="3" type="noConversion"/>
  </si>
  <si>
    <t>数量</t>
    <phoneticPr fontId="3" type="noConversion"/>
  </si>
  <si>
    <t>总费用</t>
    <phoneticPr fontId="3" type="noConversion"/>
  </si>
  <si>
    <t>贴先后金额</t>
    <phoneticPr fontId="7" type="noConversion"/>
  </si>
  <si>
    <t>制造费用</t>
    <phoneticPr fontId="3" type="noConversion"/>
  </si>
  <si>
    <t>柔性线</t>
    <phoneticPr fontId="7" type="noConversion"/>
  </si>
  <si>
    <t>厂房租赁</t>
    <phoneticPr fontId="3" type="noConversion"/>
  </si>
  <si>
    <t>自动线</t>
    <phoneticPr fontId="7" type="noConversion"/>
  </si>
  <si>
    <t>余额</t>
    <phoneticPr fontId="7" type="noConversion"/>
  </si>
  <si>
    <t>生产工人工资与五险</t>
    <phoneticPr fontId="3" type="noConversion"/>
  </si>
  <si>
    <t>柔性线</t>
    <phoneticPr fontId="3" type="noConversion"/>
  </si>
  <si>
    <t>华北</t>
    <phoneticPr fontId="3" type="noConversion"/>
  </si>
  <si>
    <t>实际小组数量</t>
    <phoneticPr fontId="3" type="noConversion"/>
  </si>
  <si>
    <t>华南</t>
    <phoneticPr fontId="3" type="noConversion"/>
  </si>
  <si>
    <t>管理人员和五险</t>
    <phoneticPr fontId="3" type="noConversion"/>
  </si>
  <si>
    <t>消费群体</t>
    <phoneticPr fontId="3" type="noConversion"/>
  </si>
  <si>
    <t>华东需求量</t>
    <phoneticPr fontId="3" type="noConversion"/>
  </si>
  <si>
    <t>产品设计数量</t>
    <phoneticPr fontId="3" type="noConversion"/>
  </si>
  <si>
    <t>理论单量</t>
    <phoneticPr fontId="3" type="noConversion"/>
  </si>
  <si>
    <t>经验值</t>
    <phoneticPr fontId="7" type="noConversion"/>
  </si>
  <si>
    <t>华中</t>
    <phoneticPr fontId="3" type="noConversion"/>
  </si>
  <si>
    <t>基本行政管理费用</t>
    <phoneticPr fontId="3" type="noConversion"/>
  </si>
  <si>
    <t>生产工人</t>
    <phoneticPr fontId="3" type="noConversion"/>
  </si>
  <si>
    <t>西南</t>
    <phoneticPr fontId="3" type="noConversion"/>
  </si>
  <si>
    <t>销售人员</t>
    <phoneticPr fontId="3" type="noConversion"/>
  </si>
  <si>
    <t>东北</t>
    <phoneticPr fontId="3" type="noConversion"/>
  </si>
  <si>
    <t>生产设备出售</t>
    <phoneticPr fontId="3" type="noConversion"/>
  </si>
  <si>
    <t>单量小组数</t>
    <phoneticPr fontId="3" type="noConversion"/>
  </si>
  <si>
    <t>西北</t>
    <phoneticPr fontId="3" type="noConversion"/>
  </si>
  <si>
    <t>资质认证CCC</t>
    <phoneticPr fontId="3" type="noConversion"/>
  </si>
  <si>
    <t>不操作</t>
    <phoneticPr fontId="3" type="noConversion"/>
  </si>
  <si>
    <t>资质认证SRRC</t>
    <phoneticPr fontId="3" type="noConversion"/>
  </si>
  <si>
    <t>厂房出售</t>
    <phoneticPr fontId="3" type="noConversion"/>
  </si>
  <si>
    <t>大厂房</t>
    <phoneticPr fontId="3" type="noConversion"/>
  </si>
  <si>
    <t>中厂房</t>
    <phoneticPr fontId="3" type="noConversion"/>
  </si>
  <si>
    <t>小厂房</t>
    <phoneticPr fontId="3" type="noConversion"/>
  </si>
  <si>
    <t>销售人员工资和五险</t>
    <phoneticPr fontId="3" type="noConversion"/>
  </si>
  <si>
    <t>订单违约金</t>
    <phoneticPr fontId="3" type="noConversion"/>
  </si>
  <si>
    <t>违约订单
最高限价</t>
    <phoneticPr fontId="3" type="noConversion"/>
  </si>
  <si>
    <t>贴现</t>
    <phoneticPr fontId="3" type="noConversion"/>
  </si>
  <si>
    <t>一账期实际贴现</t>
    <phoneticPr fontId="3" type="noConversion"/>
  </si>
  <si>
    <t>二账期实际贴现</t>
    <phoneticPr fontId="3" type="noConversion"/>
  </si>
  <si>
    <t>预购实际价格</t>
    <phoneticPr fontId="3" type="noConversion"/>
  </si>
  <si>
    <t>季度初库存数量</t>
    <phoneticPr fontId="3" type="noConversion"/>
  </si>
  <si>
    <t>季度末库存</t>
    <phoneticPr fontId="3" type="noConversion"/>
  </si>
  <si>
    <t>判断</t>
    <phoneticPr fontId="3" type="noConversion"/>
  </si>
  <si>
    <t>第
二
季
度
初</t>
    <phoneticPr fontId="3" type="noConversion"/>
  </si>
  <si>
    <t>应收账款</t>
    <phoneticPr fontId="3" type="noConversion"/>
  </si>
  <si>
    <t>应付账款</t>
    <phoneticPr fontId="3" type="noConversion"/>
  </si>
  <si>
    <t>材料预购费用</t>
    <phoneticPr fontId="3" type="noConversion"/>
  </si>
  <si>
    <t>办公室租金</t>
    <phoneticPr fontId="3" type="noConversion"/>
  </si>
  <si>
    <t>增值税</t>
    <phoneticPr fontId="3" type="noConversion"/>
  </si>
  <si>
    <t>其他税收</t>
    <phoneticPr fontId="3" type="noConversion"/>
  </si>
  <si>
    <t>所得税</t>
    <phoneticPr fontId="3" type="noConversion"/>
  </si>
  <si>
    <t>当季花费的材料费</t>
    <phoneticPr fontId="7" type="noConversion"/>
  </si>
  <si>
    <t>税后</t>
    <phoneticPr fontId="3" type="noConversion"/>
  </si>
  <si>
    <t>顺序购买数量</t>
    <phoneticPr fontId="3" type="noConversion"/>
  </si>
  <si>
    <t>上季度库存</t>
    <phoneticPr fontId="3" type="noConversion"/>
  </si>
  <si>
    <t>华北需求量</t>
    <phoneticPr fontId="3" type="noConversion"/>
  </si>
  <si>
    <t>华南需求量</t>
    <phoneticPr fontId="3" type="noConversion"/>
  </si>
  <si>
    <t>理论需求量</t>
    <phoneticPr fontId="3" type="noConversion"/>
  </si>
  <si>
    <t>累计广告</t>
    <phoneticPr fontId="3" type="noConversion"/>
  </si>
  <si>
    <t>经验值</t>
    <phoneticPr fontId="3" type="noConversion"/>
  </si>
  <si>
    <t>人数</t>
  </si>
  <si>
    <t>研发</t>
  </si>
  <si>
    <t>第一季度总设计-小组数量</t>
    <phoneticPr fontId="3" type="noConversion"/>
  </si>
  <si>
    <t>不研发</t>
  </si>
  <si>
    <t>一般等于小组数量</t>
  </si>
  <si>
    <t>白领</t>
    <phoneticPr fontId="3" type="noConversion"/>
  </si>
  <si>
    <t>第一季度总设计-第一季度卖产品种类</t>
  </si>
  <si>
    <t>不研发</t>
    <phoneticPr fontId="7" type="noConversion"/>
  </si>
  <si>
    <t>数0研发</t>
  </si>
  <si>
    <t>青年</t>
  </si>
  <si>
    <t>一般等于小组
数量</t>
    <phoneticPr fontId="3" type="noConversion"/>
  </si>
  <si>
    <t>数三青</t>
  </si>
  <si>
    <t>正常</t>
  </si>
  <si>
    <t>数三老</t>
  </si>
  <si>
    <t>销售分</t>
  </si>
  <si>
    <t>华东</t>
  </si>
  <si>
    <t>华北</t>
  </si>
  <si>
    <t>华南</t>
  </si>
  <si>
    <t>销售人数：</t>
    <phoneticPr fontId="7" type="noConversion"/>
  </si>
  <si>
    <t>功能分</t>
  </si>
  <si>
    <t>价格分</t>
  </si>
  <si>
    <t>口碑分</t>
  </si>
  <si>
    <t>广告分</t>
  </si>
  <si>
    <t>上限设置</t>
    <phoneticPr fontId="3" type="noConversion"/>
  </si>
  <si>
    <t>理论单量</t>
    <phoneticPr fontId="7" type="noConversion"/>
  </si>
  <si>
    <t>被删/不玩</t>
    <phoneticPr fontId="3" type="noConversion"/>
  </si>
  <si>
    <t>产品评价分</t>
    <phoneticPr fontId="3" type="noConversion"/>
  </si>
  <si>
    <t>口碑变化</t>
    <phoneticPr fontId="3" type="noConversion"/>
  </si>
  <si>
    <t>广告分</t>
    <phoneticPr fontId="3" type="noConversion"/>
  </si>
  <si>
    <t>广告分剔除</t>
    <phoneticPr fontId="3" type="noConversion"/>
  </si>
  <si>
    <t>新加广告分</t>
    <phoneticPr fontId="3" type="noConversion"/>
  </si>
  <si>
    <t>最终分</t>
    <phoneticPr fontId="3" type="noConversion"/>
  </si>
  <si>
    <t>正常分</t>
    <phoneticPr fontId="3" type="noConversion"/>
  </si>
  <si>
    <t>未开资质</t>
    <phoneticPr fontId="3" type="noConversion"/>
  </si>
  <si>
    <t>华东华北分</t>
    <phoneticPr fontId="3" type="noConversion"/>
  </si>
  <si>
    <t>未开市场</t>
    <phoneticPr fontId="3" type="noConversion"/>
  </si>
  <si>
    <t>东北西北</t>
    <phoneticPr fontId="3" type="noConversion"/>
  </si>
  <si>
    <t>口碑分</t>
    <phoneticPr fontId="3" type="noConversion"/>
  </si>
  <si>
    <t>人数</t>
    <phoneticPr fontId="3" type="noConversion"/>
  </si>
  <si>
    <t>折后价</t>
    <phoneticPr fontId="3" type="noConversion"/>
  </si>
  <si>
    <t>价格权重</t>
    <phoneticPr fontId="3" type="noConversion"/>
  </si>
  <si>
    <t>当季花费材料费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</si>
</sst>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#,##0.00_ "/>
  </numFmts>
  <fonts count="4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indexed="10"/>
      <name val="等线"/>
      <family val="3"/>
      <charset val="134"/>
      <scheme val="minor"/>
    </font>
    <font>
      <b/>
      <sz val="11"/>
      <color indexed="63"/>
      <name val="等线"/>
      <family val="3"/>
      <charset val="134"/>
      <scheme val="minor"/>
    </font>
    <font>
      <b/>
      <sz val="11"/>
      <color rgb="FF333333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sz val="12"/>
      <color indexed="1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color theme="5"/>
      <name val="等线"/>
      <family val="2"/>
      <scheme val="minor"/>
    </font>
    <font>
      <sz val="11"/>
      <color theme="5"/>
      <name val="等线"/>
      <family val="3"/>
      <charset val="134"/>
      <scheme val="minor"/>
    </font>
    <font>
      <sz val="11"/>
      <color theme="9"/>
      <name val="等线"/>
      <family val="2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sz val="9"/>
      <name val="等线"/>
      <family val="3"/>
      <charset val="134"/>
    </font>
    <font>
      <b/>
      <sz val="18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36"/>
      <color rgb="FFFF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rgb="FF000000"/>
      <name val="Arial"/>
      <family val="2"/>
      <charset val="134"/>
    </font>
    <font>
      <b/>
      <sz val="11"/>
      <color theme="0"/>
      <name val="等线"/>
      <family val="3"/>
      <charset val="134"/>
      <scheme val="minor"/>
    </font>
    <font>
      <b/>
      <sz val="11"/>
      <color theme="1"/>
      <name val="Microsoft JhengHei UI Light"/>
      <family val="2"/>
      <charset val="136"/>
    </font>
    <font>
      <b/>
      <sz val="11"/>
      <color theme="1"/>
      <name val="Malgun Gothic Semilight"/>
      <family val="2"/>
      <charset val="134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000000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C6DEB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rgb="FF000000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C6DEB5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57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4" fillId="0" borderId="2" xfId="1" applyFont="1" applyBorder="1" applyAlignment="1" applyProtection="1">
      <alignment horizontal="center" vertical="center" shrinkToFit="1"/>
      <protection hidden="1"/>
    </xf>
    <xf numFmtId="0" fontId="4" fillId="0" borderId="3" xfId="1" applyFont="1" applyBorder="1" applyAlignment="1" applyProtection="1">
      <alignment horizontal="center" vertical="center" shrinkToFit="1"/>
      <protection hidden="1"/>
    </xf>
    <xf numFmtId="0" fontId="4" fillId="4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4" fontId="6" fillId="8" borderId="1" xfId="1" applyNumberFormat="1" applyFont="1" applyFill="1" applyBorder="1" applyAlignment="1">
      <alignment horizontal="center" vertical="center" wrapText="1"/>
    </xf>
    <xf numFmtId="4" fontId="2" fillId="8" borderId="1" xfId="1" applyNumberFormat="1" applyFont="1" applyFill="1" applyBorder="1" applyAlignment="1">
      <alignment horizontal="center" vertical="center" wrapText="1"/>
    </xf>
    <xf numFmtId="10" fontId="2" fillId="8" borderId="1" xfId="1" applyNumberFormat="1" applyFont="1" applyFill="1" applyBorder="1" applyAlignment="1">
      <alignment horizontal="center" vertical="center" wrapText="1"/>
    </xf>
    <xf numFmtId="3" fontId="2" fillId="8" borderId="1" xfId="1" applyNumberFormat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 applyProtection="1">
      <alignment horizontal="center" vertical="center" shrinkToFit="1"/>
      <protection hidden="1"/>
    </xf>
    <xf numFmtId="0" fontId="4" fillId="8" borderId="4" xfId="1" applyFont="1" applyFill="1" applyBorder="1" applyAlignment="1" applyProtection="1">
      <alignment horizontal="center" vertical="center" shrinkToFit="1"/>
      <protection hidden="1"/>
    </xf>
    <xf numFmtId="0" fontId="4" fillId="0" borderId="5" xfId="1" applyFont="1" applyBorder="1" applyAlignment="1" applyProtection="1">
      <alignment horizontal="center" vertical="center" shrinkToFit="1"/>
      <protection hidden="1"/>
    </xf>
    <xf numFmtId="0" fontId="4" fillId="8" borderId="6" xfId="1" applyFont="1" applyFill="1" applyBorder="1" applyAlignment="1" applyProtection="1">
      <alignment horizontal="center" vertical="center" shrinkToFit="1"/>
      <protection hidden="1"/>
    </xf>
    <xf numFmtId="0" fontId="8" fillId="0" borderId="1" xfId="1" applyFont="1" applyBorder="1" applyAlignment="1" applyProtection="1">
      <alignment horizontal="center" vertical="center" shrinkToFit="1"/>
      <protection hidden="1"/>
    </xf>
    <xf numFmtId="0" fontId="8" fillId="0" borderId="5" xfId="1" applyFont="1" applyBorder="1" applyAlignment="1" applyProtection="1">
      <alignment horizontal="center" vertical="center" shrinkToFit="1"/>
      <protection hidden="1"/>
    </xf>
    <xf numFmtId="0" fontId="4" fillId="0" borderId="7" xfId="1" applyFont="1" applyBorder="1" applyAlignment="1" applyProtection="1">
      <alignment horizontal="center" vertical="center"/>
      <protection hidden="1"/>
    </xf>
    <xf numFmtId="0" fontId="4" fillId="0" borderId="8" xfId="1" applyFont="1" applyBorder="1" applyAlignment="1" applyProtection="1">
      <alignment horizontal="center" vertical="center"/>
      <protection hidden="1"/>
    </xf>
    <xf numFmtId="0" fontId="4" fillId="0" borderId="1" xfId="1" applyFont="1" applyBorder="1" applyAlignment="1" applyProtection="1">
      <alignment horizontal="center" vertical="center"/>
      <protection hidden="1"/>
    </xf>
    <xf numFmtId="0" fontId="4" fillId="0" borderId="9" xfId="1" applyFont="1" applyBorder="1" applyAlignment="1" applyProtection="1">
      <alignment horizontal="center" vertical="center"/>
      <protection hidden="1"/>
    </xf>
    <xf numFmtId="0" fontId="4" fillId="8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9" borderId="1" xfId="1" applyFont="1" applyFill="1" applyBorder="1" applyAlignment="1" applyProtection="1">
      <alignment horizontal="center" shrinkToFit="1"/>
      <protection hidden="1"/>
    </xf>
    <xf numFmtId="0" fontId="4" fillId="8" borderId="1" xfId="1" applyFont="1" applyFill="1" applyBorder="1" applyAlignment="1" applyProtection="1">
      <alignment horizontal="center" shrinkToFit="1"/>
      <protection hidden="1"/>
    </xf>
    <xf numFmtId="0" fontId="9" fillId="0" borderId="10" xfId="1" applyFont="1" applyBorder="1" applyAlignment="1" applyProtection="1">
      <alignment horizontal="center" shrinkToFit="1"/>
      <protection hidden="1"/>
    </xf>
    <xf numFmtId="0" fontId="10" fillId="0" borderId="7" xfId="1" applyFont="1" applyBorder="1" applyAlignment="1" applyProtection="1">
      <alignment horizontal="center" shrinkToFit="1"/>
      <protection hidden="1"/>
    </xf>
    <xf numFmtId="0" fontId="11" fillId="0" borderId="7" xfId="1" applyFont="1" applyBorder="1" applyAlignment="1" applyProtection="1">
      <alignment horizontal="center" shrinkToFit="1"/>
      <protection hidden="1"/>
    </xf>
    <xf numFmtId="0" fontId="10" fillId="0" borderId="10" xfId="1" applyFont="1" applyBorder="1" applyAlignment="1" applyProtection="1">
      <alignment horizontal="center" shrinkToFit="1"/>
      <protection hidden="1"/>
    </xf>
    <xf numFmtId="0" fontId="12" fillId="10" borderId="2" xfId="1" applyFont="1" applyFill="1" applyBorder="1" applyAlignment="1" applyProtection="1">
      <alignment horizontal="center" shrinkToFit="1"/>
      <protection hidden="1"/>
    </xf>
    <xf numFmtId="0" fontId="12" fillId="8" borderId="1" xfId="1" applyFont="1" applyFill="1" applyBorder="1" applyAlignment="1" applyProtection="1">
      <alignment horizontal="center" shrinkToFit="1"/>
      <protection hidden="1"/>
    </xf>
    <xf numFmtId="0" fontId="12" fillId="8" borderId="1" xfId="1" applyFont="1" applyFill="1" applyBorder="1" applyAlignment="1" applyProtection="1">
      <alignment horizontal="center" vertical="center" shrinkToFit="1"/>
      <protection hidden="1"/>
    </xf>
    <xf numFmtId="0" fontId="4" fillId="10" borderId="11" xfId="1" applyFont="1" applyFill="1" applyBorder="1" applyAlignment="1">
      <alignment horizontal="center" vertical="center"/>
    </xf>
    <xf numFmtId="0" fontId="12" fillId="11" borderId="2" xfId="1" applyFont="1" applyFill="1" applyBorder="1" applyAlignment="1" applyProtection="1">
      <alignment horizontal="center" shrinkToFit="1"/>
      <protection hidden="1"/>
    </xf>
    <xf numFmtId="0" fontId="4" fillId="11" borderId="11" xfId="1" applyFont="1" applyFill="1" applyBorder="1" applyAlignment="1">
      <alignment horizontal="center" vertical="center"/>
    </xf>
    <xf numFmtId="0" fontId="12" fillId="12" borderId="2" xfId="1" applyFont="1" applyFill="1" applyBorder="1" applyAlignment="1" applyProtection="1">
      <alignment horizontal="center" shrinkToFit="1"/>
      <protection hidden="1"/>
    </xf>
    <xf numFmtId="0" fontId="4" fillId="12" borderId="11" xfId="1" applyFont="1" applyFill="1" applyBorder="1" applyAlignment="1">
      <alignment horizontal="center" vertical="center"/>
    </xf>
    <xf numFmtId="0" fontId="12" fillId="0" borderId="3" xfId="1" applyFont="1" applyBorder="1" applyAlignment="1" applyProtection="1">
      <alignment horizontal="center" shrinkToFit="1"/>
      <protection hidden="1"/>
    </xf>
    <xf numFmtId="0" fontId="12" fillId="8" borderId="5" xfId="1" applyFont="1" applyFill="1" applyBorder="1" applyAlignment="1" applyProtection="1">
      <alignment horizontal="center" shrinkToFit="1"/>
      <protection hidden="1"/>
    </xf>
    <xf numFmtId="0" fontId="12" fillId="8" borderId="5" xfId="1" applyFont="1" applyFill="1" applyBorder="1" applyAlignment="1" applyProtection="1">
      <alignment horizontal="center" vertical="center" shrinkToFit="1"/>
      <protection hidden="1"/>
    </xf>
    <xf numFmtId="0" fontId="4" fillId="0" borderId="12" xfId="1" applyFont="1" applyBorder="1" applyAlignment="1">
      <alignment horizontal="center" vertical="center"/>
    </xf>
    <xf numFmtId="0" fontId="4" fillId="0" borderId="7" xfId="1" applyFont="1" applyBorder="1" applyAlignment="1" applyProtection="1">
      <alignment horizontal="center" vertical="center" shrinkToFit="1"/>
      <protection hidden="1"/>
    </xf>
    <xf numFmtId="0" fontId="4" fillId="0" borderId="13" xfId="1" applyFont="1" applyBorder="1" applyAlignment="1" applyProtection="1">
      <alignment horizontal="center" vertical="center" shrinkToFit="1"/>
      <protection hidden="1"/>
    </xf>
    <xf numFmtId="0" fontId="4" fillId="9" borderId="2" xfId="1" applyFont="1" applyFill="1" applyBorder="1" applyAlignment="1" applyProtection="1">
      <alignment horizontal="center" vertical="center" shrinkToFit="1"/>
      <protection hidden="1"/>
    </xf>
    <xf numFmtId="0" fontId="4" fillId="8" borderId="1" xfId="1" applyFont="1" applyFill="1" applyBorder="1" applyAlignment="1" applyProtection="1">
      <alignment horizontal="center" vertical="center" shrinkToFit="1"/>
      <protection hidden="1"/>
    </xf>
    <xf numFmtId="0" fontId="4" fillId="0" borderId="14" xfId="1" applyFont="1" applyBorder="1" applyAlignment="1" applyProtection="1">
      <alignment horizontal="center" vertical="center" shrinkToFit="1"/>
      <protection hidden="1"/>
    </xf>
    <xf numFmtId="0" fontId="4" fillId="9" borderId="15" xfId="1" applyFont="1" applyFill="1" applyBorder="1" applyAlignment="1" applyProtection="1">
      <alignment horizontal="center" vertical="center" shrinkToFit="1"/>
      <protection hidden="1"/>
    </xf>
    <xf numFmtId="0" fontId="4" fillId="8" borderId="5" xfId="1" applyFont="1" applyFill="1" applyBorder="1" applyAlignment="1" applyProtection="1">
      <alignment horizontal="center" vertical="center" shrinkToFit="1"/>
      <protection hidden="1"/>
    </xf>
    <xf numFmtId="0" fontId="9" fillId="0" borderId="16" xfId="1" applyFont="1" applyBorder="1" applyAlignment="1" applyProtection="1">
      <alignment horizontal="left" vertical="center" shrinkToFit="1"/>
      <protection hidden="1"/>
    </xf>
    <xf numFmtId="0" fontId="9" fillId="0" borderId="0" xfId="1" applyFont="1" applyAlignment="1" applyProtection="1">
      <alignment horizontal="center" vertical="center" shrinkToFit="1"/>
      <protection hidden="1"/>
    </xf>
    <xf numFmtId="0" fontId="4" fillId="0" borderId="0" xfId="1" applyFont="1" applyAlignment="1" applyProtection="1">
      <alignment horizontal="center" vertical="center"/>
      <protection hidden="1"/>
    </xf>
    <xf numFmtId="4" fontId="4" fillId="8" borderId="1" xfId="1" applyNumberFormat="1" applyFont="1" applyFill="1" applyBorder="1" applyAlignment="1" applyProtection="1">
      <alignment horizontal="center" vertical="center" shrinkToFit="1"/>
      <protection hidden="1"/>
    </xf>
    <xf numFmtId="4" fontId="4" fillId="8" borderId="4" xfId="1" applyNumberFormat="1" applyFont="1" applyFill="1" applyBorder="1" applyAlignment="1" applyProtection="1">
      <alignment horizontal="center" vertical="center" shrinkToFit="1"/>
      <protection hidden="1"/>
    </xf>
    <xf numFmtId="0" fontId="13" fillId="0" borderId="2" xfId="1" applyFont="1" applyBorder="1" applyAlignment="1" applyProtection="1">
      <alignment horizontal="center" vertical="center" shrinkToFit="1"/>
      <protection hidden="1"/>
    </xf>
    <xf numFmtId="10" fontId="4" fillId="8" borderId="5" xfId="1" applyNumberFormat="1" applyFont="1" applyFill="1" applyBorder="1" applyAlignment="1" applyProtection="1">
      <alignment horizontal="center" vertical="center" shrinkToFit="1"/>
      <protection hidden="1"/>
    </xf>
    <xf numFmtId="10" fontId="4" fillId="8" borderId="6" xfId="1" applyNumberFormat="1" applyFont="1" applyFill="1" applyBorder="1" applyAlignment="1" applyProtection="1">
      <alignment horizontal="center" vertical="center" shrinkToFit="1"/>
      <protection hidden="1"/>
    </xf>
    <xf numFmtId="0" fontId="4" fillId="0" borderId="22" xfId="1" applyFont="1" applyBorder="1" applyAlignment="1" applyProtection="1">
      <alignment horizontal="center" vertical="center" shrinkToFit="1"/>
      <protection hidden="1"/>
    </xf>
    <xf numFmtId="0" fontId="14" fillId="0" borderId="7" xfId="1" applyFont="1" applyBorder="1" applyAlignment="1" applyProtection="1">
      <alignment horizontal="center" vertical="center" shrinkToFit="1"/>
      <protection hidden="1"/>
    </xf>
    <xf numFmtId="0" fontId="14" fillId="0" borderId="13" xfId="1" applyFont="1" applyBorder="1" applyAlignment="1" applyProtection="1">
      <alignment horizontal="center" vertical="center" shrinkToFit="1"/>
      <protection hidden="1"/>
    </xf>
    <xf numFmtId="0" fontId="6" fillId="0" borderId="2" xfId="1" applyFont="1" applyBorder="1" applyAlignment="1" applyProtection="1">
      <alignment horizontal="center" vertical="center" shrinkToFit="1"/>
      <protection hidden="1"/>
    </xf>
    <xf numFmtId="10" fontId="4" fillId="8" borderId="1" xfId="1" applyNumberFormat="1" applyFont="1" applyFill="1" applyBorder="1" applyAlignment="1" applyProtection="1">
      <alignment horizontal="center" vertical="center" shrinkToFit="1"/>
      <protection hidden="1"/>
    </xf>
    <xf numFmtId="10" fontId="4" fillId="8" borderId="4" xfId="1" applyNumberFormat="1" applyFont="1" applyFill="1" applyBorder="1" applyAlignment="1" applyProtection="1">
      <alignment horizontal="center" vertical="center" shrinkToFit="1"/>
      <protection hidden="1"/>
    </xf>
    <xf numFmtId="0" fontId="4" fillId="3" borderId="1" xfId="1" applyFont="1" applyFill="1" applyBorder="1" applyAlignment="1" applyProtection="1">
      <alignment horizontal="center" vertical="center" shrinkToFit="1"/>
      <protection hidden="1"/>
    </xf>
    <xf numFmtId="0" fontId="4" fillId="3" borderId="4" xfId="1" applyFont="1" applyFill="1" applyBorder="1" applyAlignment="1" applyProtection="1">
      <alignment horizontal="center" vertical="center" shrinkToFit="1"/>
      <protection hidden="1"/>
    </xf>
    <xf numFmtId="0" fontId="4" fillId="2" borderId="2" xfId="1" applyFont="1" applyFill="1" applyBorder="1" applyAlignment="1" applyProtection="1">
      <alignment horizontal="center" vertical="center" shrinkToFit="1"/>
      <protection hidden="1"/>
    </xf>
    <xf numFmtId="0" fontId="15" fillId="8" borderId="1" xfId="1" applyFont="1" applyFill="1" applyBorder="1" applyAlignment="1" applyProtection="1">
      <alignment horizontal="center" vertical="center" shrinkToFit="1"/>
      <protection hidden="1"/>
    </xf>
    <xf numFmtId="0" fontId="15" fillId="8" borderId="4" xfId="1" applyFont="1" applyFill="1" applyBorder="1" applyAlignment="1" applyProtection="1">
      <alignment horizontal="center" vertical="center" shrinkToFit="1"/>
      <protection hidden="1"/>
    </xf>
    <xf numFmtId="4" fontId="4" fillId="3" borderId="1" xfId="1" applyNumberFormat="1" applyFont="1" applyFill="1" applyBorder="1" applyAlignment="1" applyProtection="1">
      <alignment horizontal="center" vertical="center" shrinkToFit="1"/>
      <protection hidden="1"/>
    </xf>
    <xf numFmtId="4" fontId="4" fillId="3" borderId="4" xfId="1" applyNumberFormat="1" applyFont="1" applyFill="1" applyBorder="1" applyAlignment="1" applyProtection="1">
      <alignment horizontal="center" vertical="center" shrinkToFit="1"/>
      <protection hidden="1"/>
    </xf>
    <xf numFmtId="10" fontId="4" fillId="3" borderId="1" xfId="1" applyNumberFormat="1" applyFont="1" applyFill="1" applyBorder="1" applyAlignment="1" applyProtection="1">
      <alignment horizontal="center" vertical="center" shrinkToFit="1"/>
      <protection hidden="1"/>
    </xf>
    <xf numFmtId="10" fontId="4" fillId="3" borderId="4" xfId="1" applyNumberFormat="1" applyFont="1" applyFill="1" applyBorder="1" applyAlignment="1" applyProtection="1">
      <alignment horizontal="center" vertical="center" shrinkToFit="1"/>
      <protection hidden="1"/>
    </xf>
    <xf numFmtId="0" fontId="16" fillId="0" borderId="23" xfId="1" applyFont="1" applyBorder="1" applyAlignment="1" applyProtection="1">
      <alignment horizontal="center" shrinkToFit="1"/>
      <protection hidden="1"/>
    </xf>
    <xf numFmtId="0" fontId="16" fillId="0" borderId="1" xfId="1" applyFont="1" applyBorder="1" applyAlignment="1" applyProtection="1">
      <alignment horizontal="center" shrinkToFit="1"/>
      <protection hidden="1"/>
    </xf>
    <xf numFmtId="9" fontId="16" fillId="8" borderId="1" xfId="1" applyNumberFormat="1" applyFont="1" applyFill="1" applyBorder="1" applyAlignment="1" applyProtection="1">
      <alignment horizontal="center" shrinkToFit="1"/>
      <protection hidden="1"/>
    </xf>
    <xf numFmtId="9" fontId="4" fillId="8" borderId="1" xfId="1" applyNumberFormat="1" applyFont="1" applyFill="1" applyBorder="1" applyAlignment="1" applyProtection="1">
      <alignment horizontal="center" shrinkToFit="1"/>
      <protection hidden="1"/>
    </xf>
    <xf numFmtId="0" fontId="0" fillId="13" borderId="2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76" fontId="0" fillId="0" borderId="0" xfId="0" applyNumberFormat="1"/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 applyProtection="1">
      <alignment horizontal="center" vertical="center"/>
      <protection hidden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hidden="1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 applyProtection="1">
      <alignment horizontal="center" vertical="center"/>
      <protection hidden="1"/>
    </xf>
    <xf numFmtId="0" fontId="23" fillId="11" borderId="1" xfId="0" applyFont="1" applyFill="1" applyBorder="1" applyAlignment="1">
      <alignment horizontal="center" vertical="center"/>
    </xf>
    <xf numFmtId="0" fontId="24" fillId="14" borderId="1" xfId="0" applyFont="1" applyFill="1" applyBorder="1" applyAlignment="1">
      <alignment horizontal="center" vertical="center"/>
    </xf>
    <xf numFmtId="0" fontId="24" fillId="2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5" fillId="22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23" borderId="1" xfId="0" applyFont="1" applyFill="1" applyBorder="1" applyAlignment="1">
      <alignment horizontal="center" vertical="center"/>
    </xf>
    <xf numFmtId="0" fontId="24" fillId="24" borderId="1" xfId="0" applyFont="1" applyFill="1" applyBorder="1" applyAlignment="1">
      <alignment horizontal="center" vertical="center"/>
    </xf>
    <xf numFmtId="0" fontId="25" fillId="25" borderId="1" xfId="0" applyFont="1" applyFill="1" applyBorder="1" applyAlignment="1">
      <alignment horizontal="center" vertical="center"/>
    </xf>
    <xf numFmtId="0" fontId="24" fillId="26" borderId="1" xfId="0" applyFont="1" applyFill="1" applyBorder="1" applyAlignment="1">
      <alignment horizontal="center" vertical="center"/>
    </xf>
    <xf numFmtId="0" fontId="25" fillId="27" borderId="1" xfId="0" applyFont="1" applyFill="1" applyBorder="1" applyAlignment="1">
      <alignment horizontal="center" vertical="center"/>
    </xf>
    <xf numFmtId="0" fontId="24" fillId="28" borderId="1" xfId="0" applyFont="1" applyFill="1" applyBorder="1" applyAlignment="1">
      <alignment horizontal="center" vertical="center"/>
    </xf>
    <xf numFmtId="0" fontId="25" fillId="2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30" borderId="1" xfId="0" applyFont="1" applyFill="1" applyBorder="1" applyAlignment="1">
      <alignment horizontal="center" vertical="center"/>
    </xf>
    <xf numFmtId="0" fontId="24" fillId="30" borderId="1" xfId="0" applyFont="1" applyFill="1" applyBorder="1" applyAlignment="1">
      <alignment horizontal="center" vertical="center"/>
    </xf>
    <xf numFmtId="0" fontId="26" fillId="23" borderId="26" xfId="0" applyFont="1" applyFill="1" applyBorder="1" applyAlignment="1">
      <alignment horizontal="center" vertical="center"/>
    </xf>
    <xf numFmtId="0" fontId="0" fillId="14" borderId="0" xfId="0" applyFill="1"/>
    <xf numFmtId="0" fontId="24" fillId="3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26" fillId="33" borderId="26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4" fillId="34" borderId="1" xfId="0" applyFont="1" applyFill="1" applyBorder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9" borderId="23" xfId="0" applyFont="1" applyFill="1" applyBorder="1" applyAlignment="1">
      <alignment horizontal="center" vertical="center"/>
    </xf>
    <xf numFmtId="0" fontId="26" fillId="23" borderId="33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2" fontId="30" fillId="11" borderId="0" xfId="0" applyNumberFormat="1" applyFont="1" applyFill="1" applyAlignment="1">
      <alignment horizontal="center" vertical="center"/>
    </xf>
    <xf numFmtId="4" fontId="24" fillId="0" borderId="1" xfId="0" applyNumberFormat="1" applyFont="1" applyBorder="1" applyAlignment="1">
      <alignment horizontal="center" vertical="center"/>
    </xf>
    <xf numFmtId="0" fontId="24" fillId="30" borderId="9" xfId="0" applyFont="1" applyFill="1" applyBorder="1" applyAlignment="1">
      <alignment horizontal="center" vertical="center"/>
    </xf>
    <xf numFmtId="177" fontId="0" fillId="0" borderId="0" xfId="0" applyNumberFormat="1"/>
    <xf numFmtId="3" fontId="24" fillId="0" borderId="1" xfId="0" applyNumberFormat="1" applyFont="1" applyBorder="1" applyAlignment="1">
      <alignment horizontal="center" vertical="center"/>
    </xf>
    <xf numFmtId="0" fontId="24" fillId="35" borderId="1" xfId="0" applyFont="1" applyFill="1" applyBorder="1" applyAlignment="1">
      <alignment horizontal="center" vertical="center"/>
    </xf>
    <xf numFmtId="0" fontId="24" fillId="36" borderId="1" xfId="0" applyFont="1" applyFill="1" applyBorder="1" applyAlignment="1">
      <alignment horizontal="center" vertical="center" wrapText="1"/>
    </xf>
    <xf numFmtId="177" fontId="8" fillId="12" borderId="1" xfId="0" applyNumberFormat="1" applyFont="1" applyFill="1" applyBorder="1" applyAlignment="1">
      <alignment horizontal="center" vertical="center"/>
    </xf>
    <xf numFmtId="0" fontId="8" fillId="12" borderId="24" xfId="0" applyFont="1" applyFill="1" applyBorder="1" applyAlignment="1">
      <alignment horizontal="center" vertical="center"/>
    </xf>
    <xf numFmtId="2" fontId="8" fillId="12" borderId="1" xfId="0" applyNumberFormat="1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34" fillId="2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4" fillId="9" borderId="23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5" fillId="37" borderId="1" xfId="0" applyFont="1" applyFill="1" applyBorder="1" applyAlignment="1">
      <alignment horizontal="center" vertical="center"/>
    </xf>
    <xf numFmtId="0" fontId="14" fillId="9" borderId="23" xfId="0" applyFont="1" applyFill="1" applyBorder="1" applyAlignment="1">
      <alignment horizontal="center" vertical="center"/>
    </xf>
    <xf numFmtId="0" fontId="24" fillId="12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4" fillId="0" borderId="1" xfId="0" applyNumberFormat="1" applyFont="1" applyBorder="1" applyAlignment="1">
      <alignment horizontal="center" vertical="center"/>
    </xf>
    <xf numFmtId="0" fontId="24" fillId="3" borderId="1" xfId="0" applyNumberFormat="1" applyFont="1" applyFill="1" applyBorder="1" applyAlignment="1">
      <alignment horizontal="center" vertical="center"/>
    </xf>
    <xf numFmtId="0" fontId="35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9" fillId="3" borderId="0" xfId="0" applyFont="1" applyFill="1" applyAlignment="1">
      <alignment horizontal="center" vertical="center"/>
    </xf>
    <xf numFmtId="0" fontId="38" fillId="0" borderId="0" xfId="0" applyFont="1"/>
    <xf numFmtId="0" fontId="39" fillId="3" borderId="1" xfId="0" applyFont="1" applyFill="1" applyBorder="1" applyAlignment="1">
      <alignment horizontal="center" vertical="center"/>
    </xf>
    <xf numFmtId="0" fontId="38" fillId="0" borderId="1" xfId="0" applyFont="1" applyBorder="1"/>
    <xf numFmtId="0" fontId="40" fillId="23" borderId="35" xfId="0" applyFont="1" applyFill="1" applyBorder="1" applyAlignment="1">
      <alignment horizontal="center" vertical="center"/>
    </xf>
    <xf numFmtId="0" fontId="39" fillId="3" borderId="23" xfId="0" applyFont="1" applyFill="1" applyBorder="1" applyAlignment="1">
      <alignment horizontal="center" vertical="center" wrapText="1"/>
    </xf>
    <xf numFmtId="0" fontId="40" fillId="23" borderId="26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 wrapText="1"/>
    </xf>
    <xf numFmtId="0" fontId="24" fillId="30" borderId="1" xfId="0" applyFont="1" applyFill="1" applyBorder="1" applyAlignment="1">
      <alignment horizontal="center" vertical="center" wrapText="1"/>
    </xf>
    <xf numFmtId="0" fontId="39" fillId="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24" fillId="2" borderId="25" xfId="0" applyFont="1" applyFill="1" applyBorder="1" applyAlignment="1">
      <alignment horizontal="center" vertical="center" wrapText="1"/>
    </xf>
    <xf numFmtId="0" fontId="24" fillId="30" borderId="25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4" fillId="30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vertical="center"/>
    </xf>
    <xf numFmtId="0" fontId="41" fillId="3" borderId="1" xfId="0" applyFont="1" applyFill="1" applyBorder="1" applyAlignment="1">
      <alignment horizontal="center" vertical="center"/>
    </xf>
    <xf numFmtId="0" fontId="24" fillId="30" borderId="23" xfId="0" applyFont="1" applyFill="1" applyBorder="1" applyAlignment="1">
      <alignment horizontal="center" vertical="center"/>
    </xf>
    <xf numFmtId="0" fontId="24" fillId="35" borderId="2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17" xfId="1" applyFont="1" applyBorder="1" applyAlignment="1" applyProtection="1">
      <alignment horizontal="center" vertical="center" shrinkToFit="1"/>
      <protection hidden="1"/>
    </xf>
    <xf numFmtId="0" fontId="4" fillId="0" borderId="18" xfId="1" applyFont="1" applyBorder="1" applyAlignment="1" applyProtection="1">
      <alignment horizontal="center" vertical="center" shrinkToFit="1"/>
      <protection hidden="1"/>
    </xf>
    <xf numFmtId="0" fontId="4" fillId="0" borderId="10" xfId="1" applyFont="1" applyBorder="1" applyAlignment="1" applyProtection="1">
      <alignment horizontal="center" vertical="center" shrinkToFit="1"/>
      <protection hidden="1"/>
    </xf>
    <xf numFmtId="0" fontId="4" fillId="0" borderId="19" xfId="1" applyFont="1" applyBorder="1" applyAlignment="1" applyProtection="1">
      <alignment horizontal="center" vertical="center" shrinkToFit="1"/>
      <protection hidden="1"/>
    </xf>
    <xf numFmtId="0" fontId="9" fillId="0" borderId="20" xfId="1" applyFont="1" applyBorder="1" applyAlignment="1" applyProtection="1">
      <alignment horizontal="left" shrinkToFit="1"/>
      <protection hidden="1"/>
    </xf>
    <xf numFmtId="0" fontId="9" fillId="0" borderId="21" xfId="1" applyFont="1" applyBorder="1" applyAlignment="1" applyProtection="1">
      <alignment horizontal="left" shrinkToFit="1"/>
      <protection hidden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27" fillId="2" borderId="14" xfId="0" applyFont="1" applyFill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4" fillId="31" borderId="27" xfId="0" applyFont="1" applyFill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2" fontId="37" fillId="9" borderId="25" xfId="0" applyNumberFormat="1" applyFont="1" applyFill="1" applyBorder="1" applyAlignment="1">
      <alignment horizontal="center" vertical="center"/>
    </xf>
    <xf numFmtId="0" fontId="37" fillId="9" borderId="23" xfId="0" applyFont="1" applyFill="1" applyBorder="1" applyAlignment="1">
      <alignment horizontal="center" vertical="center"/>
    </xf>
    <xf numFmtId="0" fontId="24" fillId="3" borderId="25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24" fillId="3" borderId="23" xfId="0" applyFont="1" applyFill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2" borderId="25" xfId="0" applyFont="1" applyFill="1" applyBorder="1" applyAlignment="1">
      <alignment horizontal="center" vertical="center" wrapText="1"/>
    </xf>
    <xf numFmtId="0" fontId="25" fillId="2" borderId="9" xfId="0" applyFont="1" applyFill="1" applyBorder="1" applyAlignment="1">
      <alignment horizontal="center" vertical="center" wrapText="1"/>
    </xf>
    <xf numFmtId="0" fontId="14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30" fillId="32" borderId="1" xfId="0" applyFont="1" applyFill="1" applyBorder="1" applyAlignment="1">
      <alignment horizontal="center" vertical="center"/>
    </xf>
    <xf numFmtId="0" fontId="24" fillId="9" borderId="25" xfId="0" applyFont="1" applyFill="1" applyBorder="1" applyAlignment="1">
      <alignment horizontal="center" vertical="center"/>
    </xf>
    <xf numFmtId="0" fontId="24" fillId="9" borderId="23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4" fillId="0" borderId="25" xfId="0" applyNumberFormat="1" applyFont="1" applyBorder="1" applyAlignment="1">
      <alignment horizontal="center" vertical="center"/>
    </xf>
    <xf numFmtId="0" fontId="24" fillId="0" borderId="23" xfId="0" applyNumberFormat="1" applyFont="1" applyBorder="1" applyAlignment="1">
      <alignment horizontal="center" vertical="center"/>
    </xf>
    <xf numFmtId="0" fontId="24" fillId="11" borderId="11" xfId="0" applyFont="1" applyFill="1" applyBorder="1" applyAlignment="1">
      <alignment horizontal="center" vertical="center"/>
    </xf>
    <xf numFmtId="0" fontId="24" fillId="11" borderId="28" xfId="0" applyFont="1" applyFill="1" applyBorder="1" applyAlignment="1">
      <alignment horizontal="center" vertical="center"/>
    </xf>
    <xf numFmtId="0" fontId="24" fillId="11" borderId="24" xfId="0" applyFont="1" applyFill="1" applyBorder="1" applyAlignment="1">
      <alignment horizontal="center" vertical="center"/>
    </xf>
    <xf numFmtId="0" fontId="24" fillId="32" borderId="25" xfId="0" applyFont="1" applyFill="1" applyBorder="1" applyAlignment="1">
      <alignment horizontal="center" vertical="center"/>
    </xf>
    <xf numFmtId="0" fontId="24" fillId="32" borderId="23" xfId="0" applyFont="1" applyFill="1" applyBorder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0" fontId="32" fillId="12" borderId="34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24" fillId="0" borderId="25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33" fillId="0" borderId="25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/>
    </xf>
    <xf numFmtId="0" fontId="24" fillId="30" borderId="11" xfId="0" applyFont="1" applyFill="1" applyBorder="1" applyAlignment="1">
      <alignment horizontal="center" vertical="center"/>
    </xf>
    <xf numFmtId="0" fontId="24" fillId="30" borderId="28" xfId="0" applyFont="1" applyFill="1" applyBorder="1" applyAlignment="1">
      <alignment horizontal="center" vertical="center"/>
    </xf>
    <xf numFmtId="0" fontId="24" fillId="30" borderId="24" xfId="0" applyFont="1" applyFill="1" applyBorder="1" applyAlignment="1">
      <alignment horizontal="center" vertical="center"/>
    </xf>
    <xf numFmtId="0" fontId="0" fillId="14" borderId="0" xfId="0" applyFill="1" applyAlignment="1">
      <alignment horizontal="center"/>
    </xf>
  </cellXfs>
  <cellStyles count="2">
    <cellStyle name="常规" xfId="0" builtinId="0"/>
    <cellStyle name="常规 2" xfId="1" xr:uid="{D29B500E-1CBB-4C32-9477-C54735D860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2"/>
  <sheetViews>
    <sheetView topLeftCell="D1" zoomScaleNormal="100" workbookViewId="0">
      <selection activeCell="G12" sqref="G12"/>
    </sheetView>
  </sheetViews>
  <sheetFormatPr defaultRowHeight="19.95" customHeight="1" x14ac:dyDescent="0.25"/>
  <cols>
    <col min="1" max="1" width="23.88671875" bestFit="1" customWidth="1"/>
    <col min="2" max="2" width="10.44140625" bestFit="1" customWidth="1"/>
    <col min="3" max="3" width="99.88671875" bestFit="1" customWidth="1"/>
    <col min="5" max="5" width="19.33203125" bestFit="1" customWidth="1"/>
    <col min="6" max="6" width="14.5546875" bestFit="1" customWidth="1"/>
    <col min="7" max="7" width="19.33203125" bestFit="1" customWidth="1"/>
    <col min="11" max="11" width="12.33203125" bestFit="1" customWidth="1"/>
  </cols>
  <sheetData>
    <row r="1" spans="1:13" ht="19.95" customHeight="1" x14ac:dyDescent="0.3">
      <c r="A1" s="1" t="s">
        <v>0</v>
      </c>
      <c r="B1" s="10">
        <v>600000</v>
      </c>
      <c r="C1" s="2" t="s">
        <v>54</v>
      </c>
      <c r="E1" s="1" t="s">
        <v>125</v>
      </c>
      <c r="F1" s="1" t="s">
        <v>126</v>
      </c>
      <c r="G1" s="1" t="s">
        <v>127</v>
      </c>
      <c r="H1" s="3"/>
      <c r="I1" s="3"/>
      <c r="J1" s="54"/>
      <c r="K1" s="54"/>
      <c r="L1" s="75" t="s">
        <v>168</v>
      </c>
      <c r="M1" s="3"/>
    </row>
    <row r="2" spans="1:13" ht="19.95" customHeight="1" x14ac:dyDescent="0.3">
      <c r="A2" s="1" t="s">
        <v>1</v>
      </c>
      <c r="B2" s="11">
        <v>3000</v>
      </c>
      <c r="C2" s="2" t="s">
        <v>55</v>
      </c>
      <c r="E2" s="27" t="s">
        <v>128</v>
      </c>
      <c r="F2" s="28">
        <v>0</v>
      </c>
      <c r="G2" s="28">
        <v>0</v>
      </c>
      <c r="H2" s="3"/>
      <c r="I2" s="3"/>
      <c r="J2" s="76" t="s">
        <v>169</v>
      </c>
      <c r="K2" s="23" t="s">
        <v>170</v>
      </c>
      <c r="L2" s="77">
        <v>1.5</v>
      </c>
      <c r="M2" s="3"/>
    </row>
    <row r="3" spans="1:13" ht="19.95" customHeight="1" x14ac:dyDescent="0.25">
      <c r="A3" s="1" t="s">
        <v>2</v>
      </c>
      <c r="B3" s="11">
        <v>10000</v>
      </c>
      <c r="C3" s="2" t="s">
        <v>56</v>
      </c>
      <c r="E3" s="27" t="s">
        <v>129</v>
      </c>
      <c r="F3" s="28">
        <v>20000</v>
      </c>
      <c r="G3" s="28">
        <v>1</v>
      </c>
      <c r="H3" s="3"/>
      <c r="I3" s="3"/>
      <c r="J3" s="28">
        <v>0</v>
      </c>
      <c r="K3" s="28">
        <v>200</v>
      </c>
      <c r="L3" s="78">
        <v>1</v>
      </c>
      <c r="M3" s="3"/>
    </row>
    <row r="4" spans="1:13" ht="19.95" customHeight="1" x14ac:dyDescent="0.25">
      <c r="A4" s="1" t="s">
        <v>3</v>
      </c>
      <c r="B4" s="12">
        <v>0.25</v>
      </c>
      <c r="C4" s="2" t="s">
        <v>57</v>
      </c>
      <c r="E4" s="27" t="s">
        <v>130</v>
      </c>
      <c r="F4" s="28">
        <v>20000</v>
      </c>
      <c r="G4" s="28">
        <v>2</v>
      </c>
      <c r="H4" s="3"/>
      <c r="I4" s="3"/>
      <c r="J4" s="28">
        <v>201</v>
      </c>
      <c r="K4" s="28">
        <v>500</v>
      </c>
      <c r="L4" s="78">
        <v>0.95</v>
      </c>
      <c r="M4" s="3"/>
    </row>
    <row r="5" spans="1:13" ht="19.95" customHeight="1" x14ac:dyDescent="0.25">
      <c r="A5" s="2" t="s">
        <v>4</v>
      </c>
      <c r="B5" s="12">
        <v>0</v>
      </c>
      <c r="C5" s="2" t="s">
        <v>58</v>
      </c>
      <c r="E5" s="27" t="s">
        <v>131</v>
      </c>
      <c r="F5" s="28">
        <v>20000</v>
      </c>
      <c r="G5" s="28">
        <v>2</v>
      </c>
      <c r="H5" s="3"/>
      <c r="I5" s="3"/>
      <c r="J5" s="28">
        <v>501</v>
      </c>
      <c r="K5" s="28">
        <v>1000</v>
      </c>
      <c r="L5" s="78">
        <v>0.9</v>
      </c>
      <c r="M5" s="3"/>
    </row>
    <row r="6" spans="1:13" ht="19.95" customHeight="1" x14ac:dyDescent="0.25">
      <c r="A6" s="1" t="s">
        <v>5</v>
      </c>
      <c r="B6" s="12">
        <v>0.17</v>
      </c>
      <c r="C6" s="2" t="s">
        <v>59</v>
      </c>
      <c r="E6" s="27" t="s">
        <v>132</v>
      </c>
      <c r="F6" s="28">
        <v>20000</v>
      </c>
      <c r="G6" s="28">
        <v>2</v>
      </c>
      <c r="H6" s="3"/>
      <c r="I6" s="3"/>
      <c r="J6" s="28">
        <v>1001</v>
      </c>
      <c r="K6" s="28">
        <v>1500</v>
      </c>
      <c r="L6" s="78">
        <v>0.85</v>
      </c>
      <c r="M6" s="3"/>
    </row>
    <row r="7" spans="1:13" ht="19.95" customHeight="1" x14ac:dyDescent="0.25">
      <c r="A7" s="1" t="s">
        <v>6</v>
      </c>
      <c r="B7" s="12">
        <v>7.0000000000000007E-2</v>
      </c>
      <c r="C7" s="2" t="s">
        <v>60</v>
      </c>
      <c r="E7" s="27" t="s">
        <v>133</v>
      </c>
      <c r="F7" s="28">
        <v>20000</v>
      </c>
      <c r="G7" s="25">
        <v>3</v>
      </c>
      <c r="H7" s="3"/>
      <c r="I7" s="3"/>
      <c r="J7" s="28">
        <v>1501</v>
      </c>
      <c r="K7" s="28">
        <v>2000</v>
      </c>
      <c r="L7" s="78">
        <v>0.8</v>
      </c>
      <c r="M7" s="3"/>
    </row>
    <row r="8" spans="1:13" ht="19.95" customHeight="1" x14ac:dyDescent="0.25">
      <c r="A8" s="1" t="s">
        <v>7</v>
      </c>
      <c r="B8" s="12">
        <v>0.03</v>
      </c>
      <c r="C8" s="2" t="s">
        <v>61</v>
      </c>
      <c r="E8" s="27" t="s">
        <v>134</v>
      </c>
      <c r="F8" s="28">
        <v>20000</v>
      </c>
      <c r="G8" s="25">
        <v>3</v>
      </c>
      <c r="H8" s="3"/>
      <c r="I8" s="3"/>
      <c r="J8" s="28">
        <v>2001</v>
      </c>
      <c r="K8" s="28">
        <v>9999</v>
      </c>
      <c r="L8" s="78">
        <v>0.75</v>
      </c>
      <c r="M8" s="3"/>
    </row>
    <row r="9" spans="1:13" ht="19.95" customHeight="1" thickBot="1" x14ac:dyDescent="0.3">
      <c r="A9" s="1" t="s">
        <v>8</v>
      </c>
      <c r="B9" s="12">
        <v>0.02</v>
      </c>
      <c r="C9" s="2" t="s">
        <v>62</v>
      </c>
      <c r="E9" s="3"/>
      <c r="F9" s="3"/>
      <c r="G9" s="3"/>
      <c r="H9" s="3"/>
      <c r="I9" s="3"/>
      <c r="J9" s="3"/>
      <c r="K9" s="3"/>
      <c r="L9" s="3"/>
      <c r="M9" s="3"/>
    </row>
    <row r="10" spans="1:13" ht="19.95" customHeight="1" x14ac:dyDescent="0.25">
      <c r="A10" s="1" t="s">
        <v>9</v>
      </c>
      <c r="B10" s="13">
        <v>1000</v>
      </c>
      <c r="C10" s="2" t="s">
        <v>63</v>
      </c>
      <c r="E10" s="29" t="s">
        <v>135</v>
      </c>
      <c r="F10" s="1" t="s">
        <v>136</v>
      </c>
      <c r="G10" s="30" t="s">
        <v>354</v>
      </c>
      <c r="H10" s="30" t="s">
        <v>137</v>
      </c>
      <c r="I10" s="31" t="s">
        <v>138</v>
      </c>
      <c r="J10" s="31" t="s">
        <v>139</v>
      </c>
      <c r="K10" s="30" t="s">
        <v>140</v>
      </c>
      <c r="L10" s="32" t="s">
        <v>141</v>
      </c>
      <c r="M10" s="3"/>
    </row>
    <row r="11" spans="1:13" ht="19.95" customHeight="1" x14ac:dyDescent="0.25">
      <c r="A11" s="1" t="s">
        <v>10</v>
      </c>
      <c r="B11" s="11">
        <v>10000</v>
      </c>
      <c r="C11" s="2" t="s">
        <v>64</v>
      </c>
      <c r="E11" s="33" t="s">
        <v>142</v>
      </c>
      <c r="F11" s="34">
        <v>1000</v>
      </c>
      <c r="G11" s="35">
        <v>10</v>
      </c>
      <c r="H11" s="35">
        <v>15</v>
      </c>
      <c r="I11" s="1">
        <v>60</v>
      </c>
      <c r="J11" s="35">
        <v>10</v>
      </c>
      <c r="K11" s="35">
        <v>5</v>
      </c>
      <c r="L11" s="36">
        <f>SUM(G11:K11)</f>
        <v>100</v>
      </c>
      <c r="M11" s="3"/>
    </row>
    <row r="12" spans="1:13" ht="19.95" customHeight="1" x14ac:dyDescent="0.25">
      <c r="A12" s="1" t="s">
        <v>11</v>
      </c>
      <c r="B12" s="12">
        <v>0.2</v>
      </c>
      <c r="C12" s="2" t="s">
        <v>65</v>
      </c>
      <c r="E12" s="37" t="s">
        <v>143</v>
      </c>
      <c r="F12" s="34">
        <v>800</v>
      </c>
      <c r="G12" s="35">
        <v>15</v>
      </c>
      <c r="H12" s="1">
        <v>25</v>
      </c>
      <c r="I12" s="35">
        <v>50</v>
      </c>
      <c r="J12" s="35">
        <v>5</v>
      </c>
      <c r="K12" s="35">
        <v>5</v>
      </c>
      <c r="L12" s="38">
        <f>SUM(G12:K12)</f>
        <v>100</v>
      </c>
      <c r="M12" s="3"/>
    </row>
    <row r="13" spans="1:13" ht="19.95" customHeight="1" x14ac:dyDescent="0.25">
      <c r="A13" s="1" t="s">
        <v>12</v>
      </c>
      <c r="B13" s="12">
        <v>0.02</v>
      </c>
      <c r="C13" s="2" t="s">
        <v>66</v>
      </c>
      <c r="E13" s="39" t="s">
        <v>144</v>
      </c>
      <c r="F13" s="34">
        <v>600</v>
      </c>
      <c r="G13" s="35">
        <v>25</v>
      </c>
      <c r="H13" s="35">
        <v>15</v>
      </c>
      <c r="I13" s="35">
        <v>40</v>
      </c>
      <c r="J13" s="35">
        <v>5</v>
      </c>
      <c r="K13" s="35">
        <v>15</v>
      </c>
      <c r="L13" s="40">
        <f>SUM(G13:K13)</f>
        <v>100</v>
      </c>
      <c r="M13" s="3"/>
    </row>
    <row r="14" spans="1:13" ht="19.95" customHeight="1" thickBot="1" x14ac:dyDescent="0.3">
      <c r="A14" s="1" t="s">
        <v>13</v>
      </c>
      <c r="B14" s="12">
        <v>5.0000000000000001E-3</v>
      </c>
      <c r="C14" s="2" t="s">
        <v>67</v>
      </c>
      <c r="E14" s="41" t="s">
        <v>145</v>
      </c>
      <c r="F14" s="42">
        <v>400</v>
      </c>
      <c r="G14" s="1">
        <v>50</v>
      </c>
      <c r="H14" s="43">
        <v>5</v>
      </c>
      <c r="I14" s="43">
        <v>30</v>
      </c>
      <c r="J14" s="43">
        <v>10</v>
      </c>
      <c r="K14" s="35">
        <v>5</v>
      </c>
      <c r="L14" s="44">
        <f>SUM(G14:K14)</f>
        <v>100</v>
      </c>
      <c r="M14" s="3"/>
    </row>
    <row r="15" spans="1:13" ht="19.95" customHeight="1" thickBot="1" x14ac:dyDescent="0.3">
      <c r="A15" s="1" t="s">
        <v>14</v>
      </c>
      <c r="B15" s="12">
        <v>6.0000000000000001E-3</v>
      </c>
      <c r="C15" s="2" t="s">
        <v>68</v>
      </c>
      <c r="E15" s="3"/>
      <c r="F15" s="3"/>
      <c r="G15" s="3"/>
      <c r="H15" s="3"/>
      <c r="I15" s="3"/>
      <c r="J15" s="3"/>
      <c r="K15" s="3"/>
      <c r="L15" s="3"/>
      <c r="M15" s="3"/>
    </row>
    <row r="16" spans="1:13" ht="19.95" customHeight="1" x14ac:dyDescent="0.25">
      <c r="A16" s="1" t="s">
        <v>15</v>
      </c>
      <c r="B16" s="12">
        <v>0.115</v>
      </c>
      <c r="C16" s="2" t="s">
        <v>69</v>
      </c>
      <c r="E16" s="1" t="s">
        <v>146</v>
      </c>
      <c r="F16" s="45" t="s">
        <v>147</v>
      </c>
      <c r="G16" s="45" t="s">
        <v>148</v>
      </c>
      <c r="H16" s="45" t="s">
        <v>149</v>
      </c>
      <c r="I16" s="45" t="s">
        <v>150</v>
      </c>
      <c r="J16" s="45" t="s">
        <v>151</v>
      </c>
      <c r="K16" s="45" t="s">
        <v>152</v>
      </c>
      <c r="L16" s="46" t="s">
        <v>153</v>
      </c>
      <c r="M16" s="3"/>
    </row>
    <row r="17" spans="1:13" ht="19.95" customHeight="1" x14ac:dyDescent="0.25">
      <c r="A17" s="1" t="s">
        <v>16</v>
      </c>
      <c r="B17" s="11">
        <v>2000</v>
      </c>
      <c r="C17" s="2" t="s">
        <v>70</v>
      </c>
      <c r="E17" s="47" t="s">
        <v>154</v>
      </c>
      <c r="F17" s="48">
        <v>500</v>
      </c>
      <c r="G17" s="48">
        <v>100</v>
      </c>
      <c r="H17" s="15">
        <v>500</v>
      </c>
      <c r="I17" s="15">
        <v>0.05</v>
      </c>
      <c r="J17" s="16">
        <v>4000</v>
      </c>
      <c r="K17" s="48">
        <v>1</v>
      </c>
      <c r="L17" s="49">
        <v>4000</v>
      </c>
      <c r="M17" s="3"/>
    </row>
    <row r="18" spans="1:13" ht="19.95" customHeight="1" thickBot="1" x14ac:dyDescent="0.3">
      <c r="A18" s="1" t="s">
        <v>17</v>
      </c>
      <c r="B18" s="12">
        <v>0.05</v>
      </c>
      <c r="C18" s="2" t="s">
        <v>71</v>
      </c>
      <c r="E18" s="50" t="s">
        <v>155</v>
      </c>
      <c r="F18" s="51">
        <v>300</v>
      </c>
      <c r="G18" s="51">
        <v>90</v>
      </c>
      <c r="H18" s="17">
        <v>300</v>
      </c>
      <c r="I18" s="17">
        <v>0.03</v>
      </c>
      <c r="J18" s="18">
        <v>3600</v>
      </c>
      <c r="K18" s="51">
        <v>1</v>
      </c>
      <c r="L18" s="49">
        <v>2000</v>
      </c>
      <c r="M18" s="3"/>
    </row>
    <row r="19" spans="1:13" ht="19.95" customHeight="1" x14ac:dyDescent="0.25">
      <c r="A19" s="2" t="s">
        <v>18</v>
      </c>
      <c r="B19" s="14">
        <v>3</v>
      </c>
      <c r="C19" s="1" t="s">
        <v>72</v>
      </c>
      <c r="E19" s="3"/>
      <c r="F19" s="3"/>
      <c r="G19" s="3"/>
      <c r="H19" s="3"/>
      <c r="I19" s="3"/>
      <c r="J19" s="3"/>
      <c r="K19" s="3"/>
      <c r="L19" s="3"/>
      <c r="M19" s="3"/>
    </row>
    <row r="20" spans="1:13" ht="19.95" customHeight="1" thickBot="1" x14ac:dyDescent="0.3">
      <c r="A20" s="1" t="s">
        <v>19</v>
      </c>
      <c r="B20" s="12">
        <v>0.2</v>
      </c>
      <c r="C20" s="2" t="s">
        <v>73</v>
      </c>
      <c r="E20" s="52" t="s">
        <v>156</v>
      </c>
      <c r="F20" s="53"/>
      <c r="G20" s="53"/>
      <c r="H20" s="53"/>
      <c r="I20" s="53"/>
      <c r="J20" s="53"/>
      <c r="K20" s="54"/>
      <c r="L20" s="3"/>
      <c r="M20" s="3"/>
    </row>
    <row r="21" spans="1:13" ht="19.95" customHeight="1" x14ac:dyDescent="0.25">
      <c r="A21" s="2" t="s">
        <v>20</v>
      </c>
      <c r="B21" s="14">
        <v>3</v>
      </c>
      <c r="C21" s="1" t="s">
        <v>74</v>
      </c>
      <c r="E21" s="184" t="s">
        <v>157</v>
      </c>
      <c r="F21" s="185"/>
      <c r="G21" s="186" t="s">
        <v>158</v>
      </c>
      <c r="H21" s="185"/>
      <c r="I21" s="186" t="s">
        <v>159</v>
      </c>
      <c r="J21" s="187"/>
      <c r="K21" s="54"/>
      <c r="L21" s="3"/>
      <c r="M21" s="3"/>
    </row>
    <row r="22" spans="1:13" ht="19.95" customHeight="1" x14ac:dyDescent="0.25">
      <c r="A22" s="2" t="s">
        <v>21</v>
      </c>
      <c r="B22" s="11">
        <v>200000</v>
      </c>
      <c r="C22" s="2" t="s">
        <v>75</v>
      </c>
      <c r="E22" s="4" t="s">
        <v>160</v>
      </c>
      <c r="F22" s="48">
        <v>6</v>
      </c>
      <c r="G22" s="15" t="s">
        <v>160</v>
      </c>
      <c r="H22" s="48">
        <v>4</v>
      </c>
      <c r="I22" s="15" t="s">
        <v>160</v>
      </c>
      <c r="J22" s="16">
        <v>2</v>
      </c>
      <c r="K22" s="54"/>
      <c r="L22" s="3"/>
      <c r="M22" s="3"/>
    </row>
    <row r="23" spans="1:13" ht="19.95" customHeight="1" x14ac:dyDescent="0.25">
      <c r="A23" s="2" t="s">
        <v>22</v>
      </c>
      <c r="B23" s="12">
        <v>0.03</v>
      </c>
      <c r="C23" s="2" t="s">
        <v>76</v>
      </c>
      <c r="E23" s="4" t="s">
        <v>161</v>
      </c>
      <c r="F23" s="55">
        <v>120000</v>
      </c>
      <c r="G23" s="15" t="s">
        <v>162</v>
      </c>
      <c r="H23" s="55">
        <v>80000</v>
      </c>
      <c r="I23" s="15" t="s">
        <v>162</v>
      </c>
      <c r="J23" s="56">
        <v>50000</v>
      </c>
      <c r="K23" s="54"/>
      <c r="L23" s="3"/>
      <c r="M23" s="3"/>
    </row>
    <row r="24" spans="1:13" ht="19.95" customHeight="1" x14ac:dyDescent="0.25">
      <c r="A24" s="2" t="s">
        <v>23</v>
      </c>
      <c r="B24" s="12">
        <v>0.06</v>
      </c>
      <c r="C24" s="2" t="s">
        <v>77</v>
      </c>
      <c r="E24" s="57" t="s">
        <v>163</v>
      </c>
      <c r="F24" s="55">
        <v>11000</v>
      </c>
      <c r="G24" s="15" t="s">
        <v>163</v>
      </c>
      <c r="H24" s="55">
        <v>8000</v>
      </c>
      <c r="I24" s="15" t="s">
        <v>163</v>
      </c>
      <c r="J24" s="56">
        <v>5000</v>
      </c>
      <c r="K24" s="54"/>
      <c r="L24" s="3"/>
      <c r="M24" s="3"/>
    </row>
    <row r="25" spans="1:13" ht="19.95" customHeight="1" thickBot="1" x14ac:dyDescent="0.3">
      <c r="A25" s="2" t="s">
        <v>24</v>
      </c>
      <c r="B25" s="12">
        <v>0.08</v>
      </c>
      <c r="C25" s="2" t="s">
        <v>78</v>
      </c>
      <c r="E25" s="5" t="s">
        <v>164</v>
      </c>
      <c r="F25" s="58">
        <v>0.02</v>
      </c>
      <c r="G25" s="17" t="s">
        <v>164</v>
      </c>
      <c r="H25" s="58">
        <v>0.02</v>
      </c>
      <c r="I25" s="17" t="s">
        <v>164</v>
      </c>
      <c r="J25" s="59">
        <v>0.02</v>
      </c>
      <c r="K25" s="54"/>
      <c r="L25" s="3"/>
      <c r="M25" s="3"/>
    </row>
    <row r="26" spans="1:13" ht="19.95" customHeight="1" x14ac:dyDescent="0.25">
      <c r="A26" s="2" t="s">
        <v>25</v>
      </c>
      <c r="B26" s="12">
        <v>0.1</v>
      </c>
      <c r="C26" s="2" t="s">
        <v>79</v>
      </c>
      <c r="E26" s="3"/>
      <c r="F26" s="3"/>
      <c r="G26" s="3"/>
      <c r="H26" s="3"/>
      <c r="I26" s="3"/>
      <c r="J26" s="3"/>
      <c r="K26" s="3"/>
      <c r="L26" s="3"/>
      <c r="M26" s="3"/>
    </row>
    <row r="27" spans="1:13" ht="19.95" customHeight="1" thickBot="1" x14ac:dyDescent="0.3">
      <c r="A27" s="1" t="s">
        <v>26</v>
      </c>
      <c r="B27" s="14" t="s">
        <v>80</v>
      </c>
      <c r="C27" s="2" t="s">
        <v>81</v>
      </c>
      <c r="E27" s="188" t="s">
        <v>165</v>
      </c>
      <c r="F27" s="189"/>
      <c r="G27" s="189"/>
      <c r="H27" s="189"/>
      <c r="I27" s="54"/>
      <c r="J27" s="3"/>
      <c r="K27" s="3"/>
      <c r="L27" s="3"/>
      <c r="M27" s="3"/>
    </row>
    <row r="28" spans="1:13" ht="19.95" customHeight="1" x14ac:dyDescent="0.25">
      <c r="A28" s="2" t="s">
        <v>27</v>
      </c>
      <c r="B28" s="12">
        <v>0.02</v>
      </c>
      <c r="C28" s="2" t="s">
        <v>82</v>
      </c>
      <c r="E28" s="60"/>
      <c r="F28" s="61" t="s">
        <v>93</v>
      </c>
      <c r="G28" s="61" t="s">
        <v>109</v>
      </c>
      <c r="H28" s="61" t="s">
        <v>166</v>
      </c>
      <c r="I28" s="62" t="s">
        <v>167</v>
      </c>
      <c r="J28" s="3"/>
      <c r="K28" s="3"/>
      <c r="L28" s="3"/>
      <c r="M28" s="3"/>
    </row>
    <row r="29" spans="1:13" ht="19.95" customHeight="1" x14ac:dyDescent="0.25">
      <c r="A29" s="2" t="s">
        <v>28</v>
      </c>
      <c r="B29" s="12">
        <v>0.05</v>
      </c>
      <c r="C29" s="2" t="s">
        <v>83</v>
      </c>
      <c r="E29" s="63" t="s">
        <v>94</v>
      </c>
      <c r="F29" s="55">
        <v>120000</v>
      </c>
      <c r="G29" s="55">
        <v>100000</v>
      </c>
      <c r="H29" s="55">
        <v>70000</v>
      </c>
      <c r="I29" s="56">
        <v>50000</v>
      </c>
      <c r="J29" s="3"/>
      <c r="K29" s="3"/>
      <c r="L29" s="3"/>
      <c r="M29" s="3"/>
    </row>
    <row r="30" spans="1:13" ht="19.95" customHeight="1" x14ac:dyDescent="0.25">
      <c r="A30" s="2" t="s">
        <v>29</v>
      </c>
      <c r="B30" s="12">
        <v>0.3</v>
      </c>
      <c r="C30" s="2" t="s">
        <v>84</v>
      </c>
      <c r="E30" s="63" t="s">
        <v>96</v>
      </c>
      <c r="F30" s="64">
        <v>0.9</v>
      </c>
      <c r="G30" s="64">
        <v>0.85</v>
      </c>
      <c r="H30" s="64">
        <v>0.8</v>
      </c>
      <c r="I30" s="65">
        <v>0.75</v>
      </c>
      <c r="J30" s="3"/>
      <c r="K30" s="3"/>
      <c r="L30" s="3"/>
      <c r="M30" s="3"/>
    </row>
    <row r="31" spans="1:13" ht="19.95" customHeight="1" x14ac:dyDescent="0.25">
      <c r="A31" s="2" t="s">
        <v>30</v>
      </c>
      <c r="B31" s="11">
        <v>30000</v>
      </c>
      <c r="C31" s="2" t="s">
        <v>85</v>
      </c>
      <c r="E31" s="63" t="s">
        <v>99</v>
      </c>
      <c r="F31" s="48">
        <v>1</v>
      </c>
      <c r="G31" s="48">
        <v>1</v>
      </c>
      <c r="H31" s="48">
        <v>1</v>
      </c>
      <c r="I31" s="16">
        <v>0</v>
      </c>
      <c r="J31" s="3"/>
      <c r="K31" s="3"/>
      <c r="L31" s="3"/>
      <c r="M31" s="3"/>
    </row>
    <row r="32" spans="1:13" ht="19.95" customHeight="1" x14ac:dyDescent="0.25">
      <c r="A32" s="2" t="s">
        <v>31</v>
      </c>
      <c r="B32" s="11">
        <v>20000</v>
      </c>
      <c r="C32" s="2" t="s">
        <v>86</v>
      </c>
      <c r="E32" s="4" t="s">
        <v>101</v>
      </c>
      <c r="F32" s="48">
        <v>10</v>
      </c>
      <c r="G32" s="48">
        <v>20</v>
      </c>
      <c r="H32" s="48">
        <v>25</v>
      </c>
      <c r="I32" s="16">
        <v>30</v>
      </c>
      <c r="J32" s="3"/>
      <c r="K32" s="3"/>
      <c r="L32" s="3"/>
      <c r="M32" s="3"/>
    </row>
    <row r="33" spans="1:13" ht="19.95" customHeight="1" x14ac:dyDescent="0.25">
      <c r="A33" s="1" t="s">
        <v>32</v>
      </c>
      <c r="B33" s="14">
        <v>3</v>
      </c>
      <c r="C33" s="2" t="s">
        <v>87</v>
      </c>
      <c r="E33" s="4" t="s">
        <v>103</v>
      </c>
      <c r="F33" s="55">
        <v>3000</v>
      </c>
      <c r="G33" s="55">
        <v>2500</v>
      </c>
      <c r="H33" s="55">
        <v>2000</v>
      </c>
      <c r="I33" s="56">
        <v>1500</v>
      </c>
      <c r="J33" s="3"/>
      <c r="K33" s="3"/>
      <c r="L33" s="3"/>
      <c r="M33" s="3"/>
    </row>
    <row r="34" spans="1:13" ht="19.95" customHeight="1" x14ac:dyDescent="0.25">
      <c r="A34" s="2" t="s">
        <v>33</v>
      </c>
      <c r="B34" s="14">
        <v>5</v>
      </c>
      <c r="C34" s="2" t="s">
        <v>88</v>
      </c>
      <c r="E34" s="4" t="s">
        <v>105</v>
      </c>
      <c r="F34" s="66">
        <v>1</v>
      </c>
      <c r="G34" s="66">
        <v>1</v>
      </c>
      <c r="H34" s="66">
        <v>1</v>
      </c>
      <c r="I34" s="67">
        <v>1</v>
      </c>
      <c r="J34" s="3"/>
      <c r="K34" s="3"/>
      <c r="L34" s="3"/>
      <c r="M34" s="3"/>
    </row>
    <row r="35" spans="1:13" ht="19.95" customHeight="1" x14ac:dyDescent="0.25">
      <c r="A35" s="1" t="s">
        <v>34</v>
      </c>
      <c r="B35" s="11">
        <v>1000</v>
      </c>
      <c r="C35" s="2" t="s">
        <v>89</v>
      </c>
      <c r="E35" s="4" t="s">
        <v>107</v>
      </c>
      <c r="F35" s="66">
        <v>1</v>
      </c>
      <c r="G35" s="66">
        <v>1</v>
      </c>
      <c r="H35" s="66">
        <v>0</v>
      </c>
      <c r="I35" s="67">
        <v>0</v>
      </c>
      <c r="J35" s="3"/>
      <c r="K35" s="3"/>
      <c r="L35" s="3"/>
      <c r="M35" s="3"/>
    </row>
    <row r="36" spans="1:13" ht="19.95" customHeight="1" x14ac:dyDescent="0.25">
      <c r="A36" s="2" t="s">
        <v>35</v>
      </c>
      <c r="B36" s="12">
        <v>0.6</v>
      </c>
      <c r="C36" s="2" t="s">
        <v>90</v>
      </c>
      <c r="E36" s="4" t="s">
        <v>95</v>
      </c>
      <c r="F36" s="48">
        <v>500</v>
      </c>
      <c r="G36" s="48">
        <v>400</v>
      </c>
      <c r="H36" s="48">
        <v>300</v>
      </c>
      <c r="I36" s="16">
        <v>200</v>
      </c>
      <c r="J36" s="3"/>
      <c r="K36" s="3"/>
      <c r="L36" s="3"/>
      <c r="M36" s="3"/>
    </row>
    <row r="37" spans="1:13" ht="19.95" customHeight="1" x14ac:dyDescent="0.25">
      <c r="A37" s="3"/>
      <c r="E37" s="4" t="s">
        <v>97</v>
      </c>
      <c r="F37" s="48" t="s">
        <v>98</v>
      </c>
      <c r="G37" s="48" t="s">
        <v>98</v>
      </c>
      <c r="H37" s="48" t="s">
        <v>111</v>
      </c>
      <c r="I37" s="16" t="s">
        <v>111</v>
      </c>
      <c r="J37" s="3"/>
      <c r="K37" s="3"/>
      <c r="L37" s="3"/>
      <c r="M37" s="3"/>
    </row>
    <row r="38" spans="1:13" ht="19.95" customHeight="1" x14ac:dyDescent="0.25">
      <c r="A38" s="3"/>
      <c r="E38" s="4" t="s">
        <v>100</v>
      </c>
      <c r="F38" s="66">
        <v>0</v>
      </c>
      <c r="G38" s="66">
        <v>0</v>
      </c>
      <c r="H38" s="66">
        <v>0</v>
      </c>
      <c r="I38" s="67">
        <v>0</v>
      </c>
      <c r="J38" s="3"/>
      <c r="K38" s="3"/>
      <c r="L38" s="3"/>
      <c r="M38" s="3"/>
    </row>
    <row r="39" spans="1:13" ht="19.95" customHeight="1" x14ac:dyDescent="0.25">
      <c r="A39" s="1" t="s">
        <v>36</v>
      </c>
      <c r="B39" s="1" t="s">
        <v>91</v>
      </c>
      <c r="C39" s="1" t="s">
        <v>92</v>
      </c>
      <c r="E39" s="68" t="s">
        <v>102</v>
      </c>
      <c r="F39" s="69">
        <v>5</v>
      </c>
      <c r="G39" s="69">
        <v>4</v>
      </c>
      <c r="H39" s="69">
        <v>3</v>
      </c>
      <c r="I39" s="70">
        <v>2</v>
      </c>
      <c r="J39" s="3"/>
      <c r="K39" s="3"/>
      <c r="L39" s="3"/>
      <c r="M39" s="3"/>
    </row>
    <row r="40" spans="1:13" ht="19.95" customHeight="1" x14ac:dyDescent="0.25">
      <c r="A40" s="4" t="s">
        <v>37</v>
      </c>
      <c r="B40" s="19">
        <v>2</v>
      </c>
      <c r="C40" s="16">
        <v>30000</v>
      </c>
      <c r="E40" s="4" t="s">
        <v>104</v>
      </c>
      <c r="F40" s="71">
        <v>1000</v>
      </c>
      <c r="G40" s="71">
        <v>1000</v>
      </c>
      <c r="H40" s="71">
        <v>1000</v>
      </c>
      <c r="I40" s="72">
        <v>1000</v>
      </c>
      <c r="J40" s="3"/>
      <c r="K40" s="3"/>
      <c r="L40" s="3"/>
      <c r="M40" s="3"/>
    </row>
    <row r="41" spans="1:13" ht="19.95" customHeight="1" thickBot="1" x14ac:dyDescent="0.3">
      <c r="A41" s="5" t="s">
        <v>38</v>
      </c>
      <c r="B41" s="20">
        <v>3</v>
      </c>
      <c r="C41" s="18">
        <v>30000</v>
      </c>
      <c r="E41" s="4" t="s">
        <v>106</v>
      </c>
      <c r="F41" s="73">
        <v>0.01</v>
      </c>
      <c r="G41" s="73">
        <v>0.02</v>
      </c>
      <c r="H41" s="73">
        <v>0.03</v>
      </c>
      <c r="I41" s="74">
        <v>0.04</v>
      </c>
      <c r="J41" s="3"/>
      <c r="K41" s="3"/>
      <c r="L41" s="3"/>
      <c r="M41" s="3"/>
    </row>
    <row r="42" spans="1:13" ht="19.95" customHeight="1" x14ac:dyDescent="0.25">
      <c r="A42" s="3"/>
      <c r="E42" s="4" t="s">
        <v>108</v>
      </c>
      <c r="F42" s="71">
        <v>4000</v>
      </c>
      <c r="G42" s="71">
        <v>3000</v>
      </c>
      <c r="H42" s="71">
        <v>2000</v>
      </c>
      <c r="I42" s="72">
        <v>1000</v>
      </c>
      <c r="J42" s="3"/>
      <c r="K42" s="3"/>
      <c r="L42" s="3"/>
      <c r="M42" s="3"/>
    </row>
    <row r="43" spans="1:13" ht="19.95" customHeight="1" thickBot="1" x14ac:dyDescent="0.3">
      <c r="A43" s="3"/>
    </row>
    <row r="44" spans="1:13" ht="19.95" customHeight="1" x14ac:dyDescent="0.25">
      <c r="A44" s="1" t="s">
        <v>39</v>
      </c>
      <c r="B44" s="21" t="s">
        <v>122</v>
      </c>
      <c r="C44" s="21" t="s">
        <v>123</v>
      </c>
      <c r="D44" s="21" t="s">
        <v>124</v>
      </c>
      <c r="E44" s="21" t="s">
        <v>116</v>
      </c>
      <c r="F44" s="21" t="s">
        <v>117</v>
      </c>
      <c r="G44" s="21" t="s">
        <v>118</v>
      </c>
      <c r="H44" s="22" t="s">
        <v>119</v>
      </c>
      <c r="I44" s="23" t="s">
        <v>120</v>
      </c>
      <c r="J44" s="24" t="s">
        <v>121</v>
      </c>
    </row>
    <row r="45" spans="1:13" ht="19.95" customHeight="1" x14ac:dyDescent="0.25">
      <c r="A45" s="6" t="s">
        <v>40</v>
      </c>
      <c r="B45" s="25">
        <v>40</v>
      </c>
      <c r="C45" s="25">
        <v>42</v>
      </c>
      <c r="D45" s="25">
        <v>38</v>
      </c>
      <c r="E45" s="25">
        <v>36</v>
      </c>
      <c r="F45" s="25">
        <v>38</v>
      </c>
      <c r="G45" s="25">
        <v>42</v>
      </c>
      <c r="H45" s="25">
        <v>0</v>
      </c>
      <c r="I45" s="25">
        <v>1</v>
      </c>
      <c r="J45" s="26">
        <v>0.1</v>
      </c>
    </row>
    <row r="46" spans="1:13" ht="19.95" customHeight="1" x14ac:dyDescent="0.25">
      <c r="A46" s="6" t="s">
        <v>41</v>
      </c>
      <c r="B46" s="25">
        <v>80</v>
      </c>
      <c r="C46" s="25">
        <v>82</v>
      </c>
      <c r="D46" s="25">
        <v>75</v>
      </c>
      <c r="E46" s="25">
        <v>78</v>
      </c>
      <c r="F46" s="25">
        <v>80</v>
      </c>
      <c r="G46" s="25">
        <v>83</v>
      </c>
      <c r="H46" s="25">
        <v>0</v>
      </c>
      <c r="I46" s="25">
        <v>1</v>
      </c>
      <c r="J46" s="26">
        <v>0.2</v>
      </c>
    </row>
    <row r="47" spans="1:13" ht="19.95" customHeight="1" x14ac:dyDescent="0.25">
      <c r="A47" s="6" t="s">
        <v>42</v>
      </c>
      <c r="B47" s="25">
        <v>110</v>
      </c>
      <c r="C47" s="25">
        <v>108</v>
      </c>
      <c r="D47" s="25">
        <v>106</v>
      </c>
      <c r="E47" s="25">
        <v>112</v>
      </c>
      <c r="F47" s="25">
        <v>114</v>
      </c>
      <c r="G47" s="25">
        <v>116</v>
      </c>
      <c r="H47" s="25">
        <v>1</v>
      </c>
      <c r="I47" s="25">
        <v>1</v>
      </c>
      <c r="J47" s="26">
        <v>0.3</v>
      </c>
    </row>
    <row r="48" spans="1:13" ht="19.95" customHeight="1" x14ac:dyDescent="0.25">
      <c r="A48" s="7" t="s">
        <v>43</v>
      </c>
      <c r="B48" s="25">
        <v>10</v>
      </c>
      <c r="C48" s="25">
        <v>13</v>
      </c>
      <c r="D48" s="25">
        <v>14</v>
      </c>
      <c r="E48" s="25">
        <v>12</v>
      </c>
      <c r="F48" s="25">
        <v>9</v>
      </c>
      <c r="G48" s="25">
        <v>8</v>
      </c>
      <c r="H48" s="25">
        <v>0</v>
      </c>
      <c r="I48" s="25">
        <v>0</v>
      </c>
      <c r="J48" s="26">
        <v>0.1</v>
      </c>
    </row>
    <row r="49" spans="1:10" ht="19.95" customHeight="1" x14ac:dyDescent="0.25">
      <c r="A49" s="7" t="s">
        <v>44</v>
      </c>
      <c r="B49" s="25">
        <v>20</v>
      </c>
      <c r="C49" s="25">
        <v>18</v>
      </c>
      <c r="D49" s="25">
        <v>22</v>
      </c>
      <c r="E49" s="25">
        <v>25</v>
      </c>
      <c r="F49" s="25">
        <v>20</v>
      </c>
      <c r="G49" s="25">
        <v>17</v>
      </c>
      <c r="H49" s="25">
        <v>0</v>
      </c>
      <c r="I49" s="25">
        <v>1</v>
      </c>
      <c r="J49" s="26">
        <v>0.2</v>
      </c>
    </row>
    <row r="50" spans="1:10" ht="19.95" customHeight="1" x14ac:dyDescent="0.25">
      <c r="A50" s="7" t="s">
        <v>45</v>
      </c>
      <c r="B50" s="25">
        <v>35</v>
      </c>
      <c r="C50" s="25">
        <v>30</v>
      </c>
      <c r="D50" s="25">
        <v>32</v>
      </c>
      <c r="E50" s="25">
        <v>37</v>
      </c>
      <c r="F50" s="25">
        <v>39</v>
      </c>
      <c r="G50" s="25">
        <v>40</v>
      </c>
      <c r="H50" s="25">
        <v>0</v>
      </c>
      <c r="I50" s="25">
        <v>1</v>
      </c>
      <c r="J50" s="26">
        <v>0.3</v>
      </c>
    </row>
    <row r="51" spans="1:10" ht="19.95" customHeight="1" x14ac:dyDescent="0.25">
      <c r="A51" s="8" t="s">
        <v>46</v>
      </c>
      <c r="B51" s="25">
        <v>50</v>
      </c>
      <c r="C51" s="25">
        <v>51</v>
      </c>
      <c r="D51" s="25">
        <v>53</v>
      </c>
      <c r="E51" s="25">
        <v>50</v>
      </c>
      <c r="F51" s="25">
        <v>58</v>
      </c>
      <c r="G51" s="25">
        <v>58</v>
      </c>
      <c r="H51" s="25">
        <v>0</v>
      </c>
      <c r="I51" s="25">
        <v>0</v>
      </c>
      <c r="J51" s="26">
        <v>0.1</v>
      </c>
    </row>
    <row r="52" spans="1:10" ht="19.95" customHeight="1" x14ac:dyDescent="0.25">
      <c r="A52" s="8" t="s">
        <v>47</v>
      </c>
      <c r="B52" s="25">
        <v>80</v>
      </c>
      <c r="C52" s="25">
        <v>75</v>
      </c>
      <c r="D52" s="25">
        <v>73</v>
      </c>
      <c r="E52" s="25">
        <v>72</v>
      </c>
      <c r="F52" s="25">
        <v>75</v>
      </c>
      <c r="G52" s="25">
        <v>78</v>
      </c>
      <c r="H52" s="25">
        <v>0</v>
      </c>
      <c r="I52" s="25">
        <v>1</v>
      </c>
      <c r="J52" s="26">
        <v>0.15</v>
      </c>
    </row>
    <row r="53" spans="1:10" ht="19.95" customHeight="1" x14ac:dyDescent="0.25">
      <c r="A53" s="8" t="s">
        <v>48</v>
      </c>
      <c r="B53" s="25">
        <v>110</v>
      </c>
      <c r="C53" s="25">
        <v>115</v>
      </c>
      <c r="D53" s="25">
        <v>115</v>
      </c>
      <c r="E53" s="25">
        <v>118</v>
      </c>
      <c r="F53" s="25">
        <v>120</v>
      </c>
      <c r="G53" s="25">
        <v>116</v>
      </c>
      <c r="H53" s="25">
        <v>0</v>
      </c>
      <c r="I53" s="25">
        <v>0</v>
      </c>
      <c r="J53" s="26">
        <v>0.2</v>
      </c>
    </row>
    <row r="54" spans="1:10" ht="19.95" customHeight="1" x14ac:dyDescent="0.25">
      <c r="A54" s="8" t="s">
        <v>49</v>
      </c>
      <c r="B54" s="25">
        <v>160</v>
      </c>
      <c r="C54" s="25">
        <v>155</v>
      </c>
      <c r="D54" s="25">
        <v>150</v>
      </c>
      <c r="E54" s="25">
        <v>150</v>
      </c>
      <c r="F54" s="25">
        <v>145</v>
      </c>
      <c r="G54" s="25">
        <v>145</v>
      </c>
      <c r="H54" s="25">
        <v>0</v>
      </c>
      <c r="I54" s="25">
        <v>1</v>
      </c>
      <c r="J54" s="26">
        <v>0.3</v>
      </c>
    </row>
    <row r="55" spans="1:10" ht="19.95" customHeight="1" x14ac:dyDescent="0.25">
      <c r="A55" s="9" t="s">
        <v>50</v>
      </c>
      <c r="B55" s="25">
        <v>50</v>
      </c>
      <c r="C55" s="25">
        <v>48</v>
      </c>
      <c r="D55" s="25">
        <v>46</v>
      </c>
      <c r="E55" s="25">
        <v>44</v>
      </c>
      <c r="F55" s="25">
        <v>47</v>
      </c>
      <c r="G55" s="25">
        <v>50</v>
      </c>
      <c r="H55" s="25">
        <v>1</v>
      </c>
      <c r="I55" s="25">
        <v>1</v>
      </c>
      <c r="J55" s="26">
        <v>0.1</v>
      </c>
    </row>
    <row r="56" spans="1:10" ht="19.95" customHeight="1" x14ac:dyDescent="0.25">
      <c r="A56" s="9" t="s">
        <v>51</v>
      </c>
      <c r="B56" s="25">
        <v>50</v>
      </c>
      <c r="C56" s="25">
        <v>48</v>
      </c>
      <c r="D56" s="25">
        <v>50</v>
      </c>
      <c r="E56" s="25">
        <v>52</v>
      </c>
      <c r="F56" s="25">
        <v>50</v>
      </c>
      <c r="G56" s="25">
        <v>48</v>
      </c>
      <c r="H56" s="25">
        <v>1</v>
      </c>
      <c r="I56" s="25">
        <v>1</v>
      </c>
      <c r="J56" s="26">
        <v>0.1</v>
      </c>
    </row>
    <row r="57" spans="1:10" ht="19.95" customHeight="1" x14ac:dyDescent="0.25">
      <c r="A57" s="9" t="s">
        <v>52</v>
      </c>
      <c r="B57" s="25">
        <v>80</v>
      </c>
      <c r="C57" s="25">
        <v>75</v>
      </c>
      <c r="D57" s="25">
        <v>78</v>
      </c>
      <c r="E57" s="25">
        <v>75</v>
      </c>
      <c r="F57" s="25">
        <v>74</v>
      </c>
      <c r="G57" s="25">
        <v>74</v>
      </c>
      <c r="H57" s="25">
        <v>1</v>
      </c>
      <c r="I57" s="25">
        <v>1</v>
      </c>
      <c r="J57" s="26">
        <v>0.2</v>
      </c>
    </row>
    <row r="58" spans="1:10" ht="19.95" customHeight="1" x14ac:dyDescent="0.25">
      <c r="A58" s="9" t="s">
        <v>53</v>
      </c>
      <c r="B58" s="25">
        <v>90</v>
      </c>
      <c r="C58" s="25">
        <v>82</v>
      </c>
      <c r="D58" s="25">
        <v>83</v>
      </c>
      <c r="E58" s="25">
        <v>85</v>
      </c>
      <c r="F58" s="25">
        <v>87</v>
      </c>
      <c r="G58" s="25">
        <v>90</v>
      </c>
      <c r="H58" s="25">
        <v>1</v>
      </c>
      <c r="I58" s="25">
        <v>1</v>
      </c>
      <c r="J58" s="26">
        <v>0.3</v>
      </c>
    </row>
    <row r="61" spans="1:10" ht="19.95" customHeight="1" x14ac:dyDescent="0.3">
      <c r="A61" s="183" t="str">
        <f>A45</f>
        <v>高亮LED</v>
      </c>
      <c r="B61" s="54"/>
      <c r="C61" s="54"/>
      <c r="D61" s="75" t="s">
        <v>168</v>
      </c>
    </row>
    <row r="62" spans="1:10" ht="19.95" customHeight="1" x14ac:dyDescent="0.3">
      <c r="A62" s="183"/>
      <c r="B62" s="76" t="s">
        <v>169</v>
      </c>
      <c r="C62" s="23" t="s">
        <v>170</v>
      </c>
      <c r="D62" s="77">
        <v>1.5</v>
      </c>
    </row>
    <row r="63" spans="1:10" ht="19.95" customHeight="1" x14ac:dyDescent="0.25">
      <c r="A63" s="183"/>
      <c r="B63" s="28">
        <v>0</v>
      </c>
      <c r="C63" s="28">
        <v>200</v>
      </c>
      <c r="D63" s="78">
        <v>1</v>
      </c>
    </row>
    <row r="64" spans="1:10" ht="19.95" customHeight="1" x14ac:dyDescent="0.25">
      <c r="A64" s="183"/>
      <c r="B64" s="28">
        <v>201</v>
      </c>
      <c r="C64" s="28">
        <v>500</v>
      </c>
      <c r="D64" s="78">
        <v>0.95</v>
      </c>
    </row>
    <row r="65" spans="1:4" ht="19.95" customHeight="1" x14ac:dyDescent="0.25">
      <c r="A65" s="183"/>
      <c r="B65" s="28">
        <v>501</v>
      </c>
      <c r="C65" s="28">
        <v>1000</v>
      </c>
      <c r="D65" s="78">
        <v>0.9</v>
      </c>
    </row>
    <row r="66" spans="1:4" ht="19.95" customHeight="1" x14ac:dyDescent="0.25">
      <c r="A66" s="183"/>
      <c r="B66" s="28">
        <v>1001</v>
      </c>
      <c r="C66" s="28">
        <v>1500</v>
      </c>
      <c r="D66" s="78">
        <v>0.85</v>
      </c>
    </row>
    <row r="67" spans="1:4" ht="19.95" customHeight="1" x14ac:dyDescent="0.25">
      <c r="A67" s="183"/>
      <c r="B67" s="28">
        <v>1501</v>
      </c>
      <c r="C67" s="28">
        <v>2000</v>
      </c>
      <c r="D67" s="78">
        <v>0.8</v>
      </c>
    </row>
    <row r="68" spans="1:4" ht="19.95" customHeight="1" x14ac:dyDescent="0.25">
      <c r="A68" s="183"/>
      <c r="B68" s="28">
        <v>2001</v>
      </c>
      <c r="C68" s="28">
        <v>9999</v>
      </c>
      <c r="D68" s="78">
        <v>0.75</v>
      </c>
    </row>
    <row r="69" spans="1:4" ht="19.95" customHeight="1" x14ac:dyDescent="0.3">
      <c r="A69" s="183" t="s">
        <v>41</v>
      </c>
      <c r="B69" s="54"/>
      <c r="C69" s="54"/>
      <c r="D69" s="75" t="s">
        <v>168</v>
      </c>
    </row>
    <row r="70" spans="1:4" ht="19.95" customHeight="1" x14ac:dyDescent="0.3">
      <c r="A70" s="183"/>
      <c r="B70" s="76" t="s">
        <v>169</v>
      </c>
      <c r="C70" s="23" t="s">
        <v>170</v>
      </c>
      <c r="D70" s="77">
        <v>1.5</v>
      </c>
    </row>
    <row r="71" spans="1:4" ht="19.95" customHeight="1" x14ac:dyDescent="0.25">
      <c r="A71" s="183"/>
      <c r="B71" s="28">
        <v>0</v>
      </c>
      <c r="C71" s="28">
        <v>200</v>
      </c>
      <c r="D71" s="78">
        <v>1</v>
      </c>
    </row>
    <row r="72" spans="1:4" ht="19.95" customHeight="1" x14ac:dyDescent="0.25">
      <c r="A72" s="183"/>
      <c r="B72" s="28">
        <v>201</v>
      </c>
      <c r="C72" s="28">
        <v>500</v>
      </c>
      <c r="D72" s="78">
        <v>0.95</v>
      </c>
    </row>
    <row r="73" spans="1:4" ht="19.95" customHeight="1" x14ac:dyDescent="0.25">
      <c r="A73" s="183"/>
      <c r="B73" s="28">
        <v>501</v>
      </c>
      <c r="C73" s="28">
        <v>1000</v>
      </c>
      <c r="D73" s="78">
        <v>0.9</v>
      </c>
    </row>
    <row r="74" spans="1:4" ht="19.95" customHeight="1" x14ac:dyDescent="0.25">
      <c r="A74" s="183"/>
      <c r="B74" s="28">
        <v>1001</v>
      </c>
      <c r="C74" s="28">
        <v>1500</v>
      </c>
      <c r="D74" s="78">
        <v>0.85</v>
      </c>
    </row>
    <row r="75" spans="1:4" ht="19.95" customHeight="1" x14ac:dyDescent="0.25">
      <c r="A75" s="183"/>
      <c r="B75" s="28">
        <v>1501</v>
      </c>
      <c r="C75" s="28">
        <v>2000</v>
      </c>
      <c r="D75" s="78">
        <v>0.8</v>
      </c>
    </row>
    <row r="76" spans="1:4" ht="19.95" customHeight="1" x14ac:dyDescent="0.25">
      <c r="A76" s="183"/>
      <c r="B76" s="28">
        <v>2001</v>
      </c>
      <c r="C76" s="28">
        <v>9999</v>
      </c>
      <c r="D76" s="78">
        <v>0.75</v>
      </c>
    </row>
    <row r="77" spans="1:4" ht="19.95" customHeight="1" x14ac:dyDescent="0.3">
      <c r="A77" s="183" t="s">
        <v>42</v>
      </c>
      <c r="B77" s="54"/>
      <c r="C77" s="54"/>
      <c r="D77" s="75" t="s">
        <v>168</v>
      </c>
    </row>
    <row r="78" spans="1:4" ht="19.95" customHeight="1" x14ac:dyDescent="0.3">
      <c r="A78" s="183"/>
      <c r="B78" s="76" t="s">
        <v>169</v>
      </c>
      <c r="C78" s="23" t="s">
        <v>170</v>
      </c>
      <c r="D78" s="77">
        <v>1.5</v>
      </c>
    </row>
    <row r="79" spans="1:4" ht="19.95" customHeight="1" x14ac:dyDescent="0.25">
      <c r="A79" s="183"/>
      <c r="B79" s="28">
        <v>0</v>
      </c>
      <c r="C79" s="28">
        <v>200</v>
      </c>
      <c r="D79" s="78">
        <v>1</v>
      </c>
    </row>
    <row r="80" spans="1:4" ht="19.95" customHeight="1" x14ac:dyDescent="0.25">
      <c r="A80" s="183"/>
      <c r="B80" s="28">
        <v>201</v>
      </c>
      <c r="C80" s="28">
        <v>500</v>
      </c>
      <c r="D80" s="78">
        <v>0.95</v>
      </c>
    </row>
    <row r="81" spans="1:4" ht="19.95" customHeight="1" x14ac:dyDescent="0.25">
      <c r="A81" s="183"/>
      <c r="B81" s="28">
        <v>501</v>
      </c>
      <c r="C81" s="28">
        <v>1000</v>
      </c>
      <c r="D81" s="78">
        <v>0.9</v>
      </c>
    </row>
    <row r="82" spans="1:4" ht="19.95" customHeight="1" x14ac:dyDescent="0.25">
      <c r="A82" s="183"/>
      <c r="B82" s="28">
        <v>1001</v>
      </c>
      <c r="C82" s="28">
        <v>1500</v>
      </c>
      <c r="D82" s="78">
        <v>0.85</v>
      </c>
    </row>
    <row r="83" spans="1:4" ht="19.95" customHeight="1" x14ac:dyDescent="0.25">
      <c r="A83" s="183"/>
      <c r="B83" s="28">
        <v>1501</v>
      </c>
      <c r="C83" s="28">
        <v>2000</v>
      </c>
      <c r="D83" s="78">
        <v>0.8</v>
      </c>
    </row>
    <row r="84" spans="1:4" ht="19.95" customHeight="1" x14ac:dyDescent="0.25">
      <c r="A84" s="183"/>
      <c r="B84" s="28">
        <v>2001</v>
      </c>
      <c r="C84" s="28">
        <v>9999</v>
      </c>
      <c r="D84" s="78">
        <v>0.75</v>
      </c>
    </row>
    <row r="85" spans="1:4" ht="19.95" customHeight="1" x14ac:dyDescent="0.3">
      <c r="A85" s="183" t="s">
        <v>171</v>
      </c>
      <c r="B85" s="54"/>
      <c r="C85" s="54"/>
      <c r="D85" s="75" t="s">
        <v>168</v>
      </c>
    </row>
    <row r="86" spans="1:4" ht="19.95" customHeight="1" x14ac:dyDescent="0.3">
      <c r="A86" s="183"/>
      <c r="B86" s="76" t="s">
        <v>169</v>
      </c>
      <c r="C86" s="23" t="s">
        <v>170</v>
      </c>
      <c r="D86" s="77">
        <v>1.5</v>
      </c>
    </row>
    <row r="87" spans="1:4" ht="19.95" customHeight="1" x14ac:dyDescent="0.25">
      <c r="A87" s="183"/>
      <c r="B87" s="28">
        <v>0</v>
      </c>
      <c r="C87" s="28">
        <v>200</v>
      </c>
      <c r="D87" s="78">
        <v>1</v>
      </c>
    </row>
    <row r="88" spans="1:4" ht="19.95" customHeight="1" x14ac:dyDescent="0.25">
      <c r="A88" s="183"/>
      <c r="B88" s="28">
        <v>201</v>
      </c>
      <c r="C88" s="28">
        <v>500</v>
      </c>
      <c r="D88" s="78">
        <v>0.95</v>
      </c>
    </row>
    <row r="89" spans="1:4" ht="19.95" customHeight="1" x14ac:dyDescent="0.25">
      <c r="A89" s="183"/>
      <c r="B89" s="28">
        <v>501</v>
      </c>
      <c r="C89" s="28">
        <v>1000</v>
      </c>
      <c r="D89" s="78">
        <v>0.9</v>
      </c>
    </row>
    <row r="90" spans="1:4" ht="19.95" customHeight="1" x14ac:dyDescent="0.25">
      <c r="A90" s="183"/>
      <c r="B90" s="28">
        <v>1001</v>
      </c>
      <c r="C90" s="28">
        <v>1500</v>
      </c>
      <c r="D90" s="78">
        <v>0.85</v>
      </c>
    </row>
    <row r="91" spans="1:4" ht="19.95" customHeight="1" x14ac:dyDescent="0.25">
      <c r="A91" s="183"/>
      <c r="B91" s="28">
        <v>1501</v>
      </c>
      <c r="C91" s="28">
        <v>2000</v>
      </c>
      <c r="D91" s="78">
        <v>0.8</v>
      </c>
    </row>
    <row r="92" spans="1:4" ht="19.95" customHeight="1" x14ac:dyDescent="0.25">
      <c r="A92" s="183"/>
      <c r="B92" s="28">
        <v>2001</v>
      </c>
      <c r="C92" s="28">
        <v>9999</v>
      </c>
      <c r="D92" s="78">
        <v>0.75</v>
      </c>
    </row>
    <row r="93" spans="1:4" ht="19.95" customHeight="1" x14ac:dyDescent="0.3">
      <c r="A93" s="183" t="s">
        <v>172</v>
      </c>
      <c r="B93" s="54"/>
      <c r="C93" s="54"/>
      <c r="D93" s="75" t="s">
        <v>168</v>
      </c>
    </row>
    <row r="94" spans="1:4" ht="19.95" customHeight="1" x14ac:dyDescent="0.3">
      <c r="A94" s="183"/>
      <c r="B94" s="76" t="s">
        <v>169</v>
      </c>
      <c r="C94" s="23" t="s">
        <v>170</v>
      </c>
      <c r="D94" s="77">
        <v>1.5</v>
      </c>
    </row>
    <row r="95" spans="1:4" ht="19.95" customHeight="1" x14ac:dyDescent="0.25">
      <c r="A95" s="183"/>
      <c r="B95" s="28">
        <v>0</v>
      </c>
      <c r="C95" s="28">
        <v>200</v>
      </c>
      <c r="D95" s="78">
        <v>1</v>
      </c>
    </row>
    <row r="96" spans="1:4" ht="19.95" customHeight="1" x14ac:dyDescent="0.25">
      <c r="A96" s="183"/>
      <c r="B96" s="28">
        <v>201</v>
      </c>
      <c r="C96" s="28">
        <v>500</v>
      </c>
      <c r="D96" s="78">
        <v>0.95</v>
      </c>
    </row>
    <row r="97" spans="1:4" ht="19.95" customHeight="1" x14ac:dyDescent="0.25">
      <c r="A97" s="183"/>
      <c r="B97" s="28">
        <v>501</v>
      </c>
      <c r="C97" s="28">
        <v>1000</v>
      </c>
      <c r="D97" s="78">
        <v>0.9</v>
      </c>
    </row>
    <row r="98" spans="1:4" ht="19.95" customHeight="1" x14ac:dyDescent="0.25">
      <c r="A98" s="183"/>
      <c r="B98" s="28">
        <v>1001</v>
      </c>
      <c r="C98" s="28">
        <v>1500</v>
      </c>
      <c r="D98" s="78">
        <v>0.85</v>
      </c>
    </row>
    <row r="99" spans="1:4" ht="19.95" customHeight="1" x14ac:dyDescent="0.25">
      <c r="A99" s="183"/>
      <c r="B99" s="28">
        <v>1501</v>
      </c>
      <c r="C99" s="28">
        <v>2000</v>
      </c>
      <c r="D99" s="78">
        <v>0.8</v>
      </c>
    </row>
    <row r="100" spans="1:4" ht="19.95" customHeight="1" x14ac:dyDescent="0.25">
      <c r="A100" s="183"/>
      <c r="B100" s="28">
        <v>2001</v>
      </c>
      <c r="C100" s="28">
        <v>9999</v>
      </c>
      <c r="D100" s="78">
        <v>0.75</v>
      </c>
    </row>
    <row r="101" spans="1:4" ht="19.95" customHeight="1" x14ac:dyDescent="0.3">
      <c r="A101" s="183" t="s">
        <v>45</v>
      </c>
      <c r="B101" s="54"/>
      <c r="C101" s="54"/>
      <c r="D101" s="75" t="s">
        <v>168</v>
      </c>
    </row>
    <row r="102" spans="1:4" ht="19.95" customHeight="1" x14ac:dyDescent="0.3">
      <c r="A102" s="183"/>
      <c r="B102" s="76" t="s">
        <v>169</v>
      </c>
      <c r="C102" s="23" t="s">
        <v>170</v>
      </c>
      <c r="D102" s="77">
        <v>1.5</v>
      </c>
    </row>
    <row r="103" spans="1:4" ht="19.95" customHeight="1" x14ac:dyDescent="0.25">
      <c r="A103" s="183"/>
      <c r="B103" s="28">
        <v>0</v>
      </c>
      <c r="C103" s="28">
        <v>200</v>
      </c>
      <c r="D103" s="78">
        <v>1</v>
      </c>
    </row>
    <row r="104" spans="1:4" ht="19.95" customHeight="1" x14ac:dyDescent="0.25">
      <c r="A104" s="183"/>
      <c r="B104" s="28">
        <v>201</v>
      </c>
      <c r="C104" s="28">
        <v>500</v>
      </c>
      <c r="D104" s="78">
        <v>0.95</v>
      </c>
    </row>
    <row r="105" spans="1:4" ht="19.95" customHeight="1" x14ac:dyDescent="0.25">
      <c r="A105" s="183"/>
      <c r="B105" s="28">
        <v>501</v>
      </c>
      <c r="C105" s="28">
        <v>1000</v>
      </c>
      <c r="D105" s="78">
        <v>0.9</v>
      </c>
    </row>
    <row r="106" spans="1:4" ht="19.95" customHeight="1" x14ac:dyDescent="0.25">
      <c r="A106" s="183"/>
      <c r="B106" s="28">
        <v>1001</v>
      </c>
      <c r="C106" s="28">
        <v>1500</v>
      </c>
      <c r="D106" s="78">
        <v>0.85</v>
      </c>
    </row>
    <row r="107" spans="1:4" ht="19.95" customHeight="1" x14ac:dyDescent="0.25">
      <c r="A107" s="183"/>
      <c r="B107" s="28">
        <v>1501</v>
      </c>
      <c r="C107" s="28">
        <v>2000</v>
      </c>
      <c r="D107" s="78">
        <v>0.8</v>
      </c>
    </row>
    <row r="108" spans="1:4" ht="19.95" customHeight="1" x14ac:dyDescent="0.25">
      <c r="A108" s="183"/>
      <c r="B108" s="28">
        <v>2001</v>
      </c>
      <c r="C108" s="28">
        <v>9999</v>
      </c>
      <c r="D108" s="78">
        <v>0.75</v>
      </c>
    </row>
    <row r="109" spans="1:4" ht="19.95" customHeight="1" x14ac:dyDescent="0.3">
      <c r="A109" s="183" t="s">
        <v>46</v>
      </c>
      <c r="B109" s="54"/>
      <c r="C109" s="54"/>
      <c r="D109" s="75" t="s">
        <v>168</v>
      </c>
    </row>
    <row r="110" spans="1:4" ht="19.95" customHeight="1" x14ac:dyDescent="0.3">
      <c r="A110" s="183"/>
      <c r="B110" s="76" t="s">
        <v>169</v>
      </c>
      <c r="C110" s="23" t="s">
        <v>170</v>
      </c>
      <c r="D110" s="77">
        <v>1.5</v>
      </c>
    </row>
    <row r="111" spans="1:4" ht="19.95" customHeight="1" x14ac:dyDescent="0.25">
      <c r="A111" s="183"/>
      <c r="B111" s="28">
        <v>0</v>
      </c>
      <c r="C111" s="28">
        <v>200</v>
      </c>
      <c r="D111" s="78">
        <v>1</v>
      </c>
    </row>
    <row r="112" spans="1:4" ht="19.95" customHeight="1" x14ac:dyDescent="0.25">
      <c r="A112" s="183"/>
      <c r="B112" s="28">
        <v>201</v>
      </c>
      <c r="C112" s="28">
        <v>500</v>
      </c>
      <c r="D112" s="78">
        <v>0.95</v>
      </c>
    </row>
    <row r="113" spans="1:4" ht="19.95" customHeight="1" x14ac:dyDescent="0.25">
      <c r="A113" s="183"/>
      <c r="B113" s="28">
        <v>501</v>
      </c>
      <c r="C113" s="28">
        <v>1000</v>
      </c>
      <c r="D113" s="78">
        <v>0.9</v>
      </c>
    </row>
    <row r="114" spans="1:4" ht="19.95" customHeight="1" x14ac:dyDescent="0.25">
      <c r="A114" s="183"/>
      <c r="B114" s="28">
        <v>1001</v>
      </c>
      <c r="C114" s="28">
        <v>1500</v>
      </c>
      <c r="D114" s="78">
        <v>0.85</v>
      </c>
    </row>
    <row r="115" spans="1:4" ht="19.95" customHeight="1" x14ac:dyDescent="0.25">
      <c r="A115" s="183"/>
      <c r="B115" s="28">
        <v>1501</v>
      </c>
      <c r="C115" s="28">
        <v>2000</v>
      </c>
      <c r="D115" s="78">
        <v>0.8</v>
      </c>
    </row>
    <row r="116" spans="1:4" ht="19.95" customHeight="1" x14ac:dyDescent="0.25">
      <c r="A116" s="183"/>
      <c r="B116" s="28">
        <v>2001</v>
      </c>
      <c r="C116" s="28">
        <v>9999</v>
      </c>
      <c r="D116" s="78">
        <v>0.75</v>
      </c>
    </row>
    <row r="117" spans="1:4" ht="19.95" customHeight="1" x14ac:dyDescent="0.3">
      <c r="A117" s="183" t="s">
        <v>47</v>
      </c>
      <c r="B117" s="54"/>
      <c r="C117" s="54"/>
      <c r="D117" s="75" t="s">
        <v>168</v>
      </c>
    </row>
    <row r="118" spans="1:4" ht="19.95" customHeight="1" x14ac:dyDescent="0.3">
      <c r="A118" s="183"/>
      <c r="B118" s="76" t="s">
        <v>169</v>
      </c>
      <c r="C118" s="23" t="s">
        <v>170</v>
      </c>
      <c r="D118" s="77">
        <v>1.5</v>
      </c>
    </row>
    <row r="119" spans="1:4" ht="19.95" customHeight="1" x14ac:dyDescent="0.25">
      <c r="A119" s="183"/>
      <c r="B119" s="28">
        <v>0</v>
      </c>
      <c r="C119" s="28">
        <v>200</v>
      </c>
      <c r="D119" s="78">
        <v>1</v>
      </c>
    </row>
    <row r="120" spans="1:4" ht="19.95" customHeight="1" x14ac:dyDescent="0.25">
      <c r="A120" s="183"/>
      <c r="B120" s="28">
        <v>201</v>
      </c>
      <c r="C120" s="28">
        <v>500</v>
      </c>
      <c r="D120" s="78">
        <v>0.95</v>
      </c>
    </row>
    <row r="121" spans="1:4" ht="19.95" customHeight="1" x14ac:dyDescent="0.25">
      <c r="A121" s="183"/>
      <c r="B121" s="28">
        <v>501</v>
      </c>
      <c r="C121" s="28">
        <v>1000</v>
      </c>
      <c r="D121" s="78">
        <v>0.9</v>
      </c>
    </row>
    <row r="122" spans="1:4" ht="19.95" customHeight="1" x14ac:dyDescent="0.25">
      <c r="A122" s="183"/>
      <c r="B122" s="28">
        <v>1001</v>
      </c>
      <c r="C122" s="28">
        <v>1500</v>
      </c>
      <c r="D122" s="78">
        <v>0.85</v>
      </c>
    </row>
    <row r="123" spans="1:4" ht="19.95" customHeight="1" x14ac:dyDescent="0.25">
      <c r="A123" s="183"/>
      <c r="B123" s="28">
        <v>1501</v>
      </c>
      <c r="C123" s="28">
        <v>2000</v>
      </c>
      <c r="D123" s="78">
        <v>0.8</v>
      </c>
    </row>
    <row r="124" spans="1:4" ht="19.95" customHeight="1" x14ac:dyDescent="0.25">
      <c r="A124" s="183"/>
      <c r="B124" s="28">
        <v>2001</v>
      </c>
      <c r="C124" s="28">
        <v>9999</v>
      </c>
      <c r="D124" s="78">
        <v>0.75</v>
      </c>
    </row>
    <row r="125" spans="1:4" ht="19.95" customHeight="1" x14ac:dyDescent="0.3">
      <c r="A125" s="183" t="s">
        <v>48</v>
      </c>
      <c r="B125" s="54"/>
      <c r="C125" s="54"/>
      <c r="D125" s="75" t="s">
        <v>168</v>
      </c>
    </row>
    <row r="126" spans="1:4" ht="19.95" customHeight="1" x14ac:dyDescent="0.3">
      <c r="A126" s="183"/>
      <c r="B126" s="76" t="s">
        <v>169</v>
      </c>
      <c r="C126" s="23" t="s">
        <v>170</v>
      </c>
      <c r="D126" s="77">
        <v>1.5</v>
      </c>
    </row>
    <row r="127" spans="1:4" ht="19.95" customHeight="1" x14ac:dyDescent="0.25">
      <c r="A127" s="183"/>
      <c r="B127" s="28">
        <v>0</v>
      </c>
      <c r="C127" s="28">
        <v>200</v>
      </c>
      <c r="D127" s="78">
        <v>1</v>
      </c>
    </row>
    <row r="128" spans="1:4" ht="19.95" customHeight="1" x14ac:dyDescent="0.25">
      <c r="A128" s="183"/>
      <c r="B128" s="28">
        <v>201</v>
      </c>
      <c r="C128" s="28">
        <v>500</v>
      </c>
      <c r="D128" s="78">
        <v>0.95</v>
      </c>
    </row>
    <row r="129" spans="1:4" ht="19.95" customHeight="1" x14ac:dyDescent="0.25">
      <c r="A129" s="183"/>
      <c r="B129" s="28">
        <v>501</v>
      </c>
      <c r="C129" s="28">
        <v>1000</v>
      </c>
      <c r="D129" s="78">
        <v>0.9</v>
      </c>
    </row>
    <row r="130" spans="1:4" ht="19.95" customHeight="1" x14ac:dyDescent="0.25">
      <c r="A130" s="183"/>
      <c r="B130" s="28">
        <v>1001</v>
      </c>
      <c r="C130" s="28">
        <v>1500</v>
      </c>
      <c r="D130" s="78">
        <v>0.85</v>
      </c>
    </row>
    <row r="131" spans="1:4" ht="19.95" customHeight="1" x14ac:dyDescent="0.25">
      <c r="A131" s="183"/>
      <c r="B131" s="28">
        <v>1501</v>
      </c>
      <c r="C131" s="28">
        <v>2000</v>
      </c>
      <c r="D131" s="78">
        <v>0.8</v>
      </c>
    </row>
    <row r="132" spans="1:4" ht="19.95" customHeight="1" x14ac:dyDescent="0.25">
      <c r="A132" s="183"/>
      <c r="B132" s="28">
        <v>2001</v>
      </c>
      <c r="C132" s="28">
        <v>9999</v>
      </c>
      <c r="D132" s="78">
        <v>0.75</v>
      </c>
    </row>
    <row r="133" spans="1:4" ht="19.95" customHeight="1" x14ac:dyDescent="0.3">
      <c r="A133" s="183" t="s">
        <v>49</v>
      </c>
      <c r="B133" s="54"/>
      <c r="C133" s="54"/>
      <c r="D133" s="75" t="s">
        <v>168</v>
      </c>
    </row>
    <row r="134" spans="1:4" ht="19.95" customHeight="1" x14ac:dyDescent="0.3">
      <c r="A134" s="183"/>
      <c r="B134" s="76" t="s">
        <v>169</v>
      </c>
      <c r="C134" s="23" t="s">
        <v>170</v>
      </c>
      <c r="D134" s="77">
        <v>1.5</v>
      </c>
    </row>
    <row r="135" spans="1:4" ht="19.95" customHeight="1" x14ac:dyDescent="0.25">
      <c r="A135" s="183"/>
      <c r="B135" s="28">
        <v>0</v>
      </c>
      <c r="C135" s="28">
        <v>200</v>
      </c>
      <c r="D135" s="78">
        <v>1</v>
      </c>
    </row>
    <row r="136" spans="1:4" ht="19.95" customHeight="1" x14ac:dyDescent="0.25">
      <c r="A136" s="183"/>
      <c r="B136" s="28">
        <v>201</v>
      </c>
      <c r="C136" s="28">
        <v>500</v>
      </c>
      <c r="D136" s="78">
        <v>0.95</v>
      </c>
    </row>
    <row r="137" spans="1:4" ht="19.95" customHeight="1" x14ac:dyDescent="0.25">
      <c r="A137" s="183"/>
      <c r="B137" s="28">
        <v>501</v>
      </c>
      <c r="C137" s="28">
        <v>1000</v>
      </c>
      <c r="D137" s="78">
        <v>0.9</v>
      </c>
    </row>
    <row r="138" spans="1:4" ht="19.95" customHeight="1" x14ac:dyDescent="0.25">
      <c r="A138" s="183"/>
      <c r="B138" s="28">
        <v>1001</v>
      </c>
      <c r="C138" s="28">
        <v>1500</v>
      </c>
      <c r="D138" s="78">
        <v>0.85</v>
      </c>
    </row>
    <row r="139" spans="1:4" ht="19.95" customHeight="1" x14ac:dyDescent="0.25">
      <c r="A139" s="183"/>
      <c r="B139" s="28">
        <v>1501</v>
      </c>
      <c r="C139" s="28">
        <v>2000</v>
      </c>
      <c r="D139" s="78">
        <v>0.8</v>
      </c>
    </row>
    <row r="140" spans="1:4" ht="19.95" customHeight="1" x14ac:dyDescent="0.25">
      <c r="A140" s="183"/>
      <c r="B140" s="28">
        <v>2001</v>
      </c>
      <c r="C140" s="28">
        <v>9999</v>
      </c>
      <c r="D140" s="78">
        <v>0.75</v>
      </c>
    </row>
    <row r="141" spans="1:4" ht="19.95" customHeight="1" x14ac:dyDescent="0.3">
      <c r="A141" s="183" t="s">
        <v>50</v>
      </c>
      <c r="B141" s="54"/>
      <c r="C141" s="54"/>
      <c r="D141" s="75" t="s">
        <v>168</v>
      </c>
    </row>
    <row r="142" spans="1:4" ht="19.95" customHeight="1" x14ac:dyDescent="0.3">
      <c r="A142" s="183"/>
      <c r="B142" s="76" t="s">
        <v>169</v>
      </c>
      <c r="C142" s="23" t="s">
        <v>170</v>
      </c>
      <c r="D142" s="77">
        <v>1.5</v>
      </c>
    </row>
    <row r="143" spans="1:4" ht="19.95" customHeight="1" x14ac:dyDescent="0.25">
      <c r="A143" s="183"/>
      <c r="B143" s="28">
        <v>0</v>
      </c>
      <c r="C143" s="28">
        <v>200</v>
      </c>
      <c r="D143" s="78">
        <v>1</v>
      </c>
    </row>
    <row r="144" spans="1:4" ht="19.95" customHeight="1" x14ac:dyDescent="0.25">
      <c r="A144" s="183"/>
      <c r="B144" s="28">
        <v>201</v>
      </c>
      <c r="C144" s="28">
        <v>500</v>
      </c>
      <c r="D144" s="78">
        <v>0.95</v>
      </c>
    </row>
    <row r="145" spans="1:4" ht="19.95" customHeight="1" x14ac:dyDescent="0.25">
      <c r="A145" s="183"/>
      <c r="B145" s="28">
        <v>501</v>
      </c>
      <c r="C145" s="28">
        <v>1000</v>
      </c>
      <c r="D145" s="78">
        <v>0.9</v>
      </c>
    </row>
    <row r="146" spans="1:4" ht="19.95" customHeight="1" x14ac:dyDescent="0.25">
      <c r="A146" s="183"/>
      <c r="B146" s="28">
        <v>1001</v>
      </c>
      <c r="C146" s="28">
        <v>1500</v>
      </c>
      <c r="D146" s="78">
        <v>0.85</v>
      </c>
    </row>
    <row r="147" spans="1:4" ht="19.95" customHeight="1" x14ac:dyDescent="0.25">
      <c r="A147" s="183"/>
      <c r="B147" s="28">
        <v>1501</v>
      </c>
      <c r="C147" s="28">
        <v>2000</v>
      </c>
      <c r="D147" s="78">
        <v>0.8</v>
      </c>
    </row>
    <row r="148" spans="1:4" ht="19.95" customHeight="1" x14ac:dyDescent="0.25">
      <c r="A148" s="183"/>
      <c r="B148" s="28">
        <v>2001</v>
      </c>
      <c r="C148" s="28">
        <v>9999</v>
      </c>
      <c r="D148" s="78">
        <v>0.75</v>
      </c>
    </row>
    <row r="149" spans="1:4" ht="19.95" customHeight="1" x14ac:dyDescent="0.3">
      <c r="A149" s="183" t="s">
        <v>51</v>
      </c>
      <c r="B149" s="54"/>
      <c r="C149" s="54"/>
      <c r="D149" s="75" t="s">
        <v>168</v>
      </c>
    </row>
    <row r="150" spans="1:4" ht="19.95" customHeight="1" x14ac:dyDescent="0.3">
      <c r="A150" s="183"/>
      <c r="B150" s="76" t="s">
        <v>169</v>
      </c>
      <c r="C150" s="23" t="s">
        <v>170</v>
      </c>
      <c r="D150" s="77">
        <v>1.5</v>
      </c>
    </row>
    <row r="151" spans="1:4" ht="19.95" customHeight="1" x14ac:dyDescent="0.25">
      <c r="A151" s="183"/>
      <c r="B151" s="28">
        <v>0</v>
      </c>
      <c r="C151" s="28">
        <v>200</v>
      </c>
      <c r="D151" s="78">
        <v>1</v>
      </c>
    </row>
    <row r="152" spans="1:4" ht="19.95" customHeight="1" x14ac:dyDescent="0.25">
      <c r="A152" s="183"/>
      <c r="B152" s="28">
        <v>201</v>
      </c>
      <c r="C152" s="28">
        <v>500</v>
      </c>
      <c r="D152" s="78">
        <v>0.95</v>
      </c>
    </row>
    <row r="153" spans="1:4" ht="19.95" customHeight="1" x14ac:dyDescent="0.25">
      <c r="A153" s="183"/>
      <c r="B153" s="28">
        <v>501</v>
      </c>
      <c r="C153" s="28">
        <v>1000</v>
      </c>
      <c r="D153" s="78">
        <v>0.9</v>
      </c>
    </row>
    <row r="154" spans="1:4" ht="19.95" customHeight="1" x14ac:dyDescent="0.25">
      <c r="A154" s="183"/>
      <c r="B154" s="28">
        <v>1001</v>
      </c>
      <c r="C154" s="28">
        <v>1500</v>
      </c>
      <c r="D154" s="78">
        <v>0.85</v>
      </c>
    </row>
    <row r="155" spans="1:4" ht="19.95" customHeight="1" x14ac:dyDescent="0.25">
      <c r="A155" s="183"/>
      <c r="B155" s="28">
        <v>1501</v>
      </c>
      <c r="C155" s="28">
        <v>2000</v>
      </c>
      <c r="D155" s="78">
        <v>0.8</v>
      </c>
    </row>
    <row r="156" spans="1:4" ht="19.95" customHeight="1" x14ac:dyDescent="0.25">
      <c r="A156" s="183"/>
      <c r="B156" s="28">
        <v>2001</v>
      </c>
      <c r="C156" s="28">
        <v>9999</v>
      </c>
      <c r="D156" s="78">
        <v>0.75</v>
      </c>
    </row>
    <row r="157" spans="1:4" ht="19.95" customHeight="1" x14ac:dyDescent="0.3">
      <c r="A157" s="183" t="s">
        <v>52</v>
      </c>
      <c r="B157" s="54"/>
      <c r="C157" s="54"/>
      <c r="D157" s="75" t="s">
        <v>168</v>
      </c>
    </row>
    <row r="158" spans="1:4" ht="19.95" customHeight="1" x14ac:dyDescent="0.3">
      <c r="A158" s="183"/>
      <c r="B158" s="76" t="s">
        <v>169</v>
      </c>
      <c r="C158" s="23" t="s">
        <v>170</v>
      </c>
      <c r="D158" s="77">
        <v>1.5</v>
      </c>
    </row>
    <row r="159" spans="1:4" ht="19.95" customHeight="1" x14ac:dyDescent="0.25">
      <c r="A159" s="183"/>
      <c r="B159" s="28">
        <v>0</v>
      </c>
      <c r="C159" s="28">
        <v>200</v>
      </c>
      <c r="D159" s="78">
        <v>1</v>
      </c>
    </row>
    <row r="160" spans="1:4" ht="19.95" customHeight="1" x14ac:dyDescent="0.25">
      <c r="A160" s="183"/>
      <c r="B160" s="28">
        <v>201</v>
      </c>
      <c r="C160" s="28">
        <v>500</v>
      </c>
      <c r="D160" s="78">
        <v>0.95</v>
      </c>
    </row>
    <row r="161" spans="1:4" ht="19.95" customHeight="1" x14ac:dyDescent="0.25">
      <c r="A161" s="183"/>
      <c r="B161" s="28">
        <v>501</v>
      </c>
      <c r="C161" s="28">
        <v>1000</v>
      </c>
      <c r="D161" s="78">
        <v>0.9</v>
      </c>
    </row>
    <row r="162" spans="1:4" ht="19.95" customHeight="1" x14ac:dyDescent="0.25">
      <c r="A162" s="183"/>
      <c r="B162" s="28">
        <v>1001</v>
      </c>
      <c r="C162" s="28">
        <v>1500</v>
      </c>
      <c r="D162" s="78">
        <v>0.85</v>
      </c>
    </row>
    <row r="163" spans="1:4" ht="19.95" customHeight="1" x14ac:dyDescent="0.25">
      <c r="A163" s="183"/>
      <c r="B163" s="28">
        <v>1501</v>
      </c>
      <c r="C163" s="28">
        <v>2000</v>
      </c>
      <c r="D163" s="78">
        <v>0.8</v>
      </c>
    </row>
    <row r="164" spans="1:4" ht="19.95" customHeight="1" x14ac:dyDescent="0.25">
      <c r="A164" s="183"/>
      <c r="B164" s="28">
        <v>2001</v>
      </c>
      <c r="C164" s="28">
        <v>9999</v>
      </c>
      <c r="D164" s="78">
        <v>0.75</v>
      </c>
    </row>
    <row r="165" spans="1:4" ht="19.95" customHeight="1" x14ac:dyDescent="0.3">
      <c r="A165" s="183" t="s">
        <v>53</v>
      </c>
      <c r="B165" s="54"/>
      <c r="C165" s="54"/>
      <c r="D165" s="75" t="s">
        <v>168</v>
      </c>
    </row>
    <row r="166" spans="1:4" ht="19.95" customHeight="1" x14ac:dyDescent="0.3">
      <c r="A166" s="183"/>
      <c r="B166" s="76" t="s">
        <v>169</v>
      </c>
      <c r="C166" s="23" t="s">
        <v>170</v>
      </c>
      <c r="D166" s="77">
        <v>1.5</v>
      </c>
    </row>
    <row r="167" spans="1:4" ht="19.95" customHeight="1" x14ac:dyDescent="0.25">
      <c r="A167" s="183"/>
      <c r="B167" s="28">
        <v>0</v>
      </c>
      <c r="C167" s="28">
        <v>200</v>
      </c>
      <c r="D167" s="78">
        <v>1</v>
      </c>
    </row>
    <row r="168" spans="1:4" ht="19.95" customHeight="1" x14ac:dyDescent="0.25">
      <c r="A168" s="183"/>
      <c r="B168" s="28">
        <v>201</v>
      </c>
      <c r="C168" s="28">
        <v>500</v>
      </c>
      <c r="D168" s="78">
        <v>0.95</v>
      </c>
    </row>
    <row r="169" spans="1:4" ht="19.95" customHeight="1" x14ac:dyDescent="0.25">
      <c r="A169" s="183"/>
      <c r="B169" s="28">
        <v>501</v>
      </c>
      <c r="C169" s="28">
        <v>1000</v>
      </c>
      <c r="D169" s="78">
        <v>0.9</v>
      </c>
    </row>
    <row r="170" spans="1:4" ht="19.95" customHeight="1" x14ac:dyDescent="0.25">
      <c r="A170" s="183"/>
      <c r="B170" s="28">
        <v>1001</v>
      </c>
      <c r="C170" s="28">
        <v>1500</v>
      </c>
      <c r="D170" s="78">
        <v>0.85</v>
      </c>
    </row>
    <row r="171" spans="1:4" ht="19.95" customHeight="1" x14ac:dyDescent="0.25">
      <c r="A171" s="183"/>
      <c r="B171" s="28">
        <v>1501</v>
      </c>
      <c r="C171" s="28">
        <v>2000</v>
      </c>
      <c r="D171" s="78">
        <v>0.8</v>
      </c>
    </row>
    <row r="172" spans="1:4" ht="19.95" customHeight="1" x14ac:dyDescent="0.25">
      <c r="A172" s="183"/>
      <c r="B172" s="28">
        <v>2001</v>
      </c>
      <c r="C172" s="28">
        <v>9999</v>
      </c>
      <c r="D172" s="78">
        <v>0.75</v>
      </c>
    </row>
  </sheetData>
  <mergeCells count="18">
    <mergeCell ref="A165:A172"/>
    <mergeCell ref="A77:A84"/>
    <mergeCell ref="A85:A92"/>
    <mergeCell ref="A93:A100"/>
    <mergeCell ref="A101:A108"/>
    <mergeCell ref="A109:A116"/>
    <mergeCell ref="A117:A124"/>
    <mergeCell ref="A125:A132"/>
    <mergeCell ref="A133:A140"/>
    <mergeCell ref="A141:A148"/>
    <mergeCell ref="A149:A156"/>
    <mergeCell ref="A157:A164"/>
    <mergeCell ref="A69:A76"/>
    <mergeCell ref="E21:F21"/>
    <mergeCell ref="G21:H21"/>
    <mergeCell ref="I21:J21"/>
    <mergeCell ref="E27:H27"/>
    <mergeCell ref="A61:A68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EA61-56D4-4540-BDA9-BC87EE64A4DE}">
  <dimension ref="A1:U32"/>
  <sheetViews>
    <sheetView zoomScaleNormal="100" workbookViewId="0">
      <selection activeCell="D27" sqref="D27"/>
    </sheetView>
  </sheetViews>
  <sheetFormatPr defaultRowHeight="13.8" x14ac:dyDescent="0.25"/>
  <sheetData>
    <row r="1" spans="1:21" x14ac:dyDescent="0.25">
      <c r="A1" s="190" t="s">
        <v>173</v>
      </c>
      <c r="B1" s="191" t="s">
        <v>174</v>
      </c>
      <c r="C1" s="191" t="s">
        <v>175</v>
      </c>
      <c r="D1" s="191"/>
      <c r="E1" s="191"/>
      <c r="F1" s="191"/>
      <c r="G1" s="191" t="s">
        <v>121</v>
      </c>
      <c r="H1" s="79" t="s">
        <v>176</v>
      </c>
      <c r="I1" s="80">
        <v>1</v>
      </c>
      <c r="J1" s="80">
        <v>2</v>
      </c>
      <c r="K1" s="80">
        <v>4</v>
      </c>
      <c r="L1" s="80">
        <v>5</v>
      </c>
      <c r="M1" s="80">
        <v>6</v>
      </c>
      <c r="N1" s="80">
        <v>7</v>
      </c>
      <c r="O1" s="80">
        <v>8</v>
      </c>
      <c r="P1" s="80">
        <v>9</v>
      </c>
      <c r="Q1" s="80">
        <v>10</v>
      </c>
      <c r="R1" s="80">
        <v>11</v>
      </c>
      <c r="S1" s="80">
        <v>12</v>
      </c>
      <c r="T1" s="80">
        <v>13</v>
      </c>
      <c r="U1" s="80">
        <v>14</v>
      </c>
    </row>
    <row r="2" spans="1:21" x14ac:dyDescent="0.25">
      <c r="A2" s="190"/>
      <c r="B2" s="191"/>
      <c r="C2" s="193" t="s">
        <v>177</v>
      </c>
      <c r="D2" s="194" t="s">
        <v>178</v>
      </c>
      <c r="E2" s="196" t="s">
        <v>179</v>
      </c>
      <c r="F2" s="197" t="s">
        <v>180</v>
      </c>
      <c r="G2" s="191"/>
      <c r="H2" s="81" t="s">
        <v>181</v>
      </c>
      <c r="I2" s="82" t="s">
        <v>182</v>
      </c>
      <c r="J2" s="82" t="s">
        <v>182</v>
      </c>
      <c r="K2" s="82" t="s">
        <v>182</v>
      </c>
      <c r="L2" s="98" t="s">
        <v>183</v>
      </c>
      <c r="M2" s="98" t="s">
        <v>183</v>
      </c>
      <c r="N2" s="98" t="s">
        <v>183</v>
      </c>
      <c r="O2" s="100" t="s">
        <v>184</v>
      </c>
      <c r="P2" s="100" t="s">
        <v>184</v>
      </c>
      <c r="Q2" s="100" t="s">
        <v>184</v>
      </c>
      <c r="R2" s="102" t="s">
        <v>185</v>
      </c>
      <c r="S2" s="102" t="s">
        <v>185</v>
      </c>
      <c r="T2" s="80"/>
      <c r="U2" s="80"/>
    </row>
    <row r="3" spans="1:21" x14ac:dyDescent="0.25">
      <c r="A3" s="190"/>
      <c r="B3" s="191"/>
      <c r="C3" s="193"/>
      <c r="D3" s="195"/>
      <c r="E3" s="196"/>
      <c r="F3" s="198"/>
      <c r="G3" s="192"/>
      <c r="H3" s="83" t="s">
        <v>186</v>
      </c>
      <c r="I3" s="82" t="str">
        <f t="shared" ref="I3:U3" si="0">IF(I4=1,1,IF(I5=1,2,IF(I6=1,3,"")))&amp;IF(I7=1,1,IF(I8=1,2,IF(I9=1,3,"")))&amp;IF(I10=1,1,IF(I11=1,2,IF(I12=1,3,IF(I13=1,4,""))))&amp;IF(I14=1,1,"")&amp;IF(I15=1,2,"")&amp;IF(I16=1,3,"")&amp;IF(I17=1,4,"")</f>
        <v>113</v>
      </c>
      <c r="J3" s="85" t="str">
        <f t="shared" si="0"/>
        <v>3333</v>
      </c>
      <c r="K3" s="85" t="str">
        <f t="shared" si="0"/>
        <v>13334</v>
      </c>
      <c r="L3" s="99" t="str">
        <f t="shared" si="0"/>
        <v>1111</v>
      </c>
      <c r="M3" s="99" t="str">
        <f t="shared" si="0"/>
        <v>113</v>
      </c>
      <c r="N3" s="99" t="str">
        <f t="shared" si="0"/>
        <v>1121</v>
      </c>
      <c r="O3" s="101" t="str">
        <f t="shared" si="0"/>
        <v>212</v>
      </c>
      <c r="P3" s="101" t="str">
        <f t="shared" si="0"/>
        <v>1121</v>
      </c>
      <c r="Q3" s="101" t="str">
        <f t="shared" si="0"/>
        <v>112</v>
      </c>
      <c r="R3" s="103" t="str">
        <f t="shared" si="0"/>
        <v>121</v>
      </c>
      <c r="S3" s="103" t="str">
        <f t="shared" si="0"/>
        <v>122</v>
      </c>
      <c r="T3" s="84" t="str">
        <f t="shared" si="0"/>
        <v/>
      </c>
      <c r="U3" s="84" t="str">
        <f t="shared" si="0"/>
        <v/>
      </c>
    </row>
    <row r="4" spans="1:21" x14ac:dyDescent="0.25">
      <c r="A4" s="193" t="s">
        <v>187</v>
      </c>
      <c r="B4" s="80" t="s">
        <v>188</v>
      </c>
      <c r="C4" s="86">
        <v>1</v>
      </c>
      <c r="D4" s="86">
        <v>1</v>
      </c>
      <c r="E4" s="86">
        <v>1</v>
      </c>
      <c r="F4" s="92">
        <v>10</v>
      </c>
      <c r="G4" s="105">
        <v>0.1</v>
      </c>
      <c r="H4" s="199" t="s">
        <v>189</v>
      </c>
      <c r="I4" s="87">
        <v>1</v>
      </c>
      <c r="J4" s="87"/>
      <c r="K4" s="87">
        <v>1</v>
      </c>
      <c r="L4" s="87">
        <v>1</v>
      </c>
      <c r="M4" s="87">
        <v>1</v>
      </c>
      <c r="N4" s="87">
        <v>1</v>
      </c>
      <c r="O4" s="87"/>
      <c r="P4" s="87">
        <v>1</v>
      </c>
      <c r="Q4" s="87">
        <v>1</v>
      </c>
      <c r="R4" s="87">
        <v>1</v>
      </c>
      <c r="S4" s="87">
        <v>1</v>
      </c>
      <c r="T4" s="87"/>
      <c r="U4" s="87"/>
    </row>
    <row r="5" spans="1:21" x14ac:dyDescent="0.25">
      <c r="A5" s="193"/>
      <c r="B5" s="80" t="s">
        <v>190</v>
      </c>
      <c r="C5" s="86">
        <v>1</v>
      </c>
      <c r="D5" s="86">
        <v>1</v>
      </c>
      <c r="E5" s="94">
        <v>10</v>
      </c>
      <c r="F5" s="92">
        <v>1</v>
      </c>
      <c r="G5" s="105">
        <v>0.2</v>
      </c>
      <c r="H5" s="199"/>
      <c r="I5" s="87"/>
      <c r="J5" s="87"/>
      <c r="K5" s="87"/>
      <c r="L5" s="87"/>
      <c r="M5" s="87"/>
      <c r="N5" s="87"/>
      <c r="O5" s="87">
        <v>1</v>
      </c>
      <c r="P5" s="87"/>
      <c r="Q5" s="87"/>
      <c r="R5" s="87"/>
      <c r="S5" s="87"/>
      <c r="T5" s="87"/>
      <c r="U5" s="87"/>
    </row>
    <row r="6" spans="1:21" x14ac:dyDescent="0.25">
      <c r="A6" s="193"/>
      <c r="B6" s="80" t="s">
        <v>191</v>
      </c>
      <c r="C6" s="96">
        <v>10</v>
      </c>
      <c r="D6" s="96">
        <v>10</v>
      </c>
      <c r="E6" s="86">
        <v>1</v>
      </c>
      <c r="F6" s="92">
        <v>1</v>
      </c>
      <c r="G6" s="105">
        <v>0.3</v>
      </c>
      <c r="H6" s="199"/>
      <c r="I6" s="87"/>
      <c r="J6" s="87">
        <v>1</v>
      </c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</row>
    <row r="7" spans="1:21" x14ac:dyDescent="0.25">
      <c r="A7" s="193" t="s">
        <v>113</v>
      </c>
      <c r="B7" s="80" t="s">
        <v>43</v>
      </c>
      <c r="C7" s="86">
        <v>1</v>
      </c>
      <c r="D7" s="86">
        <v>1</v>
      </c>
      <c r="E7" s="94">
        <v>10</v>
      </c>
      <c r="F7" s="93">
        <v>1</v>
      </c>
      <c r="G7" s="105">
        <v>0.1</v>
      </c>
      <c r="H7" s="199"/>
      <c r="I7" s="88">
        <v>1</v>
      </c>
      <c r="J7" s="88"/>
      <c r="K7" s="88"/>
      <c r="L7" s="88">
        <v>1</v>
      </c>
      <c r="M7" s="88">
        <v>1</v>
      </c>
      <c r="N7" s="88">
        <v>1</v>
      </c>
      <c r="O7" s="88">
        <v>1</v>
      </c>
      <c r="P7" s="88">
        <v>1</v>
      </c>
      <c r="Q7" s="88">
        <v>1</v>
      </c>
      <c r="R7" s="88"/>
      <c r="S7" s="88"/>
      <c r="T7" s="88"/>
      <c r="U7" s="88"/>
    </row>
    <row r="8" spans="1:21" x14ac:dyDescent="0.25">
      <c r="A8" s="193"/>
      <c r="B8" s="80" t="s">
        <v>44</v>
      </c>
      <c r="C8" s="86">
        <v>1</v>
      </c>
      <c r="D8" s="86">
        <v>1</v>
      </c>
      <c r="E8" s="86">
        <v>1</v>
      </c>
      <c r="F8" s="93">
        <v>10</v>
      </c>
      <c r="G8" s="105">
        <v>0.2</v>
      </c>
      <c r="H8" s="199"/>
      <c r="I8" s="88"/>
      <c r="J8" s="88"/>
      <c r="K8" s="88"/>
      <c r="L8" s="88"/>
      <c r="M8" s="88"/>
      <c r="N8" s="88"/>
      <c r="O8" s="88"/>
      <c r="P8" s="88"/>
      <c r="Q8" s="88"/>
      <c r="R8" s="88">
        <v>1</v>
      </c>
      <c r="S8" s="88">
        <v>1</v>
      </c>
      <c r="T8" s="88"/>
      <c r="U8" s="88"/>
    </row>
    <row r="9" spans="1:21" x14ac:dyDescent="0.25">
      <c r="A9" s="193"/>
      <c r="B9" s="80" t="s">
        <v>45</v>
      </c>
      <c r="C9" s="96">
        <v>10</v>
      </c>
      <c r="D9" s="95">
        <v>10</v>
      </c>
      <c r="E9" s="86">
        <v>1</v>
      </c>
      <c r="F9" s="93">
        <v>10</v>
      </c>
      <c r="G9" s="105">
        <v>0.3</v>
      </c>
      <c r="H9" s="199"/>
      <c r="I9" s="88"/>
      <c r="J9" s="88">
        <v>1</v>
      </c>
      <c r="K9" s="88">
        <v>1</v>
      </c>
      <c r="L9" s="88"/>
      <c r="M9" s="88"/>
      <c r="N9" s="88"/>
      <c r="O9" s="88"/>
      <c r="P9" s="88"/>
      <c r="Q9" s="88"/>
      <c r="R9" s="88"/>
      <c r="S9" s="88"/>
      <c r="T9" s="88"/>
      <c r="U9" s="88"/>
    </row>
    <row r="10" spans="1:21" x14ac:dyDescent="0.25">
      <c r="A10" s="193" t="s">
        <v>114</v>
      </c>
      <c r="B10" s="80" t="s">
        <v>46</v>
      </c>
      <c r="C10" s="86">
        <v>1</v>
      </c>
      <c r="D10" s="86">
        <v>1</v>
      </c>
      <c r="E10" s="94">
        <v>1</v>
      </c>
      <c r="F10" s="86">
        <v>10</v>
      </c>
      <c r="G10" s="105">
        <v>0.1</v>
      </c>
      <c r="H10" s="199"/>
      <c r="I10" s="89"/>
      <c r="J10" s="89"/>
      <c r="K10" s="89"/>
      <c r="L10" s="89">
        <v>1</v>
      </c>
      <c r="M10" s="89"/>
      <c r="N10" s="89"/>
      <c r="O10" s="89"/>
      <c r="P10" s="89"/>
      <c r="Q10" s="89"/>
      <c r="R10" s="89">
        <v>1</v>
      </c>
      <c r="S10" s="89"/>
      <c r="T10" s="89"/>
      <c r="U10" s="89"/>
    </row>
    <row r="11" spans="1:21" x14ac:dyDescent="0.25">
      <c r="A11" s="193"/>
      <c r="B11" s="80" t="s">
        <v>47</v>
      </c>
      <c r="C11" s="86">
        <v>1</v>
      </c>
      <c r="D11" s="86">
        <v>1</v>
      </c>
      <c r="E11" s="94">
        <v>10</v>
      </c>
      <c r="F11" s="86">
        <v>10</v>
      </c>
      <c r="G11" s="105">
        <v>0.15</v>
      </c>
      <c r="H11" s="199"/>
      <c r="I11" s="89"/>
      <c r="J11" s="89"/>
      <c r="K11" s="89"/>
      <c r="L11" s="89"/>
      <c r="M11" s="89"/>
      <c r="N11" s="89">
        <v>1</v>
      </c>
      <c r="O11" s="89">
        <v>1</v>
      </c>
      <c r="P11" s="89">
        <v>1</v>
      </c>
      <c r="Q11" s="89">
        <v>1</v>
      </c>
      <c r="R11" s="89"/>
      <c r="S11" s="89">
        <v>1</v>
      </c>
      <c r="T11" s="89"/>
      <c r="U11" s="89"/>
    </row>
    <row r="12" spans="1:21" x14ac:dyDescent="0.25">
      <c r="A12" s="193"/>
      <c r="B12" s="80" t="s">
        <v>48</v>
      </c>
      <c r="C12" s="86">
        <v>10</v>
      </c>
      <c r="D12" s="86">
        <v>10</v>
      </c>
      <c r="E12" s="94">
        <v>10</v>
      </c>
      <c r="F12" s="86">
        <v>10</v>
      </c>
      <c r="G12" s="105">
        <v>0.2</v>
      </c>
      <c r="H12" s="199"/>
      <c r="I12" s="89">
        <v>1</v>
      </c>
      <c r="J12" s="89">
        <v>1</v>
      </c>
      <c r="K12" s="89">
        <v>1</v>
      </c>
      <c r="L12" s="89"/>
      <c r="M12" s="89">
        <v>1</v>
      </c>
      <c r="N12" s="89"/>
      <c r="O12" s="89"/>
      <c r="P12" s="89"/>
      <c r="Q12" s="89"/>
      <c r="R12" s="89"/>
      <c r="S12" s="89"/>
      <c r="T12" s="89"/>
      <c r="U12" s="89"/>
    </row>
    <row r="13" spans="1:21" x14ac:dyDescent="0.25">
      <c r="A13" s="193"/>
      <c r="B13" s="80" t="s">
        <v>49</v>
      </c>
      <c r="C13" s="96">
        <v>10</v>
      </c>
      <c r="D13" s="95">
        <v>10</v>
      </c>
      <c r="E13" s="94">
        <v>10</v>
      </c>
      <c r="F13" s="86">
        <v>10</v>
      </c>
      <c r="G13" s="105">
        <v>0.3</v>
      </c>
      <c r="H13" s="19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</row>
    <row r="14" spans="1:21" x14ac:dyDescent="0.25">
      <c r="A14" s="193" t="s">
        <v>115</v>
      </c>
      <c r="B14" s="80" t="s">
        <v>192</v>
      </c>
      <c r="C14" s="86">
        <v>1</v>
      </c>
      <c r="D14" s="95">
        <v>10</v>
      </c>
      <c r="E14" s="94">
        <v>10</v>
      </c>
      <c r="F14" s="86">
        <v>10</v>
      </c>
      <c r="G14" s="105">
        <v>0.1</v>
      </c>
      <c r="H14" s="199"/>
      <c r="I14" s="90"/>
      <c r="J14" s="90"/>
      <c r="K14" s="90"/>
      <c r="L14" s="90">
        <v>1</v>
      </c>
      <c r="M14" s="90"/>
      <c r="N14" s="90">
        <v>1</v>
      </c>
      <c r="O14" s="90"/>
      <c r="P14" s="90">
        <v>1</v>
      </c>
      <c r="Q14" s="90"/>
      <c r="R14" s="90"/>
      <c r="S14" s="90"/>
      <c r="T14" s="90"/>
      <c r="U14" s="90"/>
    </row>
    <row r="15" spans="1:21" x14ac:dyDescent="0.25">
      <c r="A15" s="193"/>
      <c r="B15" s="80" t="s">
        <v>193</v>
      </c>
      <c r="C15" s="86">
        <v>5</v>
      </c>
      <c r="D15" s="86">
        <v>1</v>
      </c>
      <c r="E15" s="86">
        <v>1</v>
      </c>
      <c r="F15" s="93">
        <v>10</v>
      </c>
      <c r="G15" s="105">
        <v>0.1</v>
      </c>
      <c r="H15" s="199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</row>
    <row r="16" spans="1:21" x14ac:dyDescent="0.25">
      <c r="A16" s="193"/>
      <c r="B16" s="80" t="s">
        <v>194</v>
      </c>
      <c r="C16" s="96">
        <v>10</v>
      </c>
      <c r="D16" s="95">
        <v>10</v>
      </c>
      <c r="E16" s="86">
        <v>10</v>
      </c>
      <c r="F16" s="86">
        <v>1</v>
      </c>
      <c r="G16" s="105">
        <v>0.2</v>
      </c>
      <c r="H16" s="199"/>
      <c r="I16" s="90"/>
      <c r="J16" s="90">
        <v>1</v>
      </c>
      <c r="K16" s="90">
        <v>1</v>
      </c>
      <c r="L16" s="90"/>
      <c r="M16" s="90"/>
      <c r="N16" s="90"/>
      <c r="O16" s="90"/>
      <c r="P16" s="90"/>
      <c r="Q16" s="90"/>
      <c r="R16" s="90"/>
      <c r="S16" s="90"/>
      <c r="T16" s="90"/>
      <c r="U16" s="90"/>
    </row>
    <row r="17" spans="1:21" x14ac:dyDescent="0.25">
      <c r="A17" s="193"/>
      <c r="B17" s="80" t="s">
        <v>53</v>
      </c>
      <c r="C17" s="96">
        <v>10</v>
      </c>
      <c r="D17" s="86">
        <v>1</v>
      </c>
      <c r="E17" s="86">
        <v>1</v>
      </c>
      <c r="F17" s="86">
        <v>1</v>
      </c>
      <c r="G17" s="105">
        <v>0.2</v>
      </c>
      <c r="H17" s="199"/>
      <c r="I17" s="90"/>
      <c r="J17" s="90"/>
      <c r="K17" s="90">
        <v>1</v>
      </c>
      <c r="L17" s="90"/>
      <c r="M17" s="90"/>
      <c r="N17" s="90"/>
      <c r="O17" s="90"/>
      <c r="P17" s="90"/>
      <c r="Q17" s="90"/>
      <c r="R17" s="90"/>
      <c r="S17" s="90"/>
      <c r="T17" s="90"/>
      <c r="U17" s="90"/>
    </row>
    <row r="18" spans="1:21" s="91" customFormat="1" x14ac:dyDescent="0.25">
      <c r="A18" s="80"/>
      <c r="B18" s="80"/>
      <c r="C18" s="80"/>
      <c r="D18" s="80"/>
      <c r="E18" s="80"/>
      <c r="F18" s="80"/>
      <c r="G18" s="80"/>
      <c r="H18" s="80" t="s">
        <v>195</v>
      </c>
      <c r="I18" s="104">
        <f>IF(I2="S",SUMPRODUCT($C$4:$C$17,I4:I17),IF(I2="B",SUMPRODUCT($D$4:$D$17,I4:I17),IF(I2="Q",SUMPRODUCT($E$4:$E$17,I4:I17),SUMPRODUCT($F$4:$F$17,I4:I17))))</f>
        <v>12</v>
      </c>
      <c r="J18" s="104">
        <f t="shared" ref="J18:N18" si="1">IF(J2="S",SUMPRODUCT($C$4:$C$17,J4:J17),IF(J2="B",SUMPRODUCT($D$4:$D$17,J4:J17),IF(J2="Q",SUMPRODUCT($E$4:$E$17,J4:J17),SUMPRODUCT($F$4:$F$17,J4:J17))))</f>
        <v>40</v>
      </c>
      <c r="K18" s="104">
        <f t="shared" si="1"/>
        <v>41</v>
      </c>
      <c r="L18" s="104">
        <f t="shared" si="1"/>
        <v>13</v>
      </c>
      <c r="M18" s="104">
        <f t="shared" si="1"/>
        <v>12</v>
      </c>
      <c r="N18" s="104">
        <f t="shared" si="1"/>
        <v>13</v>
      </c>
      <c r="O18" s="104">
        <f t="shared" ref="O18" si="2">IF(O2="S",SUMPRODUCT($C$4:$C$17,O4:O17),IF(O2="B",SUMPRODUCT($D$4:$D$17,O4:O17),IF(O2="Q",SUMPRODUCT($E$4:$E$17,O4:O17),SUMPRODUCT($F$4:$F$17,O4:O17))))</f>
        <v>30</v>
      </c>
      <c r="P18" s="104">
        <f t="shared" ref="P18" si="3">IF(P2="S",SUMPRODUCT($C$4:$C$17,P4:P17),IF(P2="B",SUMPRODUCT($D$4:$D$17,P4:P17),IF(P2="Q",SUMPRODUCT($E$4:$E$17,P4:P17),SUMPRODUCT($F$4:$F$17,P4:P17))))</f>
        <v>31</v>
      </c>
      <c r="Q18" s="104">
        <f t="shared" ref="Q18" si="4">IF(Q2="S",SUMPRODUCT($C$4:$C$17,Q4:Q17),IF(Q2="B",SUMPRODUCT($D$4:$D$17,Q4:Q17),IF(Q2="Q",SUMPRODUCT($E$4:$E$17,Q4:Q17),SUMPRODUCT($F$4:$F$17,Q4:Q17))))</f>
        <v>21</v>
      </c>
      <c r="R18" s="104">
        <f t="shared" ref="R18" si="5">IF(R2="S",SUMPRODUCT($C$4:$C$17,R4:R17),IF(R2="B",SUMPRODUCT($D$4:$D$17,R4:R17),IF(R2="Q",SUMPRODUCT($E$4:$E$17,R4:R17),SUMPRODUCT($F$4:$F$17,R4:R17))))</f>
        <v>30</v>
      </c>
      <c r="S18" s="104">
        <f t="shared" ref="S18" si="6">IF(S2="S",SUMPRODUCT($C$4:$C$17,S4:S17),IF(S2="B",SUMPRODUCT($D$4:$D$17,S4:S17),IF(S2="Q",SUMPRODUCT($E$4:$E$17,S4:S17),SUMPRODUCT($F$4:$F$17,S4:S17))))</f>
        <v>30</v>
      </c>
      <c r="T18" s="80"/>
      <c r="U18" s="80"/>
    </row>
    <row r="22" spans="1:21" x14ac:dyDescent="0.25">
      <c r="G22" s="97"/>
      <c r="H22" s="97"/>
      <c r="I22" s="97"/>
      <c r="J22" s="97"/>
      <c r="K22" s="97"/>
    </row>
    <row r="23" spans="1:21" x14ac:dyDescent="0.25">
      <c r="G23" s="97"/>
      <c r="H23" s="97"/>
      <c r="I23" s="97"/>
      <c r="J23" s="97"/>
      <c r="K23" s="97"/>
    </row>
    <row r="24" spans="1:21" x14ac:dyDescent="0.25">
      <c r="G24" s="97"/>
      <c r="H24" s="97"/>
      <c r="I24" s="97"/>
      <c r="J24" s="97"/>
      <c r="K24" s="97"/>
    </row>
    <row r="25" spans="1:21" x14ac:dyDescent="0.25">
      <c r="G25" s="97"/>
      <c r="H25" s="97"/>
      <c r="I25" s="97"/>
      <c r="J25" s="97"/>
      <c r="K25" s="97"/>
    </row>
    <row r="26" spans="1:21" x14ac:dyDescent="0.25">
      <c r="G26" s="97"/>
      <c r="H26" s="97"/>
      <c r="I26" s="97"/>
      <c r="J26" s="97"/>
      <c r="K26" s="97"/>
    </row>
    <row r="27" spans="1:21" x14ac:dyDescent="0.25">
      <c r="G27" s="97"/>
      <c r="H27" s="97"/>
      <c r="I27" s="97"/>
      <c r="J27" s="97"/>
      <c r="K27" s="97"/>
    </row>
    <row r="28" spans="1:21" x14ac:dyDescent="0.25">
      <c r="G28" s="97"/>
      <c r="H28" s="97"/>
      <c r="I28" s="97"/>
      <c r="J28" s="97"/>
      <c r="K28" s="97"/>
    </row>
    <row r="29" spans="1:21" x14ac:dyDescent="0.25">
      <c r="G29" s="97"/>
      <c r="H29" s="97"/>
      <c r="I29" s="97"/>
      <c r="J29" s="97"/>
      <c r="K29" s="97"/>
    </row>
    <row r="30" spans="1:21" x14ac:dyDescent="0.25">
      <c r="G30" s="97"/>
      <c r="H30" s="97"/>
      <c r="I30" s="97"/>
      <c r="J30" s="97"/>
      <c r="K30" s="97"/>
    </row>
    <row r="31" spans="1:21" x14ac:dyDescent="0.25">
      <c r="G31" s="97"/>
      <c r="H31" s="97"/>
      <c r="I31" s="97"/>
      <c r="J31" s="97"/>
      <c r="K31" s="97"/>
    </row>
    <row r="32" spans="1:21" x14ac:dyDescent="0.25">
      <c r="G32" s="97"/>
      <c r="H32" s="97"/>
      <c r="I32" s="97"/>
      <c r="J32" s="97"/>
      <c r="K32" s="97"/>
    </row>
  </sheetData>
  <mergeCells count="13">
    <mergeCell ref="A4:A6"/>
    <mergeCell ref="H4:H17"/>
    <mergeCell ref="A7:A9"/>
    <mergeCell ref="A10:A13"/>
    <mergeCell ref="A14:A17"/>
    <mergeCell ref="A1:A3"/>
    <mergeCell ref="B1:B3"/>
    <mergeCell ref="C1:F1"/>
    <mergeCell ref="G1:G3"/>
    <mergeCell ref="C2:C3"/>
    <mergeCell ref="D2:D3"/>
    <mergeCell ref="E2:E3"/>
    <mergeCell ref="F2:F3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AC42-6835-490F-ADB1-888C9471C5FE}">
  <dimension ref="A1:AV73"/>
  <sheetViews>
    <sheetView topLeftCell="AD16" zoomScale="85" zoomScaleNormal="85" workbookViewId="0">
      <selection activeCell="AN36" sqref="AN36"/>
    </sheetView>
  </sheetViews>
  <sheetFormatPr defaultRowHeight="13.8" x14ac:dyDescent="0.25"/>
  <cols>
    <col min="1" max="1" width="16.6640625" style="91" customWidth="1"/>
    <col min="2" max="2" width="16.109375" style="91" bestFit="1" customWidth="1"/>
    <col min="3" max="5" width="8.88671875" style="91" customWidth="1"/>
    <col min="6" max="6" width="11.6640625" style="91" customWidth="1"/>
    <col min="7" max="7" width="15.109375" style="91" bestFit="1" customWidth="1"/>
    <col min="8" max="11" width="8.88671875" style="91"/>
    <col min="12" max="14" width="8.88671875" style="91" hidden="1" customWidth="1"/>
    <col min="15" max="15" width="10.5546875" style="91" hidden="1" customWidth="1"/>
    <col min="16" max="16" width="12.5546875" style="91" hidden="1" customWidth="1"/>
    <col min="17" max="17" width="12.44140625" style="91" customWidth="1"/>
    <col min="18" max="18" width="12.6640625" style="91" customWidth="1"/>
    <col min="19" max="19" width="13.88671875" style="91" bestFit="1" customWidth="1"/>
    <col min="20" max="20" width="10.5546875" style="91" customWidth="1"/>
    <col min="21" max="21" width="8.88671875" style="91"/>
    <col min="22" max="22" width="9.109375" style="91" customWidth="1"/>
    <col min="23" max="23" width="11.5546875" style="91" customWidth="1"/>
    <col min="24" max="24" width="14.21875" style="91" customWidth="1"/>
    <col min="25" max="25" width="15.109375" style="91" customWidth="1"/>
    <col min="26" max="26" width="14.44140625" style="91" customWidth="1"/>
    <col min="27" max="29" width="0" style="91" hidden="1" customWidth="1"/>
    <col min="30" max="30" width="11.109375" style="91" customWidth="1"/>
    <col min="31" max="31" width="11.44140625" style="91" customWidth="1"/>
    <col min="32" max="32" width="14.44140625" style="91" customWidth="1"/>
    <col min="33" max="33" width="18.6640625" style="91" customWidth="1"/>
    <col min="34" max="34" width="11.21875" style="91" customWidth="1"/>
    <col min="35" max="35" width="14.109375" style="91" customWidth="1"/>
    <col min="36" max="36" width="19.5546875" style="91" customWidth="1"/>
    <col min="37" max="37" width="17.21875" style="91" customWidth="1"/>
    <col min="38" max="39" width="8.88671875" style="91"/>
    <col min="40" max="40" width="12.109375" style="91" customWidth="1"/>
    <col min="41" max="41" width="17.109375" style="91" bestFit="1" customWidth="1"/>
    <col min="42" max="42" width="25.5546875" style="91" customWidth="1"/>
    <col min="43" max="16384" width="8.88671875" style="91"/>
  </cols>
  <sheetData>
    <row r="1" spans="1:48" x14ac:dyDescent="0.25">
      <c r="A1"/>
      <c r="B1" s="215" t="s">
        <v>307</v>
      </c>
      <c r="C1" s="215" t="s">
        <v>202</v>
      </c>
      <c r="D1" s="221" t="s">
        <v>353</v>
      </c>
      <c r="E1" s="222" t="s">
        <v>204</v>
      </c>
      <c r="F1" s="222" t="s">
        <v>306</v>
      </c>
      <c r="G1" s="223" t="s">
        <v>201</v>
      </c>
      <c r="H1" s="225" t="s">
        <v>205</v>
      </c>
      <c r="Q1" s="202"/>
      <c r="R1" s="202"/>
      <c r="S1" s="202"/>
      <c r="T1" s="202"/>
    </row>
    <row r="2" spans="1:48" x14ac:dyDescent="0.25">
      <c r="A2"/>
      <c r="B2" s="220"/>
      <c r="C2" s="220"/>
      <c r="D2" s="221"/>
      <c r="E2" s="222"/>
      <c r="F2" s="222"/>
      <c r="G2" s="224"/>
      <c r="H2" s="225"/>
      <c r="J2" s="119" t="s">
        <v>209</v>
      </c>
      <c r="K2" s="119" t="s">
        <v>210</v>
      </c>
      <c r="L2" s="119"/>
      <c r="M2" s="119"/>
      <c r="N2" s="119"/>
      <c r="O2" s="119"/>
      <c r="P2" s="119"/>
      <c r="Q2" s="119" t="s">
        <v>211</v>
      </c>
      <c r="R2" s="119" t="s">
        <v>240</v>
      </c>
      <c r="S2" s="119" t="s">
        <v>241</v>
      </c>
      <c r="T2" s="119" t="s">
        <v>242</v>
      </c>
      <c r="U2" s="119" t="s">
        <v>212</v>
      </c>
      <c r="V2" s="118" t="s">
        <v>243</v>
      </c>
      <c r="W2" s="119" t="s">
        <v>213</v>
      </c>
      <c r="X2" s="122" t="s">
        <v>244</v>
      </c>
      <c r="Y2" s="119" t="s">
        <v>245</v>
      </c>
      <c r="AD2" s="203" t="s">
        <v>214</v>
      </c>
      <c r="AE2" s="204"/>
      <c r="AF2" s="204"/>
      <c r="AG2" s="205"/>
      <c r="AI2" s="206" t="s">
        <v>246</v>
      </c>
      <c r="AJ2" s="207"/>
      <c r="AK2" s="210">
        <f>Y11</f>
        <v>0</v>
      </c>
      <c r="AL2" s="206" t="s">
        <v>247</v>
      </c>
      <c r="AM2" s="207"/>
      <c r="AN2" s="229">
        <v>0</v>
      </c>
      <c r="AO2" s="123" t="s">
        <v>248</v>
      </c>
      <c r="AP2" s="123" t="s">
        <v>249</v>
      </c>
    </row>
    <row r="3" spans="1:48" ht="21" customHeight="1" x14ac:dyDescent="0.25">
      <c r="A3" s="144" t="str">
        <f>参数调整!A45</f>
        <v>高亮LED</v>
      </c>
      <c r="B3" s="106">
        <f>SUMIF($L$3:$L$14,1,$Q$3:$Q$14)+SUMIF($L$3:$L$14,1,$R$3:$R$14)+SUMIF($L$3:$L$14,1,$S$3:$S$14)+SUMIF($L$3:$L$14,1,$T$3:$T$14)</f>
        <v>110</v>
      </c>
      <c r="C3" s="107">
        <f>参数调整!B45</f>
        <v>40</v>
      </c>
      <c r="D3" s="107">
        <f>IF(G3&lt;=INDEX(参数调整!$C$63:'参数调整'!$D$68,1,1),C3,IF(G3&lt;=INDEX(参数调整!$C$63:'参数调整'!$D$68,2,1),C3*INDEX(参数调整!$C$63:'参数调整'!$D$68,2,2),IF(G3&lt;=INDEX(参数调整!$C$63:'参数调整'!$D$68,3,1),C3*INDEX(参数调整!$C$63:'参数调整'!$D$68,3,2),IF(G3&lt;=INDEX(参数调整!$C$63:'参数调整'!$D$68,4,1),C3*INDEX(参数调整!$C$63:'参数调整'!$D$68,4,2),IF(G3&lt;=INDEX(参数调整!$C$63:'参数调整'!$D$68,5,1),C3*INDEX(参数调整!$C$63:'参数调整'!$D$68,5,2),C3*INDEX(参数调整!$C$63:'参数调整'!$D$68,6,2))))))</f>
        <v>40</v>
      </c>
      <c r="E3" s="107">
        <f>参数调整!I45</f>
        <v>1</v>
      </c>
      <c r="F3" s="107">
        <f>D3*G3*(参数调整!$B$6+1)</f>
        <v>5148</v>
      </c>
      <c r="G3" s="108">
        <f>IF(B3-E30&lt;=0,0,B3-E30)</f>
        <v>110</v>
      </c>
      <c r="H3" s="109"/>
      <c r="J3" s="124" t="s">
        <v>196</v>
      </c>
      <c r="K3" s="124">
        <v>113</v>
      </c>
      <c r="L3" s="125" t="str">
        <f>LEFT(K3,1)</f>
        <v>1</v>
      </c>
      <c r="M3" s="125" t="str">
        <f>MID(K3,2,1)</f>
        <v>1</v>
      </c>
      <c r="N3" s="125" t="str">
        <f>MID(K3,3,1)</f>
        <v>3</v>
      </c>
      <c r="O3" s="125" t="str">
        <f>MID(K3,4,1)</f>
        <v/>
      </c>
      <c r="P3" s="125" t="str">
        <f>MID(K3,5,1)</f>
        <v/>
      </c>
      <c r="Q3" s="126">
        <v>52</v>
      </c>
      <c r="R3" s="126"/>
      <c r="S3" s="126"/>
      <c r="T3" s="126"/>
      <c r="U3" s="127">
        <f>ROUND(Q3*0.75+R3*0.8+S3*0.85+T3*0.9,0)</f>
        <v>39</v>
      </c>
      <c r="V3" s="127">
        <f>IF(J3="S",$R$19/$S$19*(参数调整!$G$11+参数调整!$I$11+参数调整!$J$11+参数调整!$K$11)/100+W3*参数调整!$H$11/100*$R$19/($T$19*$J$18),IF(J3="B",$R$20/$S$20*(参数调整!$G$12+参数调整!$I$12+参数调整!$J$12+参数调整!$K$12)/100+W3*参数调整!$H$12/100*$R$20/($T$20*$J$18),IF(J3="Q",$R$21/$S$21*(参数调整!$G$13+参数调整!$I$13+参数调整!$J$13+参数调整!$K$13)/100+W3*参数调整!$H$13/100*$R$21/($T$21*$J$18),$R$22/$S$22*(参数调整!$G$14+参数调整!$I$14+参数调整!$J$14+参数调整!$K$14)/100+W3*参数调整!$H$14/100*$R$22/($T$22*$J$18))))</f>
        <v>35.028000000342018</v>
      </c>
      <c r="W3" s="120">
        <v>10288</v>
      </c>
      <c r="X3" s="122">
        <f>IF(J3="S",W3*参数调整!$H$11/($J$18*$T$19),IF(J3="B",W3*参数调整!$H$12/($J$18*$T$20),IF(J3="Q",W3*参数调整!$H$13/($J$18*$T$21),W3*参数调整!$H$14/($J$18*$T$22))))</f>
        <v>0.52000000003369629</v>
      </c>
      <c r="Y3" s="122">
        <f>SUMIFS(W3:W14,J3:J14,"S")</f>
        <v>10288</v>
      </c>
      <c r="AD3" s="203" t="s">
        <v>215</v>
      </c>
      <c r="AE3" s="204"/>
      <c r="AF3" s="205"/>
      <c r="AG3" s="128">
        <f>参数调整!B1-参数调整!B2-参数调整!B3</f>
        <v>587000</v>
      </c>
      <c r="AI3" s="208"/>
      <c r="AJ3" s="209"/>
      <c r="AK3" s="211"/>
      <c r="AL3" s="208"/>
      <c r="AM3" s="209"/>
      <c r="AN3" s="230"/>
      <c r="AO3" s="126">
        <v>82391.399999999994</v>
      </c>
      <c r="AP3" s="126"/>
      <c r="AV3" s="129"/>
    </row>
    <row r="4" spans="1:48" ht="21" customHeight="1" x14ac:dyDescent="0.25">
      <c r="A4" s="144" t="str">
        <f>参数调整!A46</f>
        <v>TFT触摸屏</v>
      </c>
      <c r="B4" s="106">
        <f>SUMIF($L$3:$L$14,2,$Q$3:$Q$14)+SUMIF($L$3:$L$14,2,$R$3:$R$14)+SUMIF($L$3:$L$14,2,$S$3:$S$14)+SUMIF($L$3:$L$14,2,$T$3:$T$14)</f>
        <v>0</v>
      </c>
      <c r="C4" s="107">
        <f>参数调整!B46</f>
        <v>80</v>
      </c>
      <c r="D4" s="107">
        <f>IF(G4&lt;=INDEX(参数调整!$C$63:'参数调整'!$D$68,1,1),C4,IF(G4&lt;=INDEX(参数调整!$C$63:'参数调整'!$D$68,2,1),C4*INDEX(参数调整!$C$63:'参数调整'!$D$68,2,2),IF(G4&lt;=INDEX(参数调整!$C$63:'参数调整'!$D$68,3,1),C4*INDEX(参数调整!$C$63:'参数调整'!$D$68,3,2),IF(G4&lt;=INDEX(参数调整!$C$63:'参数调整'!$D$68,4,1),C4*INDEX(参数调整!$C$63:'参数调整'!$D$68,4,2),IF(G4&lt;=INDEX(参数调整!$C$63:'参数调整'!$D$68,5,1),C4*INDEX(参数调整!$C$63:'参数调整'!$D$68,5,2),C4*INDEX(参数调整!$C$63:'参数调整'!$D$68,6,2))))))</f>
        <v>80</v>
      </c>
      <c r="E4" s="107">
        <f>参数调整!I46</f>
        <v>1</v>
      </c>
      <c r="F4" s="107">
        <f>D4*G4*(参数调整!$B$6+1)</f>
        <v>0</v>
      </c>
      <c r="G4" s="108">
        <f t="shared" ref="G4:G16" si="0">IF(B4-E31&lt;=0,0,B4-E31)</f>
        <v>0</v>
      </c>
      <c r="H4" s="109"/>
      <c r="J4" s="150" t="s">
        <v>196</v>
      </c>
      <c r="K4" s="126">
        <v>3333</v>
      </c>
      <c r="L4" s="125" t="str">
        <f t="shared" ref="L4:L14" si="1">LEFT(K4,1)</f>
        <v>3</v>
      </c>
      <c r="M4" s="125" t="str">
        <f t="shared" ref="M4:M14" si="2">MID(K4,2,1)</f>
        <v>3</v>
      </c>
      <c r="N4" s="125" t="str">
        <f t="shared" ref="N4:N14" si="3">MID(K4,3,1)</f>
        <v>3</v>
      </c>
      <c r="O4" s="125" t="str">
        <f t="shared" ref="O4:O14" si="4">MID(K4,4,1)</f>
        <v>3</v>
      </c>
      <c r="P4" s="125" t="str">
        <f t="shared" ref="P4:P14" si="5">MID(K4,5,1)</f>
        <v/>
      </c>
      <c r="Q4" s="126"/>
      <c r="R4" s="126"/>
      <c r="S4" s="126"/>
      <c r="T4" s="126"/>
      <c r="U4" s="127">
        <f t="shared" ref="U4:U14" si="6">ROUND(Q4*0.75+R4*0.8+S4*0.85+T4*0.9,0)</f>
        <v>0</v>
      </c>
      <c r="V4" s="127">
        <f>IF(J4="S",$R$19/$S$19*(参数调整!$G$11+参数调整!$I$11+参数调整!$J$11+参数调整!$K$11)/100+W4*参数调整!$H$11/100*$R$19/($T$19*$J$18),IF(J4="B",$R$20/$S$20*(参数调整!$G$12+参数调整!$I$12+参数调整!$J$12+参数调整!$K$12)/100+W4*参数调整!$H$12/100*$R$20/($T$20*$J$18),IF(J4="Q",$R$21/$S$21*(参数调整!$G$13+参数调整!$I$13+参数调整!$J$13+参数调整!$K$13)/100+W4*参数调整!$H$13/100*$R$21/($T$21*$J$18),$R$22/$S$22*(参数调整!$G$14+参数调整!$I$14+参数调整!$J$14+参数调整!$K$14)/100+W4*参数调整!$H$14/100*$R$22/($T$22*$J$18))))</f>
        <v>29.75</v>
      </c>
      <c r="W4" s="120"/>
      <c r="X4" s="122">
        <f>IF(J4="S",W4*参数调整!$H$11/($J$18*$T$19),IF(J4="B",W4*参数调整!$H$12/($J$18*$T$20),IF(J4="Q",W4*参数调整!$H$13/($J$18*$T$21),W4*参数调整!$H$14/($J$18*$T$22))))</f>
        <v>0</v>
      </c>
      <c r="Y4" s="122">
        <f>SUMIFS(W3:W14,J3:J14,"B")</f>
        <v>18739.599999999999</v>
      </c>
      <c r="AD4" s="215" t="s">
        <v>216</v>
      </c>
      <c r="AE4" s="123" t="s">
        <v>217</v>
      </c>
      <c r="AF4" s="120">
        <v>1</v>
      </c>
      <c r="AG4" s="119">
        <f>AF4*参数调整!J23</f>
        <v>50000</v>
      </c>
      <c r="AI4" s="231" t="s">
        <v>250</v>
      </c>
      <c r="AJ4" s="203" t="s">
        <v>251</v>
      </c>
      <c r="AK4" s="204"/>
      <c r="AL4" s="205"/>
      <c r="AM4" s="123" t="s">
        <v>252</v>
      </c>
      <c r="AN4" s="123" t="s">
        <v>253</v>
      </c>
      <c r="AO4" s="227" t="s">
        <v>254</v>
      </c>
      <c r="AP4" s="227"/>
      <c r="AV4" s="129"/>
    </row>
    <row r="5" spans="1:48" ht="21" customHeight="1" x14ac:dyDescent="0.25">
      <c r="A5" s="144" t="str">
        <f>参数调整!A47</f>
        <v>OLED显示屏</v>
      </c>
      <c r="B5" s="106">
        <f>SUMIF($L$3:$L$14,3,$Q$3:$Q$14)+SUMIF($L$3:$L$14,3,$R$3:$R$14)+SUMIF($L$3:$L$14,3,$S$3:$S$14)+SUMIF($L$3:$L$14,3,$T$3:$T$14)</f>
        <v>0</v>
      </c>
      <c r="C5" s="107">
        <f>参数调整!B47</f>
        <v>110</v>
      </c>
      <c r="D5" s="107">
        <f>IF(G5&lt;=INDEX(参数调整!$C$63:'参数调整'!$D$68,1,1),C5,IF(G5&lt;=INDEX(参数调整!$C$63:'参数调整'!$D$68,2,1),C5*INDEX(参数调整!$C$63:'参数调整'!$D$68,2,2),IF(G5&lt;=INDEX(参数调整!$C$63:'参数调整'!$D$68,3,1),C5*INDEX(参数调整!$C$63:'参数调整'!$D$68,3,2),IF(G5&lt;=INDEX(参数调整!$C$63:'参数调整'!$D$68,4,1),C5*INDEX(参数调整!$C$63:'参数调整'!$D$68,4,2),IF(G5&lt;=INDEX(参数调整!$C$63:'参数调整'!$D$68,5,1),C5*INDEX(参数调整!$C$63:'参数调整'!$D$68,5,2),C5*INDEX(参数调整!$C$63:'参数调整'!$D$68,6,2))))))</f>
        <v>110</v>
      </c>
      <c r="E5" s="107">
        <f>参数调整!I47</f>
        <v>1</v>
      </c>
      <c r="F5" s="107">
        <f>D5*G5*(参数调整!$B$6+1)</f>
        <v>0</v>
      </c>
      <c r="G5" s="108">
        <f t="shared" si="0"/>
        <v>0</v>
      </c>
      <c r="H5" s="110">
        <v>60</v>
      </c>
      <c r="J5" s="124" t="s">
        <v>196</v>
      </c>
      <c r="K5" s="124">
        <v>13334</v>
      </c>
      <c r="L5" s="125" t="str">
        <f t="shared" si="1"/>
        <v>1</v>
      </c>
      <c r="M5" s="125" t="str">
        <f t="shared" si="2"/>
        <v>3</v>
      </c>
      <c r="N5" s="125" t="str">
        <f t="shared" si="3"/>
        <v>3</v>
      </c>
      <c r="O5" s="125" t="str">
        <f t="shared" si="4"/>
        <v>3</v>
      </c>
      <c r="P5" s="125" t="str">
        <f t="shared" si="5"/>
        <v>4</v>
      </c>
      <c r="Q5" s="126"/>
      <c r="R5" s="126"/>
      <c r="S5" s="126"/>
      <c r="T5" s="126"/>
      <c r="U5" s="127">
        <f t="shared" si="6"/>
        <v>0</v>
      </c>
      <c r="V5" s="127">
        <f>IF(J5="S",$R$19/$S$19*(参数调整!$G$11+参数调整!$I$11+参数调整!$J$11+参数调整!$K$11)/100+W5*参数调整!$H$11/100*$R$19/($T$19*$J$18),IF(J5="B",$R$20/$S$20*(参数调整!$G$12+参数调整!$I$12+参数调整!$J$12+参数调整!$K$12)/100+W5*参数调整!$H$12/100*$R$20/($T$20*$J$18),IF(J5="Q",$R$21/$S$21*(参数调整!$G$13+参数调整!$I$13+参数调整!$J$13+参数调整!$K$13)/100+W5*参数调整!$H$13/100*$R$21/($T$21*$J$18),$R$22/$S$22*(参数调整!$G$14+参数调整!$I$14+参数调整!$J$14+参数调整!$K$14)/100+W5*参数调整!$H$14/100*$R$22/($T$22*$J$18))))</f>
        <v>29.75</v>
      </c>
      <c r="W5" s="120"/>
      <c r="X5" s="122">
        <f>IF(J5="S",W5*参数调整!$H$11/($J$18*$T$19),IF(J5="B",W5*参数调整!$H$12/($J$18*$T$20),IF(J5="Q",W5*参数调整!$H$13/($J$18*$T$21),W5*参数调整!$H$14/($J$18*$T$22))))</f>
        <v>0</v>
      </c>
      <c r="Y5" s="122">
        <f>SUMIFS(W3:W14,J3:J14,"Q")</f>
        <v>0</v>
      </c>
      <c r="AD5" s="216"/>
      <c r="AE5" s="123" t="s">
        <v>218</v>
      </c>
      <c r="AF5" s="120"/>
      <c r="AG5" s="119">
        <f>AF5*参数调整!H23</f>
        <v>0</v>
      </c>
      <c r="AI5" s="232"/>
      <c r="AJ5" s="215" t="s">
        <v>255</v>
      </c>
      <c r="AK5" s="215" t="s">
        <v>219</v>
      </c>
      <c r="AL5" s="123" t="s">
        <v>167</v>
      </c>
      <c r="AM5" s="122">
        <f>SUM(Q3:Q14)</f>
        <v>110</v>
      </c>
      <c r="AN5" s="153">
        <f>AM5*参数调整!I$32</f>
        <v>3300</v>
      </c>
      <c r="AO5" s="228">
        <f>AN2+AO36*(1-参数调整!B23)+AP36*(1-参数调整!B24)</f>
        <v>0</v>
      </c>
      <c r="AP5" s="228"/>
      <c r="AV5" s="129"/>
    </row>
    <row r="6" spans="1:48" ht="21" customHeight="1" x14ac:dyDescent="0.25">
      <c r="A6" s="144" t="str">
        <f>参数调整!A48</f>
        <v>塑胶</v>
      </c>
      <c r="B6" s="111">
        <f>SUMIF($M$3:$M$14,1,$Q$3:$Q$14)+SUMIF($M$3:$M$14,1,$R$3:$R$14)+SUMIF($M$3:$M$14,1,$S$3:$S$14)+SUMIF($M$3:$M$14,1,$T$3:$T$14)</f>
        <v>110</v>
      </c>
      <c r="C6" s="107">
        <f>参数调整!B48</f>
        <v>10</v>
      </c>
      <c r="D6" s="107">
        <f>IF(G6&lt;=INDEX(参数调整!$C$63:'参数调整'!$D$68,1,1),C6,IF(G6&lt;=INDEX(参数调整!$C$63:'参数调整'!$D$68,2,1),C6*INDEX(参数调整!$C$63:'参数调整'!$D$68,2,2),IF(G6&lt;=INDEX(参数调整!$C$63:'参数调整'!$D$68,3,1),C6*INDEX(参数调整!$C$63:'参数调整'!$D$68,3,2),IF(G6&lt;=INDEX(参数调整!$C$63:'参数调整'!$D$68,4,1),C6*INDEX(参数调整!$C$63:'参数调整'!$D$68,4,2),IF(G6&lt;=INDEX(参数调整!$C$63:'参数调整'!$D$68,5,1),C6*INDEX(参数调整!$C$63:'参数调整'!$D$68,5,2),C6*INDEX(参数调整!$C$63:'参数调整'!$D$68,6,2))))))</f>
        <v>10</v>
      </c>
      <c r="E6" s="107">
        <f>参数调整!I48</f>
        <v>0</v>
      </c>
      <c r="F6" s="107">
        <f>D6*G6*(参数调整!$B$6+1)</f>
        <v>1287</v>
      </c>
      <c r="G6" s="112">
        <f t="shared" si="0"/>
        <v>110</v>
      </c>
      <c r="H6" s="109"/>
      <c r="J6" s="124" t="s">
        <v>197</v>
      </c>
      <c r="K6" s="126">
        <v>1111</v>
      </c>
      <c r="L6" s="125" t="str">
        <f t="shared" si="1"/>
        <v>1</v>
      </c>
      <c r="M6" s="125" t="str">
        <f t="shared" si="2"/>
        <v>1</v>
      </c>
      <c r="N6" s="125" t="str">
        <f t="shared" si="3"/>
        <v>1</v>
      </c>
      <c r="O6" s="125" t="str">
        <f t="shared" si="4"/>
        <v>1</v>
      </c>
      <c r="P6" s="125" t="str">
        <f t="shared" si="5"/>
        <v/>
      </c>
      <c r="Q6" s="126">
        <v>58</v>
      </c>
      <c r="R6" s="126"/>
      <c r="S6" s="126"/>
      <c r="T6" s="126"/>
      <c r="U6" s="127">
        <f t="shared" si="6"/>
        <v>44</v>
      </c>
      <c r="V6" s="127">
        <f>IF(J6="S",$R$19/$S$19*(参数调整!$G$11+参数调整!$I$11+参数调整!$J$11+参数调整!$K$11)/100+W6*参数调整!$H$11/100*$R$19/($T$19*$J$18),IF(J6="B",$R$20/$S$20*(参数调整!$G$12+参数调整!$I$12+参数调整!$J$12+参数调整!$K$12)/100+W6*参数调整!$H$12/100*$R$20/($T$20*$J$18),IF(J6="Q",$R$21/$S$21*(参数调整!$G$13+参数调整!$I$13+参数调整!$J$13+参数调整!$K$13)/100+W6*参数调整!$H$13/100*$R$21/($T$21*$J$18),$R$22/$S$22*(参数调整!$G$14+参数调整!$I$14+参数调整!$J$14+参数调整!$K$14)/100+W6*参数调整!$H$14/100*$R$22/($T$22*$J$18))))</f>
        <v>38.105600004721033</v>
      </c>
      <c r="W6" s="120">
        <v>18739.599999999999</v>
      </c>
      <c r="X6" s="122">
        <f>IF(J6="S",W6*参数调整!$H$11/($J$18*$T$19),IF(J6="B",W6*参数调整!$H$12/($J$18*$T$20),IF(J6="Q",W6*参数调整!$H$13/($J$18*$T$21),W6*参数调整!$H$14/($J$18*$T$22))))</f>
        <v>1.520000000508732</v>
      </c>
      <c r="Y6" s="122">
        <f>SUMIFS(W3:W14,J3:J14,"L")</f>
        <v>0</v>
      </c>
      <c r="AD6" s="217"/>
      <c r="AE6" s="123" t="s">
        <v>220</v>
      </c>
      <c r="AF6" s="120"/>
      <c r="AG6" s="119">
        <f>AF6*参数调整!F23</f>
        <v>0</v>
      </c>
      <c r="AI6" s="232"/>
      <c r="AJ6" s="216"/>
      <c r="AK6" s="216"/>
      <c r="AL6" s="123" t="s">
        <v>256</v>
      </c>
      <c r="AM6" s="122">
        <f>SUM(T3:T14)</f>
        <v>0</v>
      </c>
      <c r="AN6" s="153">
        <f>AM6*参数调整!F32</f>
        <v>0</v>
      </c>
      <c r="AO6" s="228"/>
      <c r="AP6" s="228"/>
      <c r="AV6" s="129"/>
    </row>
    <row r="7" spans="1:48" ht="21" customHeight="1" x14ac:dyDescent="0.25">
      <c r="A7" s="144" t="str">
        <f>参数调整!A49</f>
        <v>金属</v>
      </c>
      <c r="B7" s="111">
        <f>SUMIF($M$3:$M$14,2,$Q$3:$Q$14)+SUMIF($M$3:$M$14,2,$R$3:$R$14)+SUMIF($M$3:$M$14,2,$S$3:$S$14)+SUMIF($M$3:$M$14,2,$T$3:$T$14)</f>
        <v>0</v>
      </c>
      <c r="C7" s="107">
        <f>参数调整!B49</f>
        <v>20</v>
      </c>
      <c r="D7" s="107">
        <f>IF(G7&lt;=INDEX(参数调整!$C$63:'参数调整'!$D$68,1,1),C7,IF(G7&lt;=INDEX(参数调整!$C$63:'参数调整'!$D$68,2,1),C7*INDEX(参数调整!$C$63:'参数调整'!$D$68,2,2),IF(G7&lt;=INDEX(参数调整!$C$63:'参数调整'!$D$68,3,1),C7*INDEX(参数调整!$C$63:'参数调整'!$D$68,3,2),IF(G7&lt;=INDEX(参数调整!$C$63:'参数调整'!$D$68,4,1),C7*INDEX(参数调整!$C$63:'参数调整'!$D$68,4,2),IF(G7&lt;=INDEX(参数调整!$C$63:'参数调整'!$D$68,5,1),C7*INDEX(参数调整!$C$63:'参数调整'!$D$68,5,2),C7*INDEX(参数调整!$C$63:'参数调整'!$D$68,6,2))))))</f>
        <v>20</v>
      </c>
      <c r="E7" s="107">
        <f>参数调整!I49</f>
        <v>1</v>
      </c>
      <c r="F7" s="107">
        <f>D7*G7*(参数调整!$B$6+1)</f>
        <v>0</v>
      </c>
      <c r="G7" s="112">
        <f t="shared" si="0"/>
        <v>0</v>
      </c>
      <c r="H7" s="109"/>
      <c r="J7" s="124" t="s">
        <v>198</v>
      </c>
      <c r="K7" s="126">
        <v>212</v>
      </c>
      <c r="L7" s="125" t="str">
        <f t="shared" si="1"/>
        <v>2</v>
      </c>
      <c r="M7" s="125" t="str">
        <f t="shared" si="2"/>
        <v>1</v>
      </c>
      <c r="N7" s="125" t="str">
        <f t="shared" si="3"/>
        <v>2</v>
      </c>
      <c r="O7" s="125" t="str">
        <f t="shared" si="4"/>
        <v/>
      </c>
      <c r="P7" s="125" t="str">
        <f t="shared" si="5"/>
        <v/>
      </c>
      <c r="Q7" s="126"/>
      <c r="R7" s="126"/>
      <c r="S7" s="126"/>
      <c r="T7" s="126"/>
      <c r="U7" s="127">
        <f t="shared" si="6"/>
        <v>0</v>
      </c>
      <c r="V7" s="127">
        <f>IF(J7="S",$R$19/$S$19*(参数调整!$G$11+参数调整!$I$11+参数调整!$J$11+参数调整!$K$11)/100+W7*参数调整!$H$11/100*$R$19/($T$19*$J$18),IF(J7="B",$R$20/$S$20*(参数调整!$G$12+参数调整!$I$12+参数调整!$J$12+参数调整!$K$12)/100+W7*参数调整!$H$12/100*$R$20/($T$20*$J$18),IF(J7="Q",$R$21/$S$21*(参数调整!$G$13+参数调整!$I$13+参数调整!$J$13+参数调整!$K$13)/100+W7*参数调整!$H$13/100*$R$21/($T$21*$J$18),$R$22/$S$22*(参数调整!$G$14+参数调整!$I$14+参数调整!$J$14+参数调整!$K$14)/100+W7*参数调整!$H$14/100*$R$22/($T$22*$J$18))))</f>
        <v>38.25</v>
      </c>
      <c r="W7" s="120"/>
      <c r="X7" s="122">
        <f>IF(J7="S",W7*参数调整!$H$11/($J$18*$T$19),IF(J7="B",W7*参数调整!$H$12/($J$18*$T$20),IF(J7="Q",W7*参数调整!$H$13/($J$18*$T$21),W7*参数调整!$H$14/($J$18*$T$22))))</f>
        <v>0</v>
      </c>
      <c r="AD7" s="215" t="s">
        <v>257</v>
      </c>
      <c r="AE7" s="123" t="s">
        <v>221</v>
      </c>
      <c r="AF7" s="120">
        <v>1</v>
      </c>
      <c r="AG7" s="212"/>
      <c r="AH7"/>
      <c r="AI7" s="232"/>
      <c r="AJ7" s="216"/>
      <c r="AK7" s="216"/>
      <c r="AL7" s="123" t="s">
        <v>166</v>
      </c>
      <c r="AM7" s="122">
        <f>SUM(R3:R14)</f>
        <v>0</v>
      </c>
      <c r="AN7" s="153">
        <f>AM7*参数调整!H32</f>
        <v>0</v>
      </c>
      <c r="AO7" s="129"/>
      <c r="AP7" s="129"/>
      <c r="AV7" s="129"/>
    </row>
    <row r="8" spans="1:48" ht="21" customHeight="1" x14ac:dyDescent="0.25">
      <c r="A8" s="144" t="str">
        <f>参数调整!A50</f>
        <v>皮革</v>
      </c>
      <c r="B8" s="111">
        <f>SUMIF($M$3:$M$14,3,$Q$3:$Q$14)+SUMIF($M$3:$M$14,3,$R$3:$R$14)+SUMIF($M$3:$M$14,3,$S$3:$S$14)+SUMIF($M$3:$M$14,3,$T$3:$T$14)</f>
        <v>0</v>
      </c>
      <c r="C8" s="107">
        <f>参数调整!B50</f>
        <v>35</v>
      </c>
      <c r="D8" s="107">
        <f>IF(G8&lt;=INDEX(参数调整!$C$63:'参数调整'!$D$68,1,1),C8,IF(G8&lt;=INDEX(参数调整!$C$63:'参数调整'!$D$68,2,1),C8*INDEX(参数调整!$C$63:'参数调整'!$D$68,2,2),IF(G8&lt;=INDEX(参数调整!$C$63:'参数调整'!$D$68,3,1),C8*INDEX(参数调整!$C$63:'参数调整'!$D$68,3,2),IF(G8&lt;=INDEX(参数调整!$C$63:'参数调整'!$D$68,4,1),C8*INDEX(参数调整!$C$63:'参数调整'!$D$68,4,2),IF(G8&lt;=INDEX(参数调整!$C$63:'参数调整'!$D$68,5,1),C8*INDEX(参数调整!$C$63:'参数调整'!$D$68,5,2),C8*INDEX(参数调整!$C$63:'参数调整'!$D$68,6,2))))))</f>
        <v>35</v>
      </c>
      <c r="E8" s="107">
        <f>参数调整!I50</f>
        <v>1</v>
      </c>
      <c r="F8" s="107">
        <f>D8*G8*(参数调整!$B$6+1)</f>
        <v>0</v>
      </c>
      <c r="G8" s="112">
        <f t="shared" si="0"/>
        <v>0</v>
      </c>
      <c r="H8" s="109"/>
      <c r="J8" s="126" t="s">
        <v>199</v>
      </c>
      <c r="K8" s="126">
        <v>121</v>
      </c>
      <c r="L8" s="125" t="str">
        <f t="shared" si="1"/>
        <v>1</v>
      </c>
      <c r="M8" s="125" t="str">
        <f t="shared" si="2"/>
        <v>2</v>
      </c>
      <c r="N8" s="125" t="str">
        <f t="shared" si="3"/>
        <v>1</v>
      </c>
      <c r="O8" s="125" t="str">
        <f t="shared" si="4"/>
        <v/>
      </c>
      <c r="P8" s="125" t="str">
        <f t="shared" si="5"/>
        <v/>
      </c>
      <c r="Q8" s="126"/>
      <c r="R8" s="126"/>
      <c r="S8" s="126"/>
      <c r="T8" s="126"/>
      <c r="U8" s="127">
        <f t="shared" si="6"/>
        <v>0</v>
      </c>
      <c r="V8" s="127" t="e">
        <f>IF(J8="S",$R$19/$S$19*(参数调整!$G$11+参数调整!$I$11+参数调整!$J$11+参数调整!$K$11)/100+W8*参数调整!$H$11/100*$R$19/($T$19*$J$18),IF(J8="B",$R$20/$S$20*(参数调整!$G$12+参数调整!$I$12+参数调整!$J$12+参数调整!$K$12)/100+W8*参数调整!$H$12/100*$R$20/($T$20*$J$18),IF(J8="Q",$R$21/$S$21*(参数调整!$G$13+参数调整!$I$13+参数调整!$J$13+参数调整!$K$13)/100+W8*参数调整!$H$13/100*$R$21/($T$21*$J$18),$R$22/$S$22*(参数调整!$G$14+参数调整!$I$14+参数调整!$J$14+参数调整!$K$14)/100+W8*参数调整!$H$14/100*$R$22/($T$22*$J$18))))</f>
        <v>#DIV/0!</v>
      </c>
      <c r="W8" s="120"/>
      <c r="X8" s="122" t="e">
        <f>IF(J8="S",W8*参数调整!$H$11/($J$18*$T$19),IF(J8="B",W8*参数调整!$H$12/($J$18*$T$20),IF(J8="Q",W8*参数调整!$H$13/($J$18*$T$21),W8*参数调整!$H$14/($J$18*$T$22))))</f>
        <v>#DIV/0!</v>
      </c>
      <c r="AD8" s="216"/>
      <c r="AE8" s="123" t="s">
        <v>222</v>
      </c>
      <c r="AF8" s="120"/>
      <c r="AG8" s="213"/>
      <c r="AH8"/>
      <c r="AI8" s="232"/>
      <c r="AJ8" s="216"/>
      <c r="AK8" s="217"/>
      <c r="AL8" s="123" t="s">
        <v>258</v>
      </c>
      <c r="AM8" s="122">
        <f>SUM(S3:S14)</f>
        <v>0</v>
      </c>
      <c r="AN8" s="153">
        <f>AM8*参数调整!G32</f>
        <v>0</v>
      </c>
      <c r="AO8" s="129"/>
      <c r="AP8" s="129"/>
      <c r="AV8" s="129"/>
    </row>
    <row r="9" spans="1:48" ht="21" customHeight="1" x14ac:dyDescent="0.25">
      <c r="A9" s="144" t="str">
        <f>参数调整!A51</f>
        <v>7天以下</v>
      </c>
      <c r="B9" s="113">
        <f>SUMIF($N$3:$N$14,1,$Q$3:$Q$14)+SUMIF($N$3:$N$14,1,$R$3:$R$14)+SUMIF($N$3:$N$14,1,$S$3:$S$14)+SUMIF($N$3:$N$14,1,$T$3:$T$14)</f>
        <v>58</v>
      </c>
      <c r="C9" s="107">
        <f>参数调整!B51</f>
        <v>50</v>
      </c>
      <c r="D9" s="107">
        <f>IF(G9&lt;=INDEX(参数调整!$C$63:'参数调整'!$D$68,1,1),C9,IF(G9&lt;=INDEX(参数调整!$C$63:'参数调整'!$D$68,2,1),C9*INDEX(参数调整!$C$63:'参数调整'!$D$68,2,2),IF(G9&lt;=INDEX(参数调整!$C$63:'参数调整'!$D$68,3,1),C9*INDEX(参数调整!$C$63:'参数调整'!$D$68,3,2),IF(G9&lt;=INDEX(参数调整!$C$63:'参数调整'!$D$68,4,1),C9*INDEX(参数调整!$C$63:'参数调整'!$D$68,4,2),IF(G9&lt;=INDEX(参数调整!$C$63:'参数调整'!$D$68,5,1),C9*INDEX(参数调整!$C$63:'参数调整'!$D$68,5,2),C9*INDEX(参数调整!$C$63:'参数调整'!$D$68,6,2))))))</f>
        <v>50</v>
      </c>
      <c r="E9" s="107">
        <f>参数调整!I51</f>
        <v>0</v>
      </c>
      <c r="F9" s="107">
        <f>D9*G9*(参数调整!$B$6+1)</f>
        <v>3393</v>
      </c>
      <c r="G9" s="114">
        <f t="shared" si="0"/>
        <v>58</v>
      </c>
      <c r="H9" s="109"/>
      <c r="J9" s="130" t="s">
        <v>199</v>
      </c>
      <c r="K9" s="126">
        <v>122</v>
      </c>
      <c r="L9" s="125" t="str">
        <f t="shared" si="1"/>
        <v>1</v>
      </c>
      <c r="M9" s="125" t="str">
        <f t="shared" si="2"/>
        <v>2</v>
      </c>
      <c r="N9" s="125" t="str">
        <f t="shared" si="3"/>
        <v>2</v>
      </c>
      <c r="O9" s="125" t="str">
        <f t="shared" si="4"/>
        <v/>
      </c>
      <c r="P9" s="125" t="str">
        <f t="shared" si="5"/>
        <v/>
      </c>
      <c r="Q9" s="126"/>
      <c r="R9" s="126"/>
      <c r="S9" s="126"/>
      <c r="T9" s="126"/>
      <c r="U9" s="127">
        <f t="shared" si="6"/>
        <v>0</v>
      </c>
      <c r="V9" s="127" t="e">
        <f>IF(J9="S",$R$19/$S$19*(参数调整!$G$11+参数调整!$I$11+参数调整!$J$11+参数调整!$K$11)/100+W9*参数调整!$H$11/100*$R$19/($T$19*$J$18),IF(J9="B",$R$20/$S$20*(参数调整!$G$12+参数调整!$I$12+参数调整!$J$12+参数调整!$K$12)/100+W9*参数调整!$H$12/100*$R$20/($T$20*$J$18),IF(J9="Q",$R$21/$S$21*(参数调整!$G$13+参数调整!$I$13+参数调整!$J$13+参数调整!$K$13)/100+W9*参数调整!$H$13/100*$R$21/($T$21*$J$18),$R$22/$S$22*(参数调整!$G$14+参数调整!$I$14+参数调整!$J$14+参数调整!$K$14)/100+W9*参数调整!$H$14/100*$R$22/($T$22*$J$18))))</f>
        <v>#DIV/0!</v>
      </c>
      <c r="W9" s="131"/>
      <c r="X9" s="122" t="e">
        <f>IF(J9="S",W9*参数调整!$H$11/($J$18*$T$19),IF(J9="B",W9*参数调整!$H$12/($J$18*$T$20),IF(J9="Q",W9*参数调整!$H$13/($J$18*$T$21),W9*参数调整!$H$14/($J$18*$T$22))))</f>
        <v>#DIV/0!</v>
      </c>
      <c r="AD9" s="217"/>
      <c r="AE9" s="123" t="s">
        <v>223</v>
      </c>
      <c r="AF9" s="120"/>
      <c r="AG9" s="214"/>
      <c r="AH9"/>
      <c r="AI9" s="232"/>
      <c r="AJ9" s="216"/>
      <c r="AK9" s="215" t="s">
        <v>224</v>
      </c>
      <c r="AL9" s="123" t="s">
        <v>225</v>
      </c>
      <c r="AM9" s="122">
        <f>AF7</f>
        <v>1</v>
      </c>
      <c r="AN9" s="153">
        <f>AM9*参数调整!J24</f>
        <v>5000</v>
      </c>
      <c r="AO9" s="129"/>
      <c r="AP9" s="129"/>
      <c r="AV9" s="129"/>
    </row>
    <row r="10" spans="1:48" ht="21" customHeight="1" x14ac:dyDescent="0.25">
      <c r="A10" s="144" t="str">
        <f>参数调整!A52</f>
        <v>15天</v>
      </c>
      <c r="B10" s="113">
        <f>SUMIF($N$3:$N$14,2,$Q$3:$Q$14)+SUMIF($N$3:$N$14,2,$R$3:$R$14)+SUMIF($N$3:$N$14,2,$S$3:$S$14)+SUMIF($N$3:$N$14,2,$T$3:$T$14)</f>
        <v>0</v>
      </c>
      <c r="C10" s="107">
        <f>参数调整!B52</f>
        <v>80</v>
      </c>
      <c r="D10" s="107">
        <f>IF(G10&lt;=INDEX(参数调整!$C$63:'参数调整'!$D$68,1,1),C10,IF(G10&lt;=INDEX(参数调整!$C$63:'参数调整'!$D$68,2,1),C10*INDEX(参数调整!$C$63:'参数调整'!$D$68,2,2),IF(G10&lt;=INDEX(参数调整!$C$63:'参数调整'!$D$68,3,1),C10*INDEX(参数调整!$C$63:'参数调整'!$D$68,3,2),IF(G10&lt;=INDEX(参数调整!$C$63:'参数调整'!$D$68,4,1),C10*INDEX(参数调整!$C$63:'参数调整'!$D$68,4,2),IF(G10&lt;=INDEX(参数调整!$C$63:'参数调整'!$D$68,5,1),C10*INDEX(参数调整!$C$63:'参数调整'!$D$68,5,2),C10*INDEX(参数调整!$C$63:'参数调整'!$D$68,6,2))))))</f>
        <v>80</v>
      </c>
      <c r="E10" s="107">
        <f>参数调整!I52</f>
        <v>1</v>
      </c>
      <c r="F10" s="107">
        <f>D10*G10*(参数调整!$B$6+1)</f>
        <v>0</v>
      </c>
      <c r="G10" s="114">
        <f t="shared" si="0"/>
        <v>0</v>
      </c>
      <c r="H10" s="109"/>
      <c r="J10" s="130" t="s">
        <v>199</v>
      </c>
      <c r="K10" s="126">
        <v>111</v>
      </c>
      <c r="L10" s="125" t="str">
        <f t="shared" si="1"/>
        <v>1</v>
      </c>
      <c r="M10" s="125" t="str">
        <f t="shared" si="2"/>
        <v>1</v>
      </c>
      <c r="N10" s="125" t="str">
        <f>MID(K10,3,1)</f>
        <v>1</v>
      </c>
      <c r="O10" s="125" t="str">
        <f t="shared" si="4"/>
        <v/>
      </c>
      <c r="P10" s="125" t="str">
        <f t="shared" si="5"/>
        <v/>
      </c>
      <c r="Q10" s="126"/>
      <c r="R10" s="126"/>
      <c r="S10" s="126"/>
      <c r="T10" s="126"/>
      <c r="U10" s="127">
        <f t="shared" si="6"/>
        <v>0</v>
      </c>
      <c r="V10" s="127" t="e">
        <f>IF(J10="S",$R$19/$S$19*(参数调整!$G$11+参数调整!$I$11+参数调整!$J$11+参数调整!$K$11)/100+W10*参数调整!$H$11/100*$R$19/($T$19*$J$18),IF(J10="B",$R$20/$S$20*(参数调整!$G$12+参数调整!$I$12+参数调整!$J$12+参数调整!$K$12)/100+W10*参数调整!$H$12/100*$R$20/($T$20*$J$18),IF(J10="Q",$R$21/$S$21*(参数调整!$G$13+参数调整!$I$13+参数调整!$J$13+参数调整!$K$13)/100+W10*参数调整!$H$13/100*$R$21/($T$21*$J$18),$R$22/$S$22*(参数调整!$G$14+参数调整!$I$14+参数调整!$J$14+参数调整!$K$14)/100+W10*参数调整!$H$14/100*$R$22/($T$22*$J$18))))</f>
        <v>#DIV/0!</v>
      </c>
      <c r="W10" s="131"/>
      <c r="X10" s="122" t="e">
        <f>IF(J10="S",W10*参数调整!$H$11/($J$18*$T$19),IF(J10="B",W10*参数调整!$H$12/($J$18*$T$20),IF(J10="Q",W10*参数调整!$H$13/($J$18*$T$21),W10*参数调整!$H$14/($J$18*$T$22))))</f>
        <v>#DIV/0!</v>
      </c>
      <c r="Y10" s="132" t="s">
        <v>259</v>
      </c>
      <c r="AD10" s="215" t="s">
        <v>226</v>
      </c>
      <c r="AE10" s="123" t="s">
        <v>112</v>
      </c>
      <c r="AF10" s="120">
        <v>2</v>
      </c>
      <c r="AG10" s="119">
        <f>AF10*参数调整!I29</f>
        <v>100000</v>
      </c>
      <c r="AI10" s="232"/>
      <c r="AJ10" s="216"/>
      <c r="AK10" s="216"/>
      <c r="AL10" s="123" t="s">
        <v>227</v>
      </c>
      <c r="AM10" s="122">
        <f t="shared" ref="AM10:AM12" si="7">AF8</f>
        <v>0</v>
      </c>
      <c r="AN10" s="153">
        <f>AM10*参数调整!H24</f>
        <v>0</v>
      </c>
      <c r="AO10" s="129"/>
      <c r="AP10" s="129"/>
      <c r="AV10" s="129"/>
    </row>
    <row r="11" spans="1:48" ht="21" customHeight="1" x14ac:dyDescent="0.25">
      <c r="A11" s="144" t="str">
        <f>参数调整!A53</f>
        <v>30天</v>
      </c>
      <c r="B11" s="113">
        <f>SUMIF($N$3:$N$14,3,$Q$3:$Q$14)+SUMIF($N$3:$N$14,3,$R$3:$R$14)+SUMIF($N$3:$N$14,3,$S$3:$S$14)+SUMIF($N$3:$N$14,3,$T$3:$T$14)</f>
        <v>52</v>
      </c>
      <c r="C11" s="107">
        <f>参数调整!B53</f>
        <v>110</v>
      </c>
      <c r="D11" s="107">
        <f>IF(G11&lt;=INDEX(参数调整!$C$63:'参数调整'!$D$68,1,1),C11,IF(G11&lt;=INDEX(参数调整!$C$63:'参数调整'!$D$68,2,1),C11*INDEX(参数调整!$C$63:'参数调整'!$D$68,2,2),IF(G11&lt;=INDEX(参数调整!$C$63:'参数调整'!$D$68,3,1),C11*INDEX(参数调整!$C$63:'参数调整'!$D$68,3,2),IF(G11&lt;=INDEX(参数调整!$C$63:'参数调整'!$D$68,4,1),C11*INDEX(参数调整!$C$63:'参数调整'!$D$68,4,2),IF(G11&lt;=INDEX(参数调整!$C$63:'参数调整'!$D$68,5,1),C11*INDEX(参数调整!$C$63:'参数调整'!$D$68,5,2),C11*INDEX(参数调整!$C$63:'参数调整'!$D$68,6,2))))))</f>
        <v>110</v>
      </c>
      <c r="E11" s="107">
        <f>参数调整!I53</f>
        <v>0</v>
      </c>
      <c r="F11" s="107">
        <f>D11*G11*(参数调整!$B$6+1)</f>
        <v>6692.4</v>
      </c>
      <c r="G11" s="114">
        <f t="shared" si="0"/>
        <v>52</v>
      </c>
      <c r="H11" s="109"/>
      <c r="J11" s="130"/>
      <c r="K11" s="126"/>
      <c r="L11" s="125" t="str">
        <f t="shared" si="1"/>
        <v/>
      </c>
      <c r="M11" s="125" t="str">
        <f t="shared" si="2"/>
        <v/>
      </c>
      <c r="N11" s="125" t="str">
        <f t="shared" si="3"/>
        <v/>
      </c>
      <c r="O11" s="125" t="str">
        <f t="shared" si="4"/>
        <v/>
      </c>
      <c r="P11" s="125" t="str">
        <f t="shared" si="5"/>
        <v/>
      </c>
      <c r="Q11" s="126"/>
      <c r="R11" s="126"/>
      <c r="S11" s="126"/>
      <c r="T11" s="126"/>
      <c r="U11" s="127">
        <f t="shared" si="6"/>
        <v>0</v>
      </c>
      <c r="V11" s="127" t="e">
        <f>IF(J11="S",$R$19/$S$19*(参数调整!$G$11+参数调整!$I$11+参数调整!$J$11+参数调整!$K$11)/100+W11*参数调整!$H$11/100*$R$19/($T$19*$J$18),IF(J11="B",$R$20/$S$20*(参数调整!$G$12+参数调整!$I$12+参数调整!$J$12+参数调整!$K$12)/100+W11*参数调整!$H$12/100*$R$20/($T$20*$J$18),IF(J11="Q",$R$21/$S$21*(参数调整!$G$13+参数调整!$I$13+参数调整!$J$13+参数调整!$K$13)/100+W11*参数调整!$H$13/100*$R$21/($T$21*$J$18),$R$22/$S$22*(参数调整!$G$14+参数调整!$I$14+参数调整!$J$14+参数调整!$K$14)/100+W11*参数调整!$H$14/100*$R$22/($T$22*$J$18))))</f>
        <v>#DIV/0!</v>
      </c>
      <c r="W11" s="131"/>
      <c r="X11" s="122" t="e">
        <f>IF(J11="S",W11*参数调整!$H$11/($J$18*$T$19),IF(J11="B",W11*参数调整!$H$12/($J$18*$T$20),IF(J11="Q",W11*参数调整!$H$13/($J$18*$T$21),W11*参数调整!$H$14/($J$18*$T$22))))</f>
        <v>#DIV/0!</v>
      </c>
      <c r="Y11" s="133">
        <f>AG31</f>
        <v>0</v>
      </c>
      <c r="AD11" s="216"/>
      <c r="AE11" s="123" t="s">
        <v>110</v>
      </c>
      <c r="AF11" s="120"/>
      <c r="AG11" s="119">
        <f>AF11*参数调整!H29</f>
        <v>0</v>
      </c>
      <c r="AI11" s="232"/>
      <c r="AJ11" s="216"/>
      <c r="AK11" s="217"/>
      <c r="AL11" s="123" t="s">
        <v>228</v>
      </c>
      <c r="AM11" s="122">
        <f t="shared" si="7"/>
        <v>0</v>
      </c>
      <c r="AN11" s="153">
        <f>AM11*参数调整!F24</f>
        <v>0</v>
      </c>
      <c r="AO11" s="129"/>
      <c r="AP11" s="129"/>
      <c r="AV11" s="129"/>
    </row>
    <row r="12" spans="1:48" ht="21" customHeight="1" x14ac:dyDescent="0.25">
      <c r="A12" s="144" t="str">
        <f>参数调整!A54</f>
        <v>30天以上</v>
      </c>
      <c r="B12" s="113">
        <f>SUMIF($N$3:$N$14,4,$Q$3:$Q$14)+SUMIF($N$3:$N$14,4,$R$3:$R$14)+SUMIF($N$3:$N$14,4,$S$3:$S$14)+SUMIF($N$3:$N$14,4,$T$3:$T$14)</f>
        <v>0</v>
      </c>
      <c r="C12" s="107">
        <f>参数调整!B54</f>
        <v>160</v>
      </c>
      <c r="D12" s="107">
        <f>IF(G12&lt;=INDEX(参数调整!$C$63:'参数调整'!$D$68,1,1),C12,IF(G12&lt;=INDEX(参数调整!$C$63:'参数调整'!$D$68,2,1),C12*INDEX(参数调整!$C$63:'参数调整'!$D$68,2,2),IF(G12&lt;=INDEX(参数调整!$C$63:'参数调整'!$D$68,3,1),C12*INDEX(参数调整!$C$63:'参数调整'!$D$68,3,2),IF(G12&lt;=INDEX(参数调整!$C$63:'参数调整'!$D$68,4,1),C12*INDEX(参数调整!$C$63:'参数调整'!$D$68,4,2),IF(G12&lt;=INDEX(参数调整!$C$63:'参数调整'!$D$68,5,1),C12*INDEX(参数调整!$C$63:'参数调整'!$D$68,5,2),C12*INDEX(参数调整!$C$63:'参数调整'!$D$68,6,2))))))</f>
        <v>160</v>
      </c>
      <c r="E12" s="107">
        <f>参数调整!I54</f>
        <v>1</v>
      </c>
      <c r="F12" s="107">
        <f>D12*G12*(参数调整!$B$6+1)</f>
        <v>0</v>
      </c>
      <c r="G12" s="114">
        <f t="shared" si="0"/>
        <v>0</v>
      </c>
      <c r="H12" s="109"/>
      <c r="J12" s="130"/>
      <c r="K12" s="126"/>
      <c r="L12" s="125" t="str">
        <f t="shared" si="1"/>
        <v/>
      </c>
      <c r="M12" s="125" t="str">
        <f t="shared" si="2"/>
        <v/>
      </c>
      <c r="N12" s="125" t="str">
        <f t="shared" si="3"/>
        <v/>
      </c>
      <c r="O12" s="125" t="str">
        <f t="shared" si="4"/>
        <v/>
      </c>
      <c r="P12" s="125" t="str">
        <f t="shared" si="5"/>
        <v/>
      </c>
      <c r="Q12" s="126"/>
      <c r="R12" s="126"/>
      <c r="S12" s="126"/>
      <c r="T12" s="126"/>
      <c r="U12" s="127">
        <f t="shared" si="6"/>
        <v>0</v>
      </c>
      <c r="V12" s="127" t="e">
        <f>IF(J12="S",$R$19/$S$19*(参数调整!$G$11+参数调整!$I$11+参数调整!$J$11+参数调整!$K$11)/100+W12*参数调整!$H$11/100*$R$19/($T$19*$J$18),IF(J12="B",$R$20/$S$20*(参数调整!$G$12+参数调整!$I$12+参数调整!$J$12+参数调整!$K$12)/100+W12*参数调整!$H$12/100*$R$20/($T$20*$J$18),IF(J12="Q",$R$21/$S$21*(参数调整!$G$13+参数调整!$I$13+参数调整!$J$13+参数调整!$K$13)/100+W12*参数调整!$H$13/100*$R$21/($T$21*$J$18),$R$22/$S$22*(参数调整!$G$14+参数调整!$I$14+参数调整!$J$14+参数调整!$K$14)/100+W12*参数调整!$H$14/100*$R$22/($T$22*$J$18))))</f>
        <v>#DIV/0!</v>
      </c>
      <c r="W12" s="120"/>
      <c r="X12" s="122" t="e">
        <f>IF(J12="S",W12*参数调整!$H$11/($J$18*$T$19),IF(J12="B",W12*参数调整!$H$12/($J$18*$T$20),IF(J12="Q",W12*参数调整!$H$13/($J$18*$T$21),W12*参数调整!$H$14/($J$18*$T$22))))</f>
        <v>#DIV/0!</v>
      </c>
      <c r="AD12" s="216"/>
      <c r="AE12" s="123" t="s">
        <v>229</v>
      </c>
      <c r="AF12" s="120"/>
      <c r="AG12" s="119">
        <f>AF12*参数调整!G29</f>
        <v>0</v>
      </c>
      <c r="AI12" s="232"/>
      <c r="AJ12" s="216"/>
      <c r="AK12" s="218" t="s">
        <v>260</v>
      </c>
      <c r="AL12" s="219"/>
      <c r="AM12" s="122">
        <f t="shared" si="7"/>
        <v>2</v>
      </c>
      <c r="AN12" s="154">
        <f>AM12*参数调整!J18*(1+参数调整!B12+参数调整!B13+参数调整!B14+参数调整!B15+参数调整!B16)</f>
        <v>9691.1999999999989</v>
      </c>
      <c r="AO12" s="129"/>
      <c r="AP12" s="129"/>
      <c r="AV12" s="129"/>
    </row>
    <row r="13" spans="1:48" ht="21" customHeight="1" x14ac:dyDescent="0.25">
      <c r="A13" s="144" t="str">
        <f>参数调整!A55</f>
        <v>有氧锻炼</v>
      </c>
      <c r="B13" s="115">
        <f>SUMIF($O$3:$O$14,1,$Q$3:$Q$14)+SUMIF($O$3:$O$14,1,$R$3:$R$14)+SUMIF($O$3:$O$14,1,$S$3:$S$14)+SUMIF($O$3:$O$14,1,$T$3:$T$14)</f>
        <v>58</v>
      </c>
      <c r="C13" s="107">
        <f>参数调整!B55</f>
        <v>50</v>
      </c>
      <c r="D13" s="107">
        <f>IF(G13&lt;=INDEX(参数调整!$C$63:'参数调整'!$D$68,1,1),C13,IF(G13&lt;=INDEX(参数调整!$C$63:'参数调整'!$D$68,2,1),C13*INDEX(参数调整!$C$63:'参数调整'!$D$68,2,2),IF(G13&lt;=INDEX(参数调整!$C$63:'参数调整'!$D$68,3,1),C13*INDEX(参数调整!$C$63:'参数调整'!$D$68,3,2),IF(G13&lt;=INDEX(参数调整!$C$63:'参数调整'!$D$68,4,1),C13*INDEX(参数调整!$C$63:'参数调整'!$D$68,4,2),IF(G13&lt;=INDEX(参数调整!$C$63:'参数调整'!$D$68,5,1),C13*INDEX(参数调整!$C$63:'参数调整'!$D$68,5,2),C13*INDEX(参数调整!$C$63:'参数调整'!$D$68,6,2))))))</f>
        <v>50</v>
      </c>
      <c r="E13" s="107">
        <f>参数调整!I55</f>
        <v>1</v>
      </c>
      <c r="F13" s="107">
        <f>D13*G13*(参数调整!$B$6+1)</f>
        <v>3393</v>
      </c>
      <c r="G13" s="149">
        <f t="shared" si="0"/>
        <v>58</v>
      </c>
      <c r="H13" s="110">
        <v>120</v>
      </c>
      <c r="J13" s="130"/>
      <c r="K13" s="126"/>
      <c r="L13" s="125" t="str">
        <f t="shared" si="1"/>
        <v/>
      </c>
      <c r="M13" s="125" t="str">
        <f t="shared" si="2"/>
        <v/>
      </c>
      <c r="N13" s="125" t="str">
        <f t="shared" si="3"/>
        <v/>
      </c>
      <c r="O13" s="125" t="str">
        <f t="shared" si="4"/>
        <v/>
      </c>
      <c r="P13" s="125" t="str">
        <f t="shared" si="5"/>
        <v/>
      </c>
      <c r="Q13" s="126"/>
      <c r="R13" s="126"/>
      <c r="S13" s="126"/>
      <c r="T13" s="126"/>
      <c r="U13" s="127">
        <f t="shared" si="6"/>
        <v>0</v>
      </c>
      <c r="V13" s="127" t="e">
        <f>IF(J13="S",$R$19/$S$19*(参数调整!$G$11+参数调整!$I$11+参数调整!$J$11+参数调整!$K$11)/100+W13*参数调整!$H$11/100*$R$19/($T$19*$J$18),IF(J13="B",$R$20/$S$20*(参数调整!$G$12+参数调整!$I$12+参数调整!$J$12+参数调整!$K$12)/100+W13*参数调整!$H$12/100*$R$20/($T$20*$J$18),IF(J13="Q",$R$21/$S$21*(参数调整!$G$13+参数调整!$I$13+参数调整!$J$13+参数调整!$K$13)/100+W13*参数调整!$H$13/100*$R$21/($T$21*$J$18),$R$22/$S$22*(参数调整!$G$14+参数调整!$I$14+参数调整!$J$14+参数调整!$K$14)/100+W13*参数调整!$H$14/100*$R$22/($T$22*$J$18))))</f>
        <v>#DIV/0!</v>
      </c>
      <c r="W13" s="120"/>
      <c r="X13" s="122" t="e">
        <f>IF(J13="S",W13*参数调整!$H$11/($J$18*$T$19),IF(J13="B",W13*参数调整!$H$12/($J$18*$T$20),IF(J13="Q",W13*参数调整!$H$13/($J$18*$T$21),W13*参数调整!$H$14/($J$18*$T$22))))</f>
        <v>#DIV/0!</v>
      </c>
      <c r="AD13" s="217"/>
      <c r="AE13" s="123" t="s">
        <v>261</v>
      </c>
      <c r="AF13" s="120">
        <v>2</v>
      </c>
      <c r="AG13" s="119">
        <f>AF13*参数调整!F29</f>
        <v>240000</v>
      </c>
      <c r="AI13" s="232"/>
      <c r="AJ13" s="216"/>
      <c r="AK13" s="215" t="s">
        <v>230</v>
      </c>
      <c r="AL13" s="123" t="s">
        <v>167</v>
      </c>
      <c r="AM13" s="126">
        <v>2</v>
      </c>
      <c r="AN13" s="153">
        <f>AM13*参数调整!I33</f>
        <v>3000</v>
      </c>
      <c r="AO13" s="129"/>
      <c r="AP13" s="129"/>
      <c r="AV13" s="129"/>
    </row>
    <row r="14" spans="1:48" ht="21" customHeight="1" x14ac:dyDescent="0.25">
      <c r="A14" s="144" t="str">
        <f>参数调整!A56</f>
        <v>心率测试</v>
      </c>
      <c r="B14" s="115">
        <f>SUMIF($O$3:$O$14,2,$Q$3:$Q$14)+SUMIF($O$3:$O$14,2,$R$3:$R$14)+SUMIF($O$3:$O$14,2,$S$3:$S$14)+SUMIF($O$3:$O$14,2,$T$3:$T$14)</f>
        <v>0</v>
      </c>
      <c r="C14" s="107">
        <f>参数调整!B56</f>
        <v>50</v>
      </c>
      <c r="D14" s="107">
        <f>IF(G14&lt;=INDEX(参数调整!$C$63:'参数调整'!$D$68,1,1),C14,IF(G14&lt;=INDEX(参数调整!$C$63:'参数调整'!$D$68,2,1),C14*INDEX(参数调整!$C$63:'参数调整'!$D$68,2,2),IF(G14&lt;=INDEX(参数调整!$C$63:'参数调整'!$D$68,3,1),C14*INDEX(参数调整!$C$63:'参数调整'!$D$68,3,2),IF(G14&lt;=INDEX(参数调整!$C$63:'参数调整'!$D$68,4,1),C14*INDEX(参数调整!$C$63:'参数调整'!$D$68,4,2),IF(G14&lt;=INDEX(参数调整!$C$63:'参数调整'!$D$68,5,1),C14*INDEX(参数调整!$C$63:'参数调整'!$D$68,5,2),C14*INDEX(参数调整!$C$63:'参数调整'!$D$68,6,2))))))</f>
        <v>50</v>
      </c>
      <c r="E14" s="107">
        <f>参数调整!I56</f>
        <v>1</v>
      </c>
      <c r="F14" s="107">
        <f>D14*G14*(参数调整!$B$6+1)</f>
        <v>0</v>
      </c>
      <c r="G14" s="149">
        <f t="shared" si="0"/>
        <v>0</v>
      </c>
      <c r="H14" s="110"/>
      <c r="J14" s="130"/>
      <c r="K14" s="126"/>
      <c r="L14" s="125" t="str">
        <f t="shared" si="1"/>
        <v/>
      </c>
      <c r="M14" s="125" t="str">
        <f t="shared" si="2"/>
        <v/>
      </c>
      <c r="N14" s="125" t="str">
        <f t="shared" si="3"/>
        <v/>
      </c>
      <c r="O14" s="125" t="str">
        <f t="shared" si="4"/>
        <v/>
      </c>
      <c r="P14" s="125" t="str">
        <f t="shared" si="5"/>
        <v/>
      </c>
      <c r="Q14" s="126"/>
      <c r="R14" s="126"/>
      <c r="S14" s="126"/>
      <c r="T14" s="126"/>
      <c r="U14" s="127">
        <f t="shared" si="6"/>
        <v>0</v>
      </c>
      <c r="V14" s="127" t="e">
        <f>IF(J14="S",$R$19/$S$19*(参数调整!$G$11+参数调整!$I$11+参数调整!$J$11+参数调整!$K$11)/100+W14*参数调整!$H$11/100*$R$19/($T$19*$J$18),IF(J14="B",$R$20/$S$20*(参数调整!$G$12+参数调整!$I$12+参数调整!$J$12+参数调整!$K$12)/100+W14*参数调整!$H$12/100*$R$20/($T$20*$J$18),IF(J14="Q",$R$21/$S$21*(参数调整!$G$13+参数调整!$I$13+参数调整!$J$13+参数调整!$K$13)/100+W14*参数调整!$H$13/100*$R$21/($T$21*$J$18),$R$22/$S$22*(参数调整!$G$14+参数调整!$I$14+参数调整!$J$14+参数调整!$K$14)/100+W14*参数调整!$H$14/100*$R$22/($T$22*$J$18))))</f>
        <v>#DIV/0!</v>
      </c>
      <c r="W14" s="120"/>
      <c r="X14" s="122" t="e">
        <f>IF(J14="S",W14*参数调整!$H$11/($J$18*$T$19),IF(J14="B",W14*参数调整!$H$12/($J$18*$T$20),IF(J14="Q",W14*参数调整!$H$13/($J$18*$T$21),W14*参数调整!$H$14/($J$18*$T$22))))</f>
        <v>#DIV/0!</v>
      </c>
      <c r="AD14" s="203" t="s">
        <v>231</v>
      </c>
      <c r="AE14" s="205"/>
      <c r="AF14" s="120">
        <v>4</v>
      </c>
      <c r="AG14" s="119">
        <f>AF14*参数调整!B31</f>
        <v>120000</v>
      </c>
      <c r="AI14" s="232"/>
      <c r="AJ14" s="216"/>
      <c r="AK14" s="216"/>
      <c r="AL14" s="123" t="s">
        <v>256</v>
      </c>
      <c r="AM14" s="126"/>
      <c r="AN14" s="153">
        <f>AM14*参数调整!H33</f>
        <v>0</v>
      </c>
      <c r="AO14" s="129"/>
      <c r="AP14" s="129"/>
      <c r="AV14" s="129"/>
    </row>
    <row r="15" spans="1:48" ht="21" customHeight="1" x14ac:dyDescent="0.25">
      <c r="A15" s="144" t="str">
        <f>参数调整!A57</f>
        <v>GPS定位</v>
      </c>
      <c r="B15" s="115">
        <f>SUMIF($O$3:$O$14,3,$Q$3:$Q$14)+SUMIF($O$3:$O$14,3,$R$3:$R$14)+SUMIF($O$3:$O$14,3,$S$3:$S$14)+SUMIF($O$3:$O$14,3,$T$3:$T$14)</f>
        <v>0</v>
      </c>
      <c r="C15" s="107">
        <f>参数调整!B57</f>
        <v>80</v>
      </c>
      <c r="D15" s="107">
        <f>IF(G15&lt;=INDEX(参数调整!$C$63:'参数调整'!$D$68,1,1),C15,IF(G15&lt;=INDEX(参数调整!$C$63:'参数调整'!$D$68,2,1),C15*INDEX(参数调整!$C$63:'参数调整'!$D$68,2,2),IF(G15&lt;=INDEX(参数调整!$C$63:'参数调整'!$D$68,3,1),C15*INDEX(参数调整!$C$63:'参数调整'!$D$68,3,2),IF(G15&lt;=INDEX(参数调整!$C$63:'参数调整'!$D$68,4,1),C15*INDEX(参数调整!$C$63:'参数调整'!$D$68,4,2),IF(G15&lt;=INDEX(参数调整!$C$63:'参数调整'!$D$68,5,1),C15*INDEX(参数调整!$C$63:'参数调整'!$D$68,5,2),C15*INDEX(参数调整!$C$63:'参数调整'!$D$68,6,2))))))</f>
        <v>80</v>
      </c>
      <c r="E15" s="107">
        <f>参数调整!I57</f>
        <v>1</v>
      </c>
      <c r="F15" s="107">
        <f>D15*G15*(参数调整!$B$6+1)</f>
        <v>0</v>
      </c>
      <c r="G15" s="149">
        <f t="shared" si="0"/>
        <v>0</v>
      </c>
      <c r="H15" s="110">
        <v>120</v>
      </c>
      <c r="Q15" s="122">
        <f>SUM(Q3:Q14)</f>
        <v>110</v>
      </c>
      <c r="R15" s="122">
        <f>SUM(R3:R14)</f>
        <v>0</v>
      </c>
      <c r="S15" s="122">
        <f t="shared" ref="S15:T15" si="8">SUM(S3:S14)</f>
        <v>0</v>
      </c>
      <c r="T15" s="122">
        <f t="shared" si="8"/>
        <v>0</v>
      </c>
      <c r="AD15" s="203" t="s">
        <v>232</v>
      </c>
      <c r="AE15" s="205"/>
      <c r="AF15" s="120">
        <v>2</v>
      </c>
      <c r="AG15" s="119">
        <f>AF15*参数调整!B32</f>
        <v>40000</v>
      </c>
      <c r="AI15" s="232"/>
      <c r="AJ15" s="216"/>
      <c r="AK15" s="216"/>
      <c r="AL15" s="123" t="s">
        <v>166</v>
      </c>
      <c r="AM15" s="126"/>
      <c r="AN15" s="153">
        <f>AM15*参数调整!F33</f>
        <v>0</v>
      </c>
      <c r="AO15" s="129"/>
      <c r="AP15" s="129"/>
    </row>
    <row r="16" spans="1:48" ht="21" customHeight="1" x14ac:dyDescent="0.25">
      <c r="A16" s="144" t="str">
        <f>参数调整!A58</f>
        <v>支付功能</v>
      </c>
      <c r="B16" s="115">
        <f>SUMIF($O$3:$O$14,4,$Q$3:$Q$14)+SUMIF($O$3:$O$14,4,$R$3:$R$14)+SUMIF($O$3:$O$14,4,$S$3:$S$14)+SUMIF($O$3:$O$14,4,$T$3:$T$14)</f>
        <v>0</v>
      </c>
      <c r="C16" s="107">
        <f>参数调整!B58</f>
        <v>90</v>
      </c>
      <c r="D16" s="107">
        <f>IF(G16&lt;=INDEX(参数调整!$C$63:'参数调整'!$D$68,1,1),C16,IF(G16&lt;=INDEX(参数调整!$C$63:'参数调整'!$D$68,2,1),C16*INDEX(参数调整!$C$63:'参数调整'!$D$68,2,2),IF(G16&lt;=INDEX(参数调整!$C$63:'参数调整'!$D$68,3,1),C16*INDEX(参数调整!$C$63:'参数调整'!$D$68,3,2),IF(G16&lt;=INDEX(参数调整!$C$63:'参数调整'!$D$68,4,1),C16*INDEX(参数调整!$C$63:'参数调整'!$D$68,4,2),IF(G16&lt;=INDEX(参数调整!$C$63:'参数调整'!$D$68,5,1),C16*INDEX(参数调整!$C$63:'参数调整'!$D$68,5,2),C16*INDEX(参数调整!$C$63:'参数调整'!$D$68,6,2))))))</f>
        <v>90</v>
      </c>
      <c r="E16" s="107">
        <f>参数调整!I58</f>
        <v>1</v>
      </c>
      <c r="F16" s="107">
        <f>D16*G16*(参数调整!$B$6+1)</f>
        <v>0</v>
      </c>
      <c r="G16" s="149">
        <f t="shared" si="0"/>
        <v>0</v>
      </c>
      <c r="H16" s="110">
        <v>60</v>
      </c>
      <c r="AD16" s="215" t="s">
        <v>233</v>
      </c>
      <c r="AE16" s="123" t="s">
        <v>262</v>
      </c>
      <c r="AF16" s="120">
        <v>1</v>
      </c>
      <c r="AG16" s="119">
        <f>AF16*参数调整!F3</f>
        <v>20000</v>
      </c>
      <c r="AI16" s="232"/>
      <c r="AJ16" s="217"/>
      <c r="AK16" s="217"/>
      <c r="AL16" s="123" t="s">
        <v>258</v>
      </c>
      <c r="AM16" s="126"/>
      <c r="AN16" s="153">
        <f>AM16*参数调整!G33</f>
        <v>0</v>
      </c>
      <c r="AO16" s="129"/>
      <c r="AP16" s="129"/>
    </row>
    <row r="17" spans="1:42" ht="13.8" customHeight="1" x14ac:dyDescent="0.25">
      <c r="J17" s="226" t="s">
        <v>263</v>
      </c>
      <c r="K17" s="226"/>
      <c r="AD17" s="216"/>
      <c r="AE17" s="123" t="s">
        <v>264</v>
      </c>
      <c r="AF17" s="120">
        <v>1</v>
      </c>
      <c r="AG17" s="119">
        <f>AF17*参数调整!F4</f>
        <v>20000</v>
      </c>
      <c r="AH17"/>
      <c r="AI17" s="232"/>
      <c r="AJ17" s="203" t="s">
        <v>265</v>
      </c>
      <c r="AK17" s="204"/>
      <c r="AL17" s="205"/>
      <c r="AM17" s="122">
        <v>1</v>
      </c>
      <c r="AN17" s="153">
        <f>AM17*参数调整!B11*(1+参数调整!B12+参数调整!B13+参数调整!B14+参数调整!B15+参数调整!B16)</f>
        <v>13459.999999999998</v>
      </c>
      <c r="AO17" s="129"/>
      <c r="AP17" s="129"/>
    </row>
    <row r="18" spans="1:42" ht="13.8" customHeight="1" x14ac:dyDescent="0.25">
      <c r="A18" s="200" t="s">
        <v>206</v>
      </c>
      <c r="B18" s="201"/>
      <c r="G18" s="116">
        <f>SUMIF(E3:E16,0,F3:F16)</f>
        <v>11372.4</v>
      </c>
      <c r="J18" s="241">
        <v>29</v>
      </c>
      <c r="K18" s="242"/>
      <c r="Q18" s="119" t="s">
        <v>266</v>
      </c>
      <c r="R18" s="119" t="s">
        <v>267</v>
      </c>
      <c r="S18" s="118" t="s">
        <v>268</v>
      </c>
      <c r="T18" s="118" t="s">
        <v>208</v>
      </c>
      <c r="U18" s="119" t="s">
        <v>269</v>
      </c>
      <c r="V18" s="135" t="s">
        <v>270</v>
      </c>
      <c r="AD18" s="216"/>
      <c r="AE18" s="123" t="s">
        <v>271</v>
      </c>
      <c r="AF18" s="120">
        <v>1</v>
      </c>
      <c r="AG18" s="119">
        <f>AF18*参数调整!F5</f>
        <v>20000</v>
      </c>
      <c r="AH18" s="136"/>
      <c r="AI18" s="232"/>
      <c r="AJ18" s="206" t="s">
        <v>272</v>
      </c>
      <c r="AK18" s="207"/>
      <c r="AL18" s="123" t="s">
        <v>273</v>
      </c>
      <c r="AM18" s="122">
        <f>AF24</f>
        <v>2</v>
      </c>
      <c r="AN18" s="153">
        <f>AM18*参数调整!B10</f>
        <v>2000</v>
      </c>
      <c r="AO18" s="129"/>
      <c r="AP18" s="129"/>
    </row>
    <row r="19" spans="1:42" ht="13.8" customHeight="1" x14ac:dyDescent="0.25">
      <c r="J19" s="241"/>
      <c r="K19" s="242"/>
      <c r="N19"/>
      <c r="Q19" s="119" t="s">
        <v>196</v>
      </c>
      <c r="R19" s="156">
        <f>U19</f>
        <v>1015</v>
      </c>
      <c r="S19" s="126">
        <v>29</v>
      </c>
      <c r="T19" s="126">
        <v>10233.42175</v>
      </c>
      <c r="U19" s="122">
        <f>35*J22</f>
        <v>1015</v>
      </c>
      <c r="V19" s="138">
        <v>7784.7203002252554</v>
      </c>
      <c r="AD19" s="216"/>
      <c r="AE19" s="123" t="s">
        <v>274</v>
      </c>
      <c r="AF19" s="120">
        <v>1</v>
      </c>
      <c r="AG19" s="119">
        <f>AF19*参数调整!F6</f>
        <v>20000</v>
      </c>
      <c r="AH19"/>
      <c r="AI19" s="232"/>
      <c r="AJ19" s="208"/>
      <c r="AK19" s="209"/>
      <c r="AL19" s="123" t="s">
        <v>275</v>
      </c>
      <c r="AM19" s="122">
        <f>AF25</f>
        <v>1</v>
      </c>
      <c r="AN19" s="153">
        <f>AM19*参数调整!B10</f>
        <v>1000</v>
      </c>
      <c r="AO19" s="129"/>
      <c r="AP19" s="129"/>
    </row>
    <row r="20" spans="1:42" ht="13.8" customHeight="1" x14ac:dyDescent="0.25">
      <c r="A20" s="117"/>
      <c r="B20" s="118" t="s">
        <v>207</v>
      </c>
      <c r="C20" s="119"/>
      <c r="D20" s="119"/>
      <c r="E20" s="119"/>
      <c r="F20" s="119"/>
      <c r="G20" s="119" t="s">
        <v>208</v>
      </c>
      <c r="H20"/>
      <c r="J20" s="241"/>
      <c r="K20" s="242"/>
      <c r="N20"/>
      <c r="Q20" s="119" t="s">
        <v>197</v>
      </c>
      <c r="R20" s="156">
        <f t="shared" ref="R20:R21" si="9">U20</f>
        <v>928</v>
      </c>
      <c r="S20" s="126">
        <v>29</v>
      </c>
      <c r="T20" s="126">
        <v>10628.17604</v>
      </c>
      <c r="U20" s="122">
        <f>32*J22</f>
        <v>928</v>
      </c>
      <c r="V20" s="138">
        <v>9222.8919000660389</v>
      </c>
      <c r="AD20" s="216"/>
      <c r="AE20" s="123" t="s">
        <v>276</v>
      </c>
      <c r="AF20" s="120">
        <v>1</v>
      </c>
      <c r="AG20" s="119">
        <f>AF20*参数调整!F7</f>
        <v>20000</v>
      </c>
      <c r="AH20"/>
      <c r="AI20" s="232"/>
      <c r="AJ20" s="206" t="s">
        <v>277</v>
      </c>
      <c r="AK20" s="207"/>
      <c r="AL20" s="123" t="s">
        <v>167</v>
      </c>
      <c r="AM20" s="126">
        <v>2</v>
      </c>
      <c r="AN20" s="153">
        <f>AM20*参数调整!I29</f>
        <v>100000</v>
      </c>
      <c r="AO20" s="129"/>
      <c r="AP20" s="129"/>
    </row>
    <row r="21" spans="1:42" ht="13.8" customHeight="1" x14ac:dyDescent="0.25">
      <c r="A21" s="119" t="s">
        <v>196</v>
      </c>
      <c r="B21" s="120">
        <v>0.52</v>
      </c>
      <c r="C21"/>
      <c r="D21"/>
      <c r="E21"/>
      <c r="F21"/>
      <c r="G21" s="119">
        <f>Y3*参数调整!H11/($J$18*B21)</f>
        <v>10233.42175066313</v>
      </c>
      <c r="H21" s="121"/>
      <c r="J21" s="226" t="s">
        <v>278</v>
      </c>
      <c r="K21" s="244"/>
      <c r="N21"/>
      <c r="Q21" s="119" t="s">
        <v>198</v>
      </c>
      <c r="R21" s="156">
        <f t="shared" si="9"/>
        <v>1305</v>
      </c>
      <c r="S21" s="126">
        <v>29</v>
      </c>
      <c r="T21" s="126">
        <v>6518.9744049999999</v>
      </c>
      <c r="U21" s="122">
        <f>45*J22</f>
        <v>1305</v>
      </c>
      <c r="V21" s="138">
        <v>6518.9744045293137</v>
      </c>
      <c r="AD21" s="217"/>
      <c r="AE21" s="123" t="s">
        <v>279</v>
      </c>
      <c r="AF21" s="120"/>
      <c r="AG21" s="119">
        <f>AF21*参数调整!F8</f>
        <v>0</v>
      </c>
      <c r="AH21"/>
      <c r="AI21" s="232"/>
      <c r="AJ21" s="220"/>
      <c r="AK21" s="243"/>
      <c r="AL21" s="123" t="s">
        <v>256</v>
      </c>
      <c r="AM21" s="126"/>
      <c r="AN21" s="153">
        <f>AM21*参数调整!F29</f>
        <v>0</v>
      </c>
      <c r="AO21" s="129"/>
      <c r="AP21" s="129"/>
    </row>
    <row r="22" spans="1:42" ht="13.8" customHeight="1" x14ac:dyDescent="0.25">
      <c r="A22" s="119" t="s">
        <v>197</v>
      </c>
      <c r="B22" s="120">
        <v>1.52</v>
      </c>
      <c r="C22"/>
      <c r="D22"/>
      <c r="E22"/>
      <c r="F22"/>
      <c r="G22" s="119">
        <f>Y4*参数调整!H12/($J$18*B22)</f>
        <v>10628.176043557169</v>
      </c>
      <c r="H22" s="121"/>
      <c r="J22" s="241">
        <v>29</v>
      </c>
      <c r="K22" s="242"/>
      <c r="N22"/>
      <c r="Q22" s="119" t="s">
        <v>199</v>
      </c>
      <c r="R22" s="155"/>
      <c r="S22" s="126"/>
      <c r="T22" s="126">
        <v>0</v>
      </c>
      <c r="U22" s="122">
        <f>50*J22</f>
        <v>1450</v>
      </c>
      <c r="V22" s="138">
        <v>0</v>
      </c>
      <c r="AD22" s="203" t="s">
        <v>280</v>
      </c>
      <c r="AE22" s="205"/>
      <c r="AF22" s="120"/>
      <c r="AG22" s="119">
        <f>AF22*参数调整!C40</f>
        <v>0</v>
      </c>
      <c r="AI22" s="232"/>
      <c r="AJ22" s="220"/>
      <c r="AK22" s="243"/>
      <c r="AL22" s="123" t="s">
        <v>166</v>
      </c>
      <c r="AM22" s="126"/>
      <c r="AN22" s="153">
        <f>AM22*参数调整!H29</f>
        <v>0</v>
      </c>
      <c r="AO22" s="129"/>
      <c r="AP22" s="129"/>
    </row>
    <row r="23" spans="1:42" ht="13.8" customHeight="1" x14ac:dyDescent="0.25">
      <c r="A23" s="119" t="s">
        <v>198</v>
      </c>
      <c r="B23" s="120"/>
      <c r="C23"/>
      <c r="D23"/>
      <c r="E23"/>
      <c r="F23"/>
      <c r="G23" s="119" t="e">
        <f>Y5*参数调整!H13/($J$18*B23)</f>
        <v>#DIV/0!</v>
      </c>
      <c r="H23" s="121"/>
      <c r="J23" s="241"/>
      <c r="K23" s="242"/>
      <c r="Q23" s="139" t="s">
        <v>281</v>
      </c>
      <c r="R23"/>
      <c r="S23"/>
      <c r="T23"/>
      <c r="U23"/>
      <c r="V23"/>
      <c r="AD23" s="203" t="s">
        <v>282</v>
      </c>
      <c r="AE23" s="205"/>
      <c r="AF23" s="120"/>
      <c r="AG23" s="119">
        <f>AF23*参数调整!C41</f>
        <v>0</v>
      </c>
      <c r="AI23" s="232"/>
      <c r="AJ23" s="208"/>
      <c r="AK23" s="209"/>
      <c r="AL23" s="123" t="s">
        <v>258</v>
      </c>
      <c r="AM23" s="126"/>
      <c r="AN23" s="153">
        <f>AM23*参数调整!G29</f>
        <v>0</v>
      </c>
      <c r="AO23" s="129"/>
      <c r="AP23" s="129"/>
    </row>
    <row r="24" spans="1:42" ht="13.8" customHeight="1" x14ac:dyDescent="0.25">
      <c r="A24" s="119" t="s">
        <v>199</v>
      </c>
      <c r="B24" s="120"/>
      <c r="C24"/>
      <c r="D24"/>
      <c r="E24"/>
      <c r="F24"/>
      <c r="G24" s="119" t="e">
        <f>Y6*参数调整!H14/($J$18*B24)</f>
        <v>#DIV/0!</v>
      </c>
      <c r="H24" s="121"/>
      <c r="J24" s="241"/>
      <c r="K24" s="242"/>
      <c r="Q24" s="1">
        <f>J22-J18</f>
        <v>0</v>
      </c>
      <c r="R24"/>
      <c r="S24"/>
      <c r="T24"/>
      <c r="U24"/>
      <c r="V24"/>
      <c r="AD24" s="203" t="s">
        <v>234</v>
      </c>
      <c r="AE24" s="205"/>
      <c r="AF24" s="120">
        <v>2</v>
      </c>
      <c r="AG24" s="119">
        <f>AF24*参数调整!F18</f>
        <v>600</v>
      </c>
      <c r="AI24" s="232"/>
      <c r="AJ24" s="206" t="s">
        <v>283</v>
      </c>
      <c r="AK24" s="207"/>
      <c r="AL24" s="123" t="s">
        <v>284</v>
      </c>
      <c r="AM24" s="126"/>
      <c r="AN24" s="153">
        <f>AM24*参数调整!F23</f>
        <v>0</v>
      </c>
      <c r="AO24" s="129"/>
      <c r="AP24" s="129"/>
    </row>
    <row r="25" spans="1:42" ht="13.8" customHeight="1" x14ac:dyDescent="0.25">
      <c r="AD25" s="203" t="s">
        <v>235</v>
      </c>
      <c r="AE25" s="205"/>
      <c r="AF25" s="120">
        <v>1</v>
      </c>
      <c r="AG25" s="119">
        <f>AF25*参数调整!F17</f>
        <v>500</v>
      </c>
      <c r="AI25" s="232"/>
      <c r="AJ25" s="220"/>
      <c r="AK25" s="243"/>
      <c r="AL25" s="123" t="s">
        <v>285</v>
      </c>
      <c r="AM25" s="126"/>
      <c r="AN25" s="153">
        <f>AM25*参数调整!H23</f>
        <v>0</v>
      </c>
      <c r="AO25" s="129"/>
      <c r="AP25" s="129"/>
    </row>
    <row r="26" spans="1:42" ht="13.8" customHeight="1" x14ac:dyDescent="0.25">
      <c r="AD26" s="203" t="s">
        <v>236</v>
      </c>
      <c r="AE26" s="204"/>
      <c r="AF26" s="205"/>
      <c r="AG26" s="119">
        <f>SUM(Y3:Y6)</f>
        <v>29027.599999999999</v>
      </c>
      <c r="AI26" s="232"/>
      <c r="AJ26" s="208"/>
      <c r="AK26" s="209"/>
      <c r="AL26" s="123" t="s">
        <v>286</v>
      </c>
      <c r="AM26" s="126"/>
      <c r="AN26" s="153">
        <f>AM26*参数调整!J23</f>
        <v>0</v>
      </c>
      <c r="AO26" s="129"/>
      <c r="AP26" s="129"/>
    </row>
    <row r="27" spans="1:42" ht="13.8" customHeight="1" x14ac:dyDescent="0.25">
      <c r="AD27" s="203" t="s">
        <v>237</v>
      </c>
      <c r="AE27" s="204"/>
      <c r="AF27" s="205"/>
      <c r="AG27" s="119">
        <f>G18</f>
        <v>11372.4</v>
      </c>
      <c r="AI27" s="232"/>
      <c r="AJ27" s="203" t="s">
        <v>287</v>
      </c>
      <c r="AK27" s="204"/>
      <c r="AL27" s="205"/>
      <c r="AM27" s="122">
        <f>AM19</f>
        <v>1</v>
      </c>
      <c r="AN27" s="153">
        <f>AM27*参数调整!J17*(1+参数调整!B12+参数调整!B13+参数调整!B14+参数调整!B15+参数调整!B16)</f>
        <v>5383.9999999999991</v>
      </c>
      <c r="AO27" s="129"/>
      <c r="AP27" s="129"/>
    </row>
    <row r="28" spans="1:42" ht="13.8" customHeight="1" x14ac:dyDescent="0.25">
      <c r="D28" s="248" t="s">
        <v>293</v>
      </c>
      <c r="E28" s="248" t="s">
        <v>294</v>
      </c>
      <c r="F28" s="248" t="s">
        <v>295</v>
      </c>
      <c r="AD28" s="203" t="s">
        <v>238</v>
      </c>
      <c r="AE28" s="204"/>
      <c r="AF28" s="205"/>
      <c r="AG28" s="140">
        <f>AG3-SUM(AG4:AG27)</f>
        <v>-104500</v>
      </c>
      <c r="AH28" s="141">
        <f>AG28/(1-参数调整!B18)</f>
        <v>-110000</v>
      </c>
      <c r="AI28" s="232"/>
      <c r="AJ28" s="215" t="s">
        <v>288</v>
      </c>
      <c r="AK28" s="245" t="s">
        <v>289</v>
      </c>
      <c r="AL28" s="239" t="s">
        <v>196</v>
      </c>
      <c r="AM28" s="229"/>
      <c r="AN28" s="234">
        <f>AM28*参数调整!$B$30*参数调整!F11</f>
        <v>0</v>
      </c>
      <c r="AO28" s="129"/>
      <c r="AP28" s="129"/>
    </row>
    <row r="29" spans="1:42" ht="13.8" customHeight="1" x14ac:dyDescent="0.25">
      <c r="D29" s="248"/>
      <c r="E29" s="248"/>
      <c r="F29" s="248"/>
      <c r="AD29" s="236" t="s">
        <v>239</v>
      </c>
      <c r="AE29" s="237"/>
      <c r="AF29" s="238"/>
      <c r="AG29" s="126">
        <v>110000</v>
      </c>
      <c r="AI29" s="232"/>
      <c r="AJ29" s="216"/>
      <c r="AK29" s="246"/>
      <c r="AL29" s="240"/>
      <c r="AM29" s="230"/>
      <c r="AN29" s="235"/>
      <c r="AO29" s="129"/>
      <c r="AP29" s="129"/>
    </row>
    <row r="30" spans="1:42" ht="13.8" customHeight="1" x14ac:dyDescent="0.25">
      <c r="D30" s="145">
        <f>IF(H3&lt;=INDEX(参数调整!$C$63:'参数调整'!$D$68,1,1),C3,IF(H3&lt;=INDEX(参数调整!$C$63:'参数调整'!$D$68,2,1),H3*INDEX(参数调整!$C$63:'参数调整'!$D$68,2,2),IF(H3&lt;=INDEX(参数调整!$C$63:'参数调整'!$D$68,3,1),H3*INDEX(参数调整!$C$63:'参数调整'!$D$68,3,2),IF(H3&lt;=INDEX(参数调整!$C$63:'参数调整'!$D$68,4,1),H3*INDEX(参数调整!$C$63:'参数调整'!$D$68,4,2),IF(H3&lt;=INDEX(参数调整!$C$63:'参数调整'!$D$68,5,1),H3*INDEX(参数调整!$C$63:'参数调整'!$D$68,5,2),H3*INDEX(参数调整!$C$63:'参数调整'!$D$68,6,2))))))</f>
        <v>40</v>
      </c>
      <c r="E30" s="129">
        <v>0</v>
      </c>
      <c r="F30" s="129">
        <f>G3-B3</f>
        <v>0</v>
      </c>
      <c r="AD30" s="203" t="s">
        <v>290</v>
      </c>
      <c r="AE30" s="204"/>
      <c r="AF30" s="205"/>
      <c r="AG30" s="126"/>
      <c r="AI30" s="232"/>
      <c r="AJ30" s="216"/>
      <c r="AK30" s="246"/>
      <c r="AL30" s="239" t="s">
        <v>197</v>
      </c>
      <c r="AM30" s="229"/>
      <c r="AN30" s="234">
        <f>AM30*参数调整!$B$30*参数调整!F12</f>
        <v>0</v>
      </c>
      <c r="AO30" s="129"/>
      <c r="AP30" s="129"/>
    </row>
    <row r="31" spans="1:42" ht="13.8" customHeight="1" x14ac:dyDescent="0.25">
      <c r="D31" s="145">
        <f>IF(H4&lt;=INDEX(参数调整!$C$63:'参数调整'!$D$68,1,1),C4,IF(H4&lt;=INDEX(参数调整!$C$63:'参数调整'!$D$68,2,1),H4*INDEX(参数调整!$C$63:'参数调整'!$D$68,2,2),IF(H4&lt;=INDEX(参数调整!$C$63:'参数调整'!$D$68,3,1),H4*INDEX(参数调整!$C$63:'参数调整'!$D$68,3,2),IF(H4&lt;=INDEX(参数调整!$C$63:'参数调整'!$D$68,4,1),H4*INDEX(参数调整!$C$63:'参数调整'!$D$68,4,2),IF(H4&lt;=INDEX(参数调整!$C$63:'参数调整'!$D$68,5,1),H4*INDEX(参数调整!$C$63:'参数调整'!$D$68,5,2),H4*INDEX(参数调整!$C$63:'参数调整'!$D$68,6,2))))))</f>
        <v>80</v>
      </c>
      <c r="E31" s="129">
        <v>0</v>
      </c>
      <c r="F31" s="129">
        <f t="shared" ref="F31:F43" si="10">G4-B4</f>
        <v>0</v>
      </c>
      <c r="AD31" s="227" t="s">
        <v>238</v>
      </c>
      <c r="AE31" s="227"/>
      <c r="AF31" s="227"/>
      <c r="AG31" s="142">
        <f>AG28+AG29*(1-参数调整!B18)+AG30*(1-参数调整!B23)</f>
        <v>0</v>
      </c>
      <c r="AI31" s="232"/>
      <c r="AJ31" s="216"/>
      <c r="AK31" s="246"/>
      <c r="AL31" s="240"/>
      <c r="AM31" s="230"/>
      <c r="AN31" s="235"/>
      <c r="AO31" s="129"/>
      <c r="AP31" s="129"/>
    </row>
    <row r="32" spans="1:42" ht="13.8" customHeight="1" x14ac:dyDescent="0.25">
      <c r="D32" s="145">
        <f>IF(H5&lt;=INDEX(参数调整!$C$63:'参数调整'!$D$68,1,1),C5,IF(H5&lt;=INDEX(参数调整!$C$63:'参数调整'!$D$68,2,1),H5*INDEX(参数调整!$C$63:'参数调整'!$D$68,2,2),IF(H5&lt;=INDEX(参数调整!$C$63:'参数调整'!$D$68,3,1),H5*INDEX(参数调整!$C$63:'参数调整'!$D$68,3,2),IF(H5&lt;=INDEX(参数调整!$C$63:'参数调整'!$D$68,4,1),H5*INDEX(参数调整!$C$63:'参数调整'!$D$68,4,2),IF(H5&lt;=INDEX(参数调整!$C$63:'参数调整'!$D$68,5,1),H5*INDEX(参数调整!$C$63:'参数调整'!$D$68,5,2),H5*INDEX(参数调整!$C$63:'参数调整'!$D$68,6,2))))))</f>
        <v>110</v>
      </c>
      <c r="E32" s="129">
        <v>0</v>
      </c>
      <c r="F32" s="129">
        <f t="shared" si="10"/>
        <v>0</v>
      </c>
      <c r="AI32" s="232"/>
      <c r="AJ32" s="216"/>
      <c r="AK32" s="246"/>
      <c r="AL32" s="239" t="s">
        <v>198</v>
      </c>
      <c r="AM32" s="229"/>
      <c r="AN32" s="234">
        <f>AM32*参数调整!$B$30*参数调整!F13</f>
        <v>0</v>
      </c>
      <c r="AO32" s="129"/>
      <c r="AP32" s="129"/>
    </row>
    <row r="33" spans="3:42" ht="13.8" customHeight="1" x14ac:dyDescent="0.25">
      <c r="D33" s="145">
        <f>IF(H6&lt;=INDEX(参数调整!$C$63:'参数调整'!$D$68,1,1),C6,IF(H6&lt;=INDEX(参数调整!$C$63:'参数调整'!$D$68,2,1),H6*INDEX(参数调整!$C$63:'参数调整'!$D$68,2,2),IF(H6&lt;=INDEX(参数调整!$C$63:'参数调整'!$D$68,3,1),H6*INDEX(参数调整!$C$63:'参数调整'!$D$68,3,2),IF(H6&lt;=INDEX(参数调整!$C$63:'参数调整'!$D$68,4,1),H6*INDEX(参数调整!$C$63:'参数调整'!$D$68,4,2),IF(H6&lt;=INDEX(参数调整!$C$63:'参数调整'!$D$68,5,1),H6*INDEX(参数调整!$C$63:'参数调整'!$D$68,5,2),H6*INDEX(参数调整!$C$63:'参数调整'!$D$68,6,2))))))</f>
        <v>10</v>
      </c>
      <c r="E33" s="129">
        <v>0</v>
      </c>
      <c r="F33" s="129">
        <f t="shared" si="10"/>
        <v>0</v>
      </c>
      <c r="AI33" s="232"/>
      <c r="AJ33" s="216"/>
      <c r="AK33" s="246"/>
      <c r="AL33" s="240"/>
      <c r="AM33" s="230"/>
      <c r="AN33" s="235"/>
      <c r="AO33" s="129"/>
      <c r="AP33" s="129"/>
    </row>
    <row r="34" spans="3:42" ht="13.8" customHeight="1" x14ac:dyDescent="0.25">
      <c r="D34" s="145">
        <f>IF(H7&lt;=INDEX(参数调整!$C$63:'参数调整'!$D$68,1,1),C7,IF(H7&lt;=INDEX(参数调整!$C$63:'参数调整'!$D$68,2,1),H7*INDEX(参数调整!$C$63:'参数调整'!$D$68,2,2),IF(H7&lt;=INDEX(参数调整!$C$63:'参数调整'!$D$68,3,1),H7*INDEX(参数调整!$C$63:'参数调整'!$D$68,3,2),IF(H7&lt;=INDEX(参数调整!$C$63:'参数调整'!$D$68,4,1),H7*INDEX(参数调整!$C$63:'参数调整'!$D$68,4,2),IF(H7&lt;=INDEX(参数调整!$C$63:'参数调整'!$D$68,5,1),H7*INDEX(参数调整!$C$63:'参数调整'!$D$68,5,2),H7*INDEX(参数调整!$C$63:'参数调整'!$D$68,6,2))))))</f>
        <v>20</v>
      </c>
      <c r="E34" s="129">
        <v>0</v>
      </c>
      <c r="F34" s="129">
        <f t="shared" si="10"/>
        <v>0</v>
      </c>
      <c r="AI34" s="232"/>
      <c r="AJ34" s="216"/>
      <c r="AK34" s="246"/>
      <c r="AL34" s="239" t="s">
        <v>199</v>
      </c>
      <c r="AM34" s="229"/>
      <c r="AN34" s="234">
        <f>AM34*参数调整!$B$30*参数调整!F14</f>
        <v>0</v>
      </c>
      <c r="AO34" s="129"/>
      <c r="AP34" s="129"/>
    </row>
    <row r="35" spans="3:42" ht="13.8" customHeight="1" x14ac:dyDescent="0.25">
      <c r="D35" s="145">
        <f>IF(H8&lt;=INDEX(参数调整!$C$63:'参数调整'!$D$68,1,1),C8,IF(H8&lt;=INDEX(参数调整!$C$63:'参数调整'!$D$68,2,1),H8*INDEX(参数调整!$C$63:'参数调整'!$D$68,2,2),IF(H8&lt;=INDEX(参数调整!$C$63:'参数调整'!$D$68,3,1),H8*INDEX(参数调整!$C$63:'参数调整'!$D$68,3,2),IF(H8&lt;=INDEX(参数调整!$C$63:'参数调整'!$D$68,4,1),H8*INDEX(参数调整!$C$63:'参数调整'!$D$68,4,2),IF(H8&lt;=INDEX(参数调整!$C$63:'参数调整'!$D$68,5,1),H8*INDEX(参数调整!$C$63:'参数调整'!$D$68,5,2),H8*INDEX(参数调整!$C$63:'参数调整'!$D$68,6,2))))))</f>
        <v>35</v>
      </c>
      <c r="E35" s="129">
        <v>0</v>
      </c>
      <c r="F35" s="129">
        <f t="shared" si="10"/>
        <v>0</v>
      </c>
      <c r="AI35" s="232"/>
      <c r="AJ35" s="217"/>
      <c r="AK35" s="247"/>
      <c r="AL35" s="240"/>
      <c r="AM35" s="230"/>
      <c r="AN35" s="235"/>
      <c r="AO35" s="123" t="s">
        <v>291</v>
      </c>
      <c r="AP35" s="123" t="s">
        <v>292</v>
      </c>
    </row>
    <row r="36" spans="3:42" ht="13.8" customHeight="1" x14ac:dyDescent="0.25">
      <c r="D36" s="145">
        <f>IF(H9&lt;=INDEX(参数调整!$C$63:'参数调整'!$D$68,1,1),C9,IF(H9&lt;=INDEX(参数调整!$C$63:'参数调整'!$D$68,2,1),H9*INDEX(参数调整!$C$63:'参数调整'!$D$68,2,2),IF(H9&lt;=INDEX(参数调整!$C$63:'参数调整'!$D$68,3,1),H9*INDEX(参数调整!$C$63:'参数调整'!$D$68,3,2),IF(H9&lt;=INDEX(参数调整!$C$63:'参数调整'!$D$68,4,1),H9*INDEX(参数调整!$C$63:'参数调整'!$D$68,4,2),IF(H9&lt;=INDEX(参数调整!$C$63:'参数调整'!$D$68,5,1),H9*INDEX(参数调整!$C$63:'参数调整'!$D$68,5,2),H9*INDEX(参数调整!$C$63:'参数调整'!$D$68,6,2))))))</f>
        <v>50</v>
      </c>
      <c r="E36" s="129">
        <v>0</v>
      </c>
      <c r="F36" s="129">
        <f t="shared" si="10"/>
        <v>0</v>
      </c>
      <c r="AI36" s="233"/>
      <c r="AJ36" s="203" t="s">
        <v>296</v>
      </c>
      <c r="AK36" s="204"/>
      <c r="AL36" s="204"/>
      <c r="AM36" s="205"/>
      <c r="AN36" s="143">
        <f>AN2-SUM(AN5:AN19)+SUM(AN20:AN26)-SUM(AN27:AN35)+AO36*(1-参数调整!B23)+(1-参数调整!B24)*AP36</f>
        <v>57164.800000000003</v>
      </c>
      <c r="AO36" s="126"/>
      <c r="AP36" s="126"/>
    </row>
    <row r="37" spans="3:42" ht="13.8" customHeight="1" x14ac:dyDescent="0.25">
      <c r="D37" s="145">
        <f>IF(H10&lt;=INDEX(参数调整!$C$63:'参数调整'!$D$68,1,1),C10,IF(H10&lt;=INDEX(参数调整!$C$63:'参数调整'!$D$68,2,1),H10*INDEX(参数调整!$C$63:'参数调整'!$D$68,2,2),IF(H10&lt;=INDEX(参数调整!$C$63:'参数调整'!$D$68,3,1),H10*INDEX(参数调整!$C$63:'参数调整'!$D$68,3,2),IF(H10&lt;=INDEX(参数调整!$C$63:'参数调整'!$D$68,4,1),H10*INDEX(参数调整!$C$63:'参数调整'!$D$68,4,2),IF(H10&lt;=INDEX(参数调整!$C$63:'参数调整'!$D$68,5,1),H10*INDEX(参数调整!$C$63:'参数调整'!$D$68,5,2),H10*INDEX(参数调整!$C$63:'参数调整'!$D$68,6,2))))))</f>
        <v>80</v>
      </c>
      <c r="E37" s="129">
        <v>0</v>
      </c>
      <c r="F37" s="129">
        <f t="shared" si="10"/>
        <v>0</v>
      </c>
      <c r="AI37" s="249" t="s">
        <v>297</v>
      </c>
      <c r="AJ37" s="203" t="s">
        <v>298</v>
      </c>
      <c r="AK37" s="204"/>
      <c r="AL37" s="204"/>
      <c r="AM37" s="205"/>
      <c r="AN37" s="122">
        <f>AO3-AO36</f>
        <v>82391.399999999994</v>
      </c>
      <c r="AO37" s="129"/>
      <c r="AP37" s="129"/>
    </row>
    <row r="38" spans="3:42" ht="13.8" customHeight="1" x14ac:dyDescent="0.25">
      <c r="D38" s="145">
        <f>IF(H11&lt;=INDEX(参数调整!$C$63:'参数调整'!$D$68,1,1),C11,IF(H11&lt;=INDEX(参数调整!$C$63:'参数调整'!$D$68,2,1),H11*INDEX(参数调整!$C$63:'参数调整'!$D$68,2,2),IF(H11&lt;=INDEX(参数调整!$C$63:'参数调整'!$D$68,3,1),H11*INDEX(参数调整!$C$63:'参数调整'!$D$68,3,2),IF(H11&lt;=INDEX(参数调整!$C$63:'参数调整'!$D$68,4,1),H11*INDEX(参数调整!$C$63:'参数调整'!$D$68,4,2),IF(H11&lt;=INDEX(参数调整!$C$63:'参数调整'!$D$68,5,1),H11*INDEX(参数调整!$C$63:'参数调整'!$D$68,5,2),H11*INDEX(参数调整!$C$63:'参数调整'!$D$68,6,2))))))</f>
        <v>110</v>
      </c>
      <c r="E38" s="129">
        <v>0</v>
      </c>
      <c r="F38" s="129">
        <f t="shared" si="10"/>
        <v>0</v>
      </c>
      <c r="AI38" s="250"/>
      <c r="AJ38" s="203" t="s">
        <v>299</v>
      </c>
      <c r="AK38" s="204"/>
      <c r="AL38" s="204"/>
      <c r="AM38" s="205"/>
      <c r="AN38" s="122">
        <f>SUMPRODUCT(E3:E12,F3:F12)+SUMPRODUCT(E13:E16,F13:F16)*1.5</f>
        <v>10237.5</v>
      </c>
      <c r="AO38" s="129"/>
      <c r="AP38" s="129"/>
    </row>
    <row r="39" spans="3:42" ht="13.8" customHeight="1" x14ac:dyDescent="0.25">
      <c r="D39" s="145">
        <f>IF(H12&lt;=INDEX(参数调整!$C$63:'参数调整'!$D$68,1,1),C12,IF(H12&lt;=INDEX(参数调整!$C$63:'参数调整'!$D$68,2,1),H12*INDEX(参数调整!$C$63:'参数调整'!$D$68,2,2),IF(H12&lt;=INDEX(参数调整!$C$63:'参数调整'!$D$68,3,1),H12*INDEX(参数调整!$C$63:'参数调整'!$D$68,3,2),IF(H12&lt;=INDEX(参数调整!$C$63:'参数调整'!$D$68,4,1),H12*INDEX(参数调整!$C$63:'参数调整'!$D$68,4,2),IF(H12&lt;=INDEX(参数调整!$C$63:'参数调整'!$D$68,5,1),H12*INDEX(参数调整!$C$63:'参数调整'!$D$68,5,2),H12*INDEX(参数调整!$C$63:'参数调整'!$D$68,6,2))))))</f>
        <v>160</v>
      </c>
      <c r="E39" s="129">
        <v>0</v>
      </c>
      <c r="F39" s="129">
        <f t="shared" si="10"/>
        <v>0</v>
      </c>
      <c r="AI39" s="250"/>
      <c r="AJ39" s="203" t="s">
        <v>300</v>
      </c>
      <c r="AK39" s="204"/>
      <c r="AL39" s="204"/>
      <c r="AM39" s="205"/>
      <c r="AN39" s="122">
        <f>SUMPRODUCT(H3:H16,D30:D43)*(1+参数调整!$B$6)</f>
        <v>32291.999999999996</v>
      </c>
      <c r="AO39" s="129"/>
      <c r="AP39" s="129"/>
    </row>
    <row r="40" spans="3:42" ht="13.8" customHeight="1" x14ac:dyDescent="0.25">
      <c r="D40" s="145">
        <f>IF(H13&lt;=INDEX(参数调整!$C$63:'参数调整'!$D$68,1,1),C13,IF(H13&lt;=INDEX(参数调整!$C$63:'参数调整'!$D$68,2,1),H13*INDEX(参数调整!$C$63:'参数调整'!$D$68,2,2),IF(H13&lt;=INDEX(参数调整!$C$63:'参数调整'!$D$68,3,1),H13*INDEX(参数调整!$C$63:'参数调整'!$D$68,3,2),IF(H13&lt;=INDEX(参数调整!$C$63:'参数调整'!$D$68,4,1),H13*INDEX(参数调整!$C$63:'参数调整'!$D$68,4,2),IF(H13&lt;=INDEX(参数调整!$C$63:'参数调整'!$D$68,5,1),H13*INDEX(参数调整!$C$63:'参数调整'!$D$68,5,2),H13*INDEX(参数调整!$C$63:'参数调整'!$D$68,6,2))))))</f>
        <v>50</v>
      </c>
      <c r="E40" s="129">
        <v>0</v>
      </c>
      <c r="F40" s="129">
        <f t="shared" si="10"/>
        <v>0</v>
      </c>
      <c r="AI40" s="250"/>
      <c r="AJ40" s="203" t="s">
        <v>301</v>
      </c>
      <c r="AK40" s="204"/>
      <c r="AL40" s="204"/>
      <c r="AM40" s="205"/>
      <c r="AN40" s="122">
        <v>10000</v>
      </c>
      <c r="AO40" s="129"/>
      <c r="AP40" s="129"/>
    </row>
    <row r="41" spans="3:42" ht="13.8" customHeight="1" x14ac:dyDescent="0.25">
      <c r="D41" s="145">
        <f>IF(H14&lt;=INDEX(参数调整!$C$63:'参数调整'!$D$68,1,1),C14,IF(H14&lt;=INDEX(参数调整!$C$63:'参数调整'!$D$68,2,1),H14*INDEX(参数调整!$C$63:'参数调整'!$D$68,2,2),IF(H14&lt;=INDEX(参数调整!$C$63:'参数调整'!$D$68,3,1),H14*INDEX(参数调整!$C$63:'参数调整'!$D$68,3,2),IF(H14&lt;=INDEX(参数调整!$C$63:'参数调整'!$D$68,4,1),H14*INDEX(参数调整!$C$63:'参数调整'!$D$68,4,2),IF(H14&lt;=INDEX(参数调整!$C$63:'参数调整'!$D$68,5,1),H14*INDEX(参数调整!$C$63:'参数调整'!$D$68,5,2),H14*INDEX(参数调整!$C$63:'参数调整'!$D$68,6,2))))))</f>
        <v>50</v>
      </c>
      <c r="E41" s="129">
        <v>0</v>
      </c>
      <c r="F41" s="129">
        <f t="shared" si="10"/>
        <v>0</v>
      </c>
      <c r="AI41" s="250"/>
      <c r="AJ41" s="203" t="s">
        <v>302</v>
      </c>
      <c r="AK41" s="204"/>
      <c r="AL41" s="204"/>
      <c r="AM41" s="205"/>
      <c r="AN41" s="122">
        <f>(AK2+AO3-AN2-SUM(F3:F12)-SUM(F13:F16)*1.5-F5*0.5)*0.145299145</f>
        <v>8831.4999818175002</v>
      </c>
      <c r="AO41" s="129"/>
      <c r="AP41" s="129"/>
    </row>
    <row r="42" spans="3:42" ht="13.8" customHeight="1" x14ac:dyDescent="0.25">
      <c r="D42" s="145">
        <f>IF(H15&lt;=INDEX(参数调整!$C$63:'参数调整'!$D$68,1,1),C15,IF(H15&lt;=INDEX(参数调整!$C$63:'参数调整'!$D$68,2,1),H15*INDEX(参数调整!$C$63:'参数调整'!$D$68,2,2),IF(H15&lt;=INDEX(参数调整!$C$63:'参数调整'!$D$68,3,1),H15*INDEX(参数调整!$C$63:'参数调整'!$D$68,3,2),IF(H15&lt;=INDEX(参数调整!$C$63:'参数调整'!$D$68,4,1),H15*INDEX(参数调整!$C$63:'参数调整'!$D$68,4,2),IF(H15&lt;=INDEX(参数调整!$C$63:'参数调整'!$D$68,5,1),H15*INDEX(参数调整!$C$63:'参数调整'!$D$68,5,2),H15*INDEX(参数调整!$C$63:'参数调整'!$D$68,6,2))))))</f>
        <v>80</v>
      </c>
      <c r="E42" s="129">
        <v>0</v>
      </c>
      <c r="F42" s="129">
        <f t="shared" si="10"/>
        <v>0</v>
      </c>
      <c r="AI42" s="250"/>
      <c r="AJ42" s="203" t="s">
        <v>303</v>
      </c>
      <c r="AK42" s="204"/>
      <c r="AL42" s="204"/>
      <c r="AM42" s="205"/>
      <c r="AN42" s="122">
        <f>AN41*SUM(参数调整!B7:B9)</f>
        <v>1059.7799978181001</v>
      </c>
      <c r="AO42" s="129"/>
      <c r="AP42" s="129"/>
    </row>
    <row r="43" spans="3:42" ht="13.8" customHeight="1" x14ac:dyDescent="0.25">
      <c r="D43" s="145">
        <f>IF(H16&lt;=INDEX(参数调整!$C$63:'参数调整'!$D$68,1,1),C16,IF(H16&lt;=INDEX(参数调整!$C$63:'参数调整'!$D$68,2,1),H16*INDEX(参数调整!$C$63:'参数调整'!$D$68,2,2),IF(H16&lt;=INDEX(参数调整!$C$63:'参数调整'!$D$68,3,1),H16*INDEX(参数调整!$C$63:'参数调整'!$D$68,3,2),IF(H16&lt;=INDEX(参数调整!$C$63:'参数调整'!$D$68,4,1),H16*INDEX(参数调整!$C$63:'参数调整'!$D$68,4,2),IF(H16&lt;=INDEX(参数调整!$C$63:'参数调整'!$D$68,5,1),H16*INDEX(参数调整!$C$63:'参数调整'!$D$68,5,2),H16*INDEX(参数调整!$C$63:'参数调整'!$D$68,6,2))))))</f>
        <v>90</v>
      </c>
      <c r="E43" s="129">
        <v>0</v>
      </c>
      <c r="F43" s="129">
        <f t="shared" si="10"/>
        <v>0</v>
      </c>
      <c r="AI43" s="250"/>
      <c r="AJ43" s="203" t="s">
        <v>304</v>
      </c>
      <c r="AK43" s="204"/>
      <c r="AL43" s="204"/>
      <c r="AM43" s="205"/>
      <c r="AN43" s="122">
        <v>0</v>
      </c>
      <c r="AO43" s="129"/>
      <c r="AP43" s="129"/>
    </row>
    <row r="44" spans="3:42" ht="13.8" customHeight="1" x14ac:dyDescent="0.25">
      <c r="C44" s="91" t="s">
        <v>305</v>
      </c>
      <c r="F44" s="129">
        <f>SUMPRODUCT(D3:D16,G3:G16)</f>
        <v>17020</v>
      </c>
      <c r="AI44" s="251"/>
      <c r="AJ44" s="203" t="s">
        <v>296</v>
      </c>
      <c r="AK44" s="204"/>
      <c r="AL44" s="204"/>
      <c r="AM44" s="205"/>
      <c r="AN44" s="143">
        <f>AN36+AN37-SUM(AN38:AN43)</f>
        <v>77135.420020364414</v>
      </c>
      <c r="AO44" s="129"/>
      <c r="AP44" s="129"/>
    </row>
    <row r="45" spans="3:42" ht="13.8" customHeight="1" x14ac:dyDescent="0.25"/>
    <row r="46" spans="3:42" ht="13.8" customHeight="1" x14ac:dyDescent="0.25"/>
    <row r="47" spans="3:42" ht="13.8" customHeight="1" x14ac:dyDescent="0.25">
      <c r="D47" s="117"/>
      <c r="E47" s="129"/>
      <c r="F47" s="129"/>
    </row>
    <row r="48" spans="3:42" ht="13.8" customHeight="1" x14ac:dyDescent="0.25">
      <c r="D48" s="117"/>
      <c r="E48" s="129"/>
      <c r="F48" s="129"/>
    </row>
    <row r="49" spans="4:6" ht="13.8" customHeight="1" x14ac:dyDescent="0.25">
      <c r="D49" s="117"/>
      <c r="E49" s="129"/>
      <c r="F49" s="129"/>
    </row>
    <row r="50" spans="4:6" ht="13.8" customHeight="1" x14ac:dyDescent="0.25">
      <c r="D50" s="117"/>
      <c r="E50" s="129"/>
      <c r="F50" s="129"/>
    </row>
    <row r="51" spans="4:6" ht="13.8" customHeight="1" x14ac:dyDescent="0.25">
      <c r="D51" s="117"/>
      <c r="E51" s="129"/>
      <c r="F51" s="129"/>
    </row>
    <row r="52" spans="4:6" ht="13.8" customHeight="1" x14ac:dyDescent="0.25">
      <c r="F52" s="129"/>
    </row>
    <row r="53" spans="4:6" ht="13.8" customHeight="1" x14ac:dyDescent="0.25"/>
    <row r="54" spans="4:6" ht="13.8" customHeight="1" x14ac:dyDescent="0.25"/>
    <row r="55" spans="4:6" ht="13.8" customHeight="1" x14ac:dyDescent="0.25"/>
    <row r="56" spans="4:6" ht="13.8" customHeight="1" x14ac:dyDescent="0.25"/>
    <row r="57" spans="4:6" ht="13.8" customHeight="1" x14ac:dyDescent="0.25"/>
    <row r="58" spans="4:6" ht="13.8" customHeight="1" x14ac:dyDescent="0.25"/>
    <row r="59" spans="4:6" ht="13.8" customHeight="1" x14ac:dyDescent="0.25"/>
    <row r="60" spans="4:6" ht="13.8" customHeight="1" x14ac:dyDescent="0.25"/>
    <row r="61" spans="4:6" ht="13.8" customHeight="1" x14ac:dyDescent="0.25"/>
    <row r="62" spans="4:6" ht="13.8" customHeight="1" x14ac:dyDescent="0.25"/>
    <row r="63" spans="4:6" ht="13.8" customHeight="1" x14ac:dyDescent="0.25"/>
    <row r="64" spans="4:6" ht="13.8" customHeight="1" x14ac:dyDescent="0.25"/>
    <row r="65" ht="13.8" customHeight="1" x14ac:dyDescent="0.25"/>
    <row r="66" ht="13.8" customHeight="1" x14ac:dyDescent="0.25"/>
    <row r="67" ht="13.8" customHeight="1" x14ac:dyDescent="0.25"/>
    <row r="68" ht="20.399999999999999" customHeight="1" x14ac:dyDescent="0.25"/>
    <row r="69" ht="20.399999999999999" customHeight="1" x14ac:dyDescent="0.25"/>
    <row r="70" ht="20.399999999999999" customHeight="1" x14ac:dyDescent="0.25"/>
    <row r="71" ht="20.399999999999999" customHeight="1" x14ac:dyDescent="0.25"/>
    <row r="72" ht="20.399999999999999" customHeight="1" x14ac:dyDescent="0.25"/>
    <row r="73" ht="20.399999999999999" customHeight="1" x14ac:dyDescent="0.25"/>
  </sheetData>
  <mergeCells count="77">
    <mergeCell ref="D28:D29"/>
    <mergeCell ref="E28:E29"/>
    <mergeCell ref="F28:F29"/>
    <mergeCell ref="F1:F2"/>
    <mergeCell ref="AJ37:AM37"/>
    <mergeCell ref="AD27:AF27"/>
    <mergeCell ref="AJ27:AL27"/>
    <mergeCell ref="J22:K24"/>
    <mergeCell ref="AD22:AE22"/>
    <mergeCell ref="AD23:AE23"/>
    <mergeCell ref="AI37:AI44"/>
    <mergeCell ref="AJ43:AM43"/>
    <mergeCell ref="AJ44:AM44"/>
    <mergeCell ref="AJ41:AM41"/>
    <mergeCell ref="AJ42:AM42"/>
    <mergeCell ref="AD31:AF31"/>
    <mergeCell ref="AJ38:AM38"/>
    <mergeCell ref="AJ39:AM39"/>
    <mergeCell ref="AJ40:AM40"/>
    <mergeCell ref="AM32:AM33"/>
    <mergeCell ref="AM28:AM29"/>
    <mergeCell ref="AN32:AN33"/>
    <mergeCell ref="AL34:AL35"/>
    <mergeCell ref="AM34:AM35"/>
    <mergeCell ref="AN34:AN35"/>
    <mergeCell ref="AJ36:AM36"/>
    <mergeCell ref="AD28:AF28"/>
    <mergeCell ref="AJ28:AJ35"/>
    <mergeCell ref="AK28:AK35"/>
    <mergeCell ref="AL28:AL29"/>
    <mergeCell ref="AL32:AL33"/>
    <mergeCell ref="J18:K20"/>
    <mergeCell ref="AJ18:AK19"/>
    <mergeCell ref="AJ20:AK23"/>
    <mergeCell ref="J21:K21"/>
    <mergeCell ref="AD24:AE24"/>
    <mergeCell ref="AJ24:AK26"/>
    <mergeCell ref="AD25:AE25"/>
    <mergeCell ref="AD26:AF26"/>
    <mergeCell ref="AD16:AD21"/>
    <mergeCell ref="AN2:AN3"/>
    <mergeCell ref="AD3:AF3"/>
    <mergeCell ref="AD4:AD6"/>
    <mergeCell ref="AI4:AI36"/>
    <mergeCell ref="AJ4:AL4"/>
    <mergeCell ref="AL2:AM3"/>
    <mergeCell ref="AJ17:AL17"/>
    <mergeCell ref="AK13:AK16"/>
    <mergeCell ref="AD14:AE14"/>
    <mergeCell ref="AD15:AE15"/>
    <mergeCell ref="AN28:AN29"/>
    <mergeCell ref="AD29:AF29"/>
    <mergeCell ref="AD30:AF30"/>
    <mergeCell ref="AL30:AL31"/>
    <mergeCell ref="AM30:AM31"/>
    <mergeCell ref="AN30:AN31"/>
    <mergeCell ref="AO4:AP4"/>
    <mergeCell ref="AJ5:AJ16"/>
    <mergeCell ref="AK5:AK8"/>
    <mergeCell ref="AO5:AP6"/>
    <mergeCell ref="AD7:AD9"/>
    <mergeCell ref="A18:B18"/>
    <mergeCell ref="Q1:T1"/>
    <mergeCell ref="AD2:AG2"/>
    <mergeCell ref="AI2:AJ3"/>
    <mergeCell ref="AK2:AK3"/>
    <mergeCell ref="AG7:AG9"/>
    <mergeCell ref="AK9:AK11"/>
    <mergeCell ref="AD10:AD13"/>
    <mergeCell ref="AK12:AL12"/>
    <mergeCell ref="B1:B2"/>
    <mergeCell ref="C1:C2"/>
    <mergeCell ref="D1:D2"/>
    <mergeCell ref="E1:E2"/>
    <mergeCell ref="G1:G2"/>
    <mergeCell ref="H1:H2"/>
    <mergeCell ref="J17:K17"/>
  </mergeCells>
  <phoneticPr fontId="3" type="noConversion"/>
  <dataValidations disablePrompts="1" count="3">
    <dataValidation type="list" allowBlank="1" showInputMessage="1" showErrorMessage="1" sqref="AE10:AE13" xr:uid="{5336AC28-3660-4CD8-A7D8-3659F1975F85}">
      <formula1>"手工线,半自动线,全自动线,柔性线"</formula1>
    </dataValidation>
    <dataValidation type="list" allowBlank="1" showInputMessage="1" showErrorMessage="1" sqref="AE4:AE6" xr:uid="{2AB359DB-12EA-483C-938C-9D61DC7CDEFF}">
      <formula1>"购买小厂房,购买中厂房,购买大厂房"</formula1>
    </dataValidation>
    <dataValidation type="list" allowBlank="1" showInputMessage="1" showErrorMessage="1" sqref="AE7:AE9" xr:uid="{C977DD65-26EF-46D2-B825-2349CF0CB67D}">
      <formula1>"租用小厂房,租用中厂房,租用大厂房"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666-2D27-4732-A100-6C678E6AF25E}">
  <dimension ref="A1:AX73"/>
  <sheetViews>
    <sheetView tabSelected="1" topLeftCell="A18" zoomScale="85" zoomScaleNormal="85" workbookViewId="0">
      <selection activeCell="W3" sqref="W3"/>
    </sheetView>
  </sheetViews>
  <sheetFormatPr defaultRowHeight="13.8" x14ac:dyDescent="0.25"/>
  <cols>
    <col min="1" max="1" width="16.6640625" style="91" customWidth="1"/>
    <col min="2" max="2" width="16.109375" style="91" bestFit="1" customWidth="1"/>
    <col min="3" max="3" width="18.33203125" style="91" hidden="1" customWidth="1"/>
    <col min="4" max="5" width="16.109375" style="91" hidden="1" customWidth="1"/>
    <col min="6" max="6" width="11.6640625" style="91" hidden="1" customWidth="1"/>
    <col min="7" max="7" width="15.109375" style="91" bestFit="1" customWidth="1"/>
    <col min="8" max="8" width="10.6640625" style="91" bestFit="1" customWidth="1"/>
    <col min="9" max="11" width="8.88671875" style="91"/>
    <col min="12" max="12" width="12.44140625" style="91" hidden="1" customWidth="1"/>
    <col min="13" max="13" width="11.77734375" style="91" hidden="1" customWidth="1"/>
    <col min="14" max="14" width="11.21875" style="91" hidden="1" customWidth="1"/>
    <col min="15" max="15" width="14.33203125" style="91" hidden="1" customWidth="1"/>
    <col min="16" max="16" width="9.44140625" style="91" hidden="1" customWidth="1"/>
    <col min="17" max="17" width="13.44140625" style="91" customWidth="1"/>
    <col min="18" max="18" width="12.44140625" style="91" customWidth="1"/>
    <col min="19" max="19" width="11.77734375" style="91" customWidth="1"/>
    <col min="20" max="20" width="11.21875" style="91" customWidth="1"/>
    <col min="21" max="21" width="14.33203125" style="91" customWidth="1"/>
    <col min="22" max="22" width="9.44140625" style="91" bestFit="1" customWidth="1"/>
    <col min="23" max="23" width="8.88671875" style="91"/>
    <col min="24" max="24" width="11.109375" style="91" customWidth="1"/>
    <col min="25" max="25" width="10.21875" style="91" bestFit="1" customWidth="1"/>
    <col min="26" max="26" width="11.109375" style="91" customWidth="1"/>
    <col min="27" max="27" width="15.77734375" style="91" bestFit="1" customWidth="1"/>
    <col min="28" max="29" width="8.88671875" style="91"/>
    <col min="30" max="31" width="0" style="91" hidden="1" customWidth="1"/>
    <col min="32" max="32" width="11.109375" style="91" customWidth="1"/>
    <col min="33" max="33" width="11.44140625" style="91" customWidth="1"/>
    <col min="34" max="34" width="14.44140625" style="91" customWidth="1"/>
    <col min="35" max="35" width="18.6640625" style="91" customWidth="1"/>
    <col min="36" max="36" width="11.21875" style="91" customWidth="1"/>
    <col min="37" max="37" width="14.109375" style="91" customWidth="1"/>
    <col min="38" max="38" width="19.5546875" style="91" customWidth="1"/>
    <col min="39" max="39" width="17.21875" style="91" customWidth="1"/>
    <col min="40" max="41" width="8.88671875" style="91"/>
    <col min="42" max="42" width="12.109375" style="91" customWidth="1"/>
    <col min="43" max="43" width="17.109375" style="91" bestFit="1" customWidth="1"/>
    <col min="44" max="44" width="25.5546875" style="91" customWidth="1"/>
    <col min="45" max="16384" width="8.88671875" style="91"/>
  </cols>
  <sheetData>
    <row r="1" spans="1:50" x14ac:dyDescent="0.25">
      <c r="A1"/>
      <c r="B1" s="215" t="s">
        <v>200</v>
      </c>
      <c r="C1" s="215" t="s">
        <v>202</v>
      </c>
      <c r="D1" s="221" t="s">
        <v>203</v>
      </c>
      <c r="E1" s="222" t="s">
        <v>204</v>
      </c>
      <c r="F1" s="222" t="s">
        <v>306</v>
      </c>
      <c r="G1" s="223" t="s">
        <v>201</v>
      </c>
      <c r="H1" s="225" t="s">
        <v>205</v>
      </c>
      <c r="R1" s="202"/>
      <c r="S1" s="202"/>
      <c r="T1" s="202"/>
      <c r="U1" s="202"/>
    </row>
    <row r="2" spans="1:50" x14ac:dyDescent="0.25">
      <c r="A2"/>
      <c r="B2" s="220"/>
      <c r="C2" s="220"/>
      <c r="D2" s="221"/>
      <c r="E2" s="222"/>
      <c r="F2" s="222"/>
      <c r="G2" s="224"/>
      <c r="H2" s="225"/>
      <c r="J2" s="119" t="s">
        <v>209</v>
      </c>
      <c r="K2" s="119" t="s">
        <v>210</v>
      </c>
      <c r="L2" s="119"/>
      <c r="M2" s="119"/>
      <c r="N2" s="119"/>
      <c r="O2" s="119"/>
      <c r="P2" s="119"/>
      <c r="Q2" s="119" t="s">
        <v>308</v>
      </c>
      <c r="R2" s="119" t="s">
        <v>211</v>
      </c>
      <c r="S2" s="119" t="s">
        <v>240</v>
      </c>
      <c r="T2" s="119" t="s">
        <v>241</v>
      </c>
      <c r="U2" s="119" t="s">
        <v>242</v>
      </c>
      <c r="V2" s="119" t="s">
        <v>212</v>
      </c>
      <c r="W2" s="118" t="s">
        <v>243</v>
      </c>
      <c r="X2" s="119" t="s">
        <v>213</v>
      </c>
      <c r="Y2" s="119" t="s">
        <v>312</v>
      </c>
      <c r="Z2" s="122" t="s">
        <v>244</v>
      </c>
      <c r="AA2" s="119" t="s">
        <v>245</v>
      </c>
      <c r="AF2" s="203" t="s">
        <v>214</v>
      </c>
      <c r="AG2" s="204"/>
      <c r="AH2" s="204"/>
      <c r="AI2" s="205"/>
      <c r="AK2" s="206" t="s">
        <v>246</v>
      </c>
      <c r="AL2" s="207"/>
      <c r="AM2" s="229">
        <v>0</v>
      </c>
      <c r="AN2" s="206" t="s">
        <v>247</v>
      </c>
      <c r="AO2" s="207"/>
      <c r="AP2" s="229">
        <v>0</v>
      </c>
      <c r="AQ2" s="147" t="s">
        <v>248</v>
      </c>
      <c r="AR2" s="147" t="s">
        <v>249</v>
      </c>
    </row>
    <row r="3" spans="1:50" ht="21" customHeight="1" x14ac:dyDescent="0.25">
      <c r="A3" s="144" t="str">
        <f>参数调整!A45</f>
        <v>高亮LED</v>
      </c>
      <c r="B3" s="106">
        <f>SUMIF($L$3:$L$14,1,$R$3:$R$14)+SUMIF($L$3:$L$14,1,$S$3:$S$14)+SUMIF($L$3:$L$14,1,$T$3:$T$14)+SUMIF($L$3:$L$14,1,$U$3:$U$14)</f>
        <v>520</v>
      </c>
      <c r="C3" s="107">
        <f>参数调整!B45</f>
        <v>40</v>
      </c>
      <c r="D3" s="107">
        <f>IF(G3&lt;=INDEX(参数调整!$C$63:'参数调整'!$D$68,1,1),C3,IF(G3&lt;=INDEX(参数调整!$C$63:'参数调整'!$D$68,2,1),C3*INDEX(参数调整!$C$63:'参数调整'!$D$68,2,2),IF(G3&lt;=INDEX(参数调整!$C$63:'参数调整'!$D$68,3,1),C3*INDEX(参数调整!$C$63:'参数调整'!$D$68,3,2),IF(G3&lt;=INDEX(参数调整!$C$63:'参数调整'!$D$68,4,1),C3*INDEX(参数调整!$C$63:'参数调整'!$D$68,4,2),IF(G3&lt;=INDEX(参数调整!$C$63:'参数调整'!$D$68,5,1),C3*INDEX(参数调整!$C$63:'参数调整'!$D$68,5,2),C3*INDEX(参数调整!$C$63:'参数调整'!$D$68,6,2))))))</f>
        <v>36</v>
      </c>
      <c r="E3" s="107">
        <f>参数调整!I45</f>
        <v>1</v>
      </c>
      <c r="F3" s="107">
        <f>D3*G3*(参数调整!$B$6+1)</f>
        <v>21902.399999999998</v>
      </c>
      <c r="G3" s="108">
        <f>IF(B3-E42&lt;=0,0,B3-E42)</f>
        <v>520</v>
      </c>
      <c r="H3" s="109"/>
      <c r="J3" s="119" t="str">
        <f>第一季度!J3</f>
        <v>S</v>
      </c>
      <c r="K3" s="119">
        <f>第一季度!K3</f>
        <v>113</v>
      </c>
      <c r="L3" s="125" t="str">
        <f>LEFT(K3,1)</f>
        <v>1</v>
      </c>
      <c r="M3" s="125" t="str">
        <f>MID(K3,2,1)</f>
        <v>1</v>
      </c>
      <c r="N3" s="125" t="str">
        <f>MID(K3,3,1)</f>
        <v>3</v>
      </c>
      <c r="O3" s="125" t="str">
        <f>MID(K3,4,1)</f>
        <v/>
      </c>
      <c r="P3" s="125" t="str">
        <f>MID(K3,5,1)</f>
        <v/>
      </c>
      <c r="Q3" s="126">
        <v>4</v>
      </c>
      <c r="R3" s="126"/>
      <c r="S3" s="126"/>
      <c r="T3" s="126"/>
      <c r="U3" s="126">
        <v>48</v>
      </c>
      <c r="V3" s="127">
        <f>ROUND(R3*0.75+S3*0.8+T3*0.85+U3*0.9+Q3,0)</f>
        <v>47</v>
      </c>
      <c r="W3" s="127">
        <f>IF(J3="S",$S$19/$T$19*(参数调整!$G$11+参数调整!$I$11+参数调整!$J$11+参数调整!$K$11)/100+X3*参数调整!$H$11/100*$S$19/($U$19*$J$18),IF(J3="B",$S$20/$T$20*(参数调整!$G$12+参数调整!$I$12+参数调整!$J$12+参数调整!$K$12)/100+X3*参数调整!$H$12/100*$S$20/($U$20*$J$18),IF(J3="Q",$S$21/$T$21*(参数调整!$G$13+参数调整!$I$13+参数调整!$J$13+参数调整!$K$13)/100+X3*参数调整!$H$13/100*$S$21/($U$21*$J$18),$S$22/$T$22*(参数调整!$G$14+参数调整!$I$14+参数调整!$J$14+参数调整!$K$14)/100+X3*参数调整!$H$14/100*$S$22/($U$22*$J$18))))</f>
        <v>112.90114942528734</v>
      </c>
      <c r="X3" s="126">
        <v>18545</v>
      </c>
      <c r="Y3" s="126"/>
      <c r="Z3" s="122">
        <f>IF(J3="S",X3*参数调整!$H$11/($J$18*$U$19),IF(J3="B",X3*参数调整!$H$12/($J$18*$U$20),IF(J3="Q",X3*参数调整!$H$13/($J$18*$U$21),X3*参数调整!$H$14/($J$18*$U$22))))</f>
        <v>11.025564803804993</v>
      </c>
      <c r="AA3" s="122">
        <f>SUMIFS(X3:X14,J3:J14,"S")</f>
        <v>48353</v>
      </c>
      <c r="AF3" s="203" t="s">
        <v>215</v>
      </c>
      <c r="AG3" s="204"/>
      <c r="AH3" s="205"/>
      <c r="AI3" s="128">
        <f>参数调整!B1-参数调整!B2-参数调整!B3</f>
        <v>587000</v>
      </c>
      <c r="AK3" s="208"/>
      <c r="AL3" s="209"/>
      <c r="AM3" s="230"/>
      <c r="AN3" s="208"/>
      <c r="AO3" s="209"/>
      <c r="AP3" s="230"/>
      <c r="AQ3" s="126"/>
      <c r="AR3" s="126"/>
      <c r="AX3" s="129"/>
    </row>
    <row r="4" spans="1:50" ht="21" customHeight="1" x14ac:dyDescent="0.25">
      <c r="A4" s="144" t="str">
        <f>参数调整!A46</f>
        <v>TFT触摸屏</v>
      </c>
      <c r="B4" s="106">
        <f>SUMIF($L$3:$L$14,2,$R$3:$R$14)+SUMIF($L$3:$L$14,2,$S$3:$S$14)+SUMIF($L$3:$L$14,2,$T$3:$T$14)+SUMIF($L$3:$L$14,2,$U$3:$U$14)</f>
        <v>50</v>
      </c>
      <c r="C4" s="107">
        <f>参数调整!B46</f>
        <v>80</v>
      </c>
      <c r="D4" s="107">
        <f>IF(G4&lt;=INDEX(参数调整!$C$63:'参数调整'!$D$68,1,1),C4,IF(G4&lt;=INDEX(参数调整!$C$63:'参数调整'!$D$68,2,1),C4*INDEX(参数调整!$C$63:'参数调整'!$D$68,2,2),IF(G4&lt;=INDEX(参数调整!$C$63:'参数调整'!$D$68,3,1),C4*INDEX(参数调整!$C$63:'参数调整'!$D$68,3,2),IF(G4&lt;=INDEX(参数调整!$C$63:'参数调整'!$D$68,4,1),C4*INDEX(参数调整!$C$63:'参数调整'!$D$68,4,2),IF(G4&lt;=INDEX(参数调整!$C$63:'参数调整'!$D$68,5,1),C4*INDEX(参数调整!$C$63:'参数调整'!$D$68,5,2),C4*INDEX(参数调整!$C$63:'参数调整'!$D$68,6,2))))))</f>
        <v>80</v>
      </c>
      <c r="E4" s="107">
        <f>参数调整!I46</f>
        <v>1</v>
      </c>
      <c r="F4" s="107">
        <f>D4*G4*(参数调整!$B$6+1)</f>
        <v>4680</v>
      </c>
      <c r="G4" s="108">
        <f t="shared" ref="G4:G16" si="0">IF(B4-E43&lt;=0,0,B4-E43)</f>
        <v>50</v>
      </c>
      <c r="H4" s="109"/>
      <c r="J4" s="119" t="str">
        <f>第一季度!J4</f>
        <v>S</v>
      </c>
      <c r="K4" s="119">
        <f>第一季度!K4</f>
        <v>3333</v>
      </c>
      <c r="L4" s="125" t="str">
        <f t="shared" ref="L4:L14" si="1">LEFT(K4,1)</f>
        <v>3</v>
      </c>
      <c r="M4" s="125" t="str">
        <f t="shared" ref="M4:M14" si="2">MID(K4,2,1)</f>
        <v>3</v>
      </c>
      <c r="N4" s="125" t="str">
        <f t="shared" ref="N4:N14" si="3">MID(K4,3,1)</f>
        <v>3</v>
      </c>
      <c r="O4" s="125" t="str">
        <f t="shared" ref="O4:O14" si="4">MID(K4,4,1)</f>
        <v>3</v>
      </c>
      <c r="P4" s="125" t="str">
        <f t="shared" ref="P4:P14" si="5">MID(K4,5,1)</f>
        <v/>
      </c>
      <c r="Q4" s="126"/>
      <c r="R4" s="126"/>
      <c r="S4" s="126"/>
      <c r="T4" s="126"/>
      <c r="U4" s="126">
        <v>60</v>
      </c>
      <c r="V4" s="127">
        <f t="shared" ref="V4:V14" si="6">ROUND(R4*0.75+S4*0.8+T4*0.85+U4*0.9+Q4,0)</f>
        <v>54</v>
      </c>
      <c r="W4" s="127">
        <f>IF(J4="S",$S$19/$T$19*(参数调整!$G$11+参数调整!$I$11+参数调整!$J$11+参数调整!$K$11)/100+X4*参数调整!$H$11/100*$S$19/($U$19*$J$18),IF(J4="B",$S$20/$T$20*(参数调整!$G$12+参数调整!$I$12+参数调整!$J$12+参数调整!$K$12)/100+X4*参数调整!$H$12/100*$S$20/($U$20*$J$18),IF(J4="Q",$S$21/$T$21*(参数调整!$G$13+参数调整!$I$13+参数调整!$J$13+参数调整!$K$13)/100+X4*参数调整!$H$13/100*$S$21/($U$21*$J$18),$S$22/$T$22*(参数调整!$G$14+参数调整!$I$14+参数调整!$J$14+参数调整!$K$14)/100+X4*参数调整!$H$14/100*$S$22/($U$22*$J$18))))</f>
        <v>0.9916666666666667</v>
      </c>
      <c r="X4" s="126"/>
      <c r="Y4" s="126"/>
      <c r="Z4" s="122">
        <f>IF(J4="S",X4*参数调整!$H$11/($J$18*$U$19),IF(J4="B",X4*参数调整!$H$12/($J$18*$U$20),IF(J4="Q",X4*参数调整!$H$13/($J$18*$U$21),X4*参数调整!$H$14/($J$18*$U$22))))</f>
        <v>0</v>
      </c>
      <c r="AA4" s="122">
        <f>SUMIFS(X3:X14,J3:J14,"B")</f>
        <v>6807</v>
      </c>
      <c r="AF4" s="215" t="s">
        <v>216</v>
      </c>
      <c r="AG4" s="147" t="s">
        <v>217</v>
      </c>
      <c r="AH4" s="120">
        <v>1</v>
      </c>
      <c r="AI4" s="119">
        <f>AH4*参数调整!J23</f>
        <v>50000</v>
      </c>
      <c r="AK4" s="231" t="s">
        <v>250</v>
      </c>
      <c r="AL4" s="203" t="s">
        <v>251</v>
      </c>
      <c r="AM4" s="204"/>
      <c r="AN4" s="205"/>
      <c r="AO4" s="147" t="s">
        <v>252</v>
      </c>
      <c r="AP4" s="147" t="s">
        <v>253</v>
      </c>
      <c r="AQ4" s="227" t="s">
        <v>254</v>
      </c>
      <c r="AR4" s="227"/>
      <c r="AX4" s="129"/>
    </row>
    <row r="5" spans="1:50" ht="21" customHeight="1" x14ac:dyDescent="0.25">
      <c r="A5" s="144" t="str">
        <f>参数调整!A47</f>
        <v>OLED显示屏</v>
      </c>
      <c r="B5" s="106">
        <f>SUMIF($L$3:$L$14,3,$R$3:$R$14)+SUMIF($L$3:$L$14,3,$S$3:$S$14)+SUMIF($L$3:$L$14,3,$T$3:$T$14)+SUMIF($L$3:$L$14,3,$U$3:$U$14)</f>
        <v>60</v>
      </c>
      <c r="C5" s="107">
        <f>参数调整!B47</f>
        <v>110</v>
      </c>
      <c r="D5" s="107">
        <f>IF(G5&lt;=INDEX(参数调整!$C$63:'参数调整'!$D$68,1,1),C5,IF(G5&lt;=INDEX(参数调整!$C$63:'参数调整'!$D$68,2,1),C5*INDEX(参数调整!$C$63:'参数调整'!$D$68,2,2),IF(G5&lt;=INDEX(参数调整!$C$63:'参数调整'!$D$68,3,1),C5*INDEX(参数调整!$C$63:'参数调整'!$D$68,3,2),IF(G5&lt;=INDEX(参数调整!$C$63:'参数调整'!$D$68,4,1),C5*INDEX(参数调整!$C$63:'参数调整'!$D$68,4,2),IF(G5&lt;=INDEX(参数调整!$C$63:'参数调整'!$D$68,5,1),C5*INDEX(参数调整!$C$63:'参数调整'!$D$68,5,2),C5*INDEX(参数调整!$C$63:'参数调整'!$D$68,6,2))))))</f>
        <v>110</v>
      </c>
      <c r="E5" s="107">
        <f>参数调整!I47</f>
        <v>1</v>
      </c>
      <c r="F5" s="107">
        <f>D5*G5*(参数调整!$B$6+1)</f>
        <v>0</v>
      </c>
      <c r="G5" s="108">
        <f t="shared" si="0"/>
        <v>0</v>
      </c>
      <c r="H5" s="110">
        <v>60</v>
      </c>
      <c r="J5" s="119" t="str">
        <f>第一季度!J5</f>
        <v>S</v>
      </c>
      <c r="K5" s="119">
        <f>第一季度!K5</f>
        <v>13334</v>
      </c>
      <c r="L5" s="125" t="str">
        <f t="shared" si="1"/>
        <v>1</v>
      </c>
      <c r="M5" s="125" t="str">
        <f t="shared" si="2"/>
        <v>3</v>
      </c>
      <c r="N5" s="125" t="str">
        <f t="shared" si="3"/>
        <v>3</v>
      </c>
      <c r="O5" s="125" t="str">
        <f t="shared" si="4"/>
        <v>3</v>
      </c>
      <c r="P5" s="125" t="str">
        <f t="shared" si="5"/>
        <v>4</v>
      </c>
      <c r="Q5" s="126"/>
      <c r="R5" s="126"/>
      <c r="S5" s="126"/>
      <c r="T5" s="126"/>
      <c r="U5" s="126">
        <v>60</v>
      </c>
      <c r="V5" s="127">
        <f t="shared" si="6"/>
        <v>54</v>
      </c>
      <c r="W5" s="127">
        <f>IF(J5="S",$S$19/$T$19*(参数调整!$G$11+参数调整!$I$11+参数调整!$J$11+参数调整!$K$11)/100+X5*参数调整!$H$11/100*$S$19/($U$19*$J$18),IF(J5="B",$S$20/$T$20*(参数调整!$G$12+参数调整!$I$12+参数调整!$J$12+参数调整!$K$12)/100+X5*参数调整!$H$12/100*$S$20/($U$20*$J$18),IF(J5="Q",$S$21/$T$21*(参数调整!$G$13+参数调整!$I$13+参数调整!$J$13+参数调整!$K$13)/100+X5*参数调整!$H$13/100*$S$21/($U$21*$J$18),$S$22/$T$22*(参数调整!$G$14+参数调整!$I$14+参数调整!$J$14+参数调整!$K$14)/100+X5*参数调整!$H$14/100*$S$22/($U$22*$J$18))))</f>
        <v>180.86752873563219</v>
      </c>
      <c r="X5" s="126">
        <v>29808</v>
      </c>
      <c r="Y5" s="126"/>
      <c r="Z5" s="122">
        <f>IF(J5="S",X5*参数调整!$H$11/($J$18*$U$19),IF(J5="B",X5*参数调整!$H$12/($J$18*$U$20),IF(J5="Q",X5*参数调整!$H$13/($J$18*$U$21),X5*参数调整!$H$14/($J$18*$U$22))))</f>
        <v>17.721759809750296</v>
      </c>
      <c r="AA5" s="122">
        <f>SUMIFS(X3:X14,J3:J14,"Q")</f>
        <v>0</v>
      </c>
      <c r="AF5" s="216"/>
      <c r="AG5" s="147" t="s">
        <v>218</v>
      </c>
      <c r="AH5" s="120"/>
      <c r="AI5" s="119">
        <f>AH5*参数调整!H23</f>
        <v>0</v>
      </c>
      <c r="AK5" s="232"/>
      <c r="AL5" s="215" t="s">
        <v>255</v>
      </c>
      <c r="AM5" s="215" t="s">
        <v>219</v>
      </c>
      <c r="AN5" s="147" t="s">
        <v>167</v>
      </c>
      <c r="AO5" s="122">
        <f>SUM(R3:R14)</f>
        <v>0</v>
      </c>
      <c r="AP5" s="147">
        <f>AO5*参数调整!I$32</f>
        <v>0</v>
      </c>
      <c r="AQ5" s="228">
        <f>AP2+AQ36*(1-参数调整!B23)+AR36*(1-参数调整!B24)</f>
        <v>0</v>
      </c>
      <c r="AR5" s="228"/>
      <c r="AX5" s="129"/>
    </row>
    <row r="6" spans="1:50" ht="21" customHeight="1" x14ac:dyDescent="0.25">
      <c r="A6" s="144" t="str">
        <f>参数调整!A48</f>
        <v>塑胶</v>
      </c>
      <c r="B6" s="111">
        <f>SUMIF($M$3:$M$14,1,$R$3:$R$14)+SUMIF($M$3:$M$14,1,$S$3:$S$14)+SUMIF($M$3:$M$14,1,$T$3:$T$14)+SUMIF($M$3:$M$14,1,$U$3:$U$14)</f>
        <v>268</v>
      </c>
      <c r="C6" s="107">
        <f>参数调整!B48</f>
        <v>10</v>
      </c>
      <c r="D6" s="107">
        <f>IF(G6&lt;=INDEX(参数调整!$C$63:'参数调整'!$D$68,1,1),C6,IF(G6&lt;=INDEX(参数调整!$C$63:'参数调整'!$D$68,2,1),C6*INDEX(参数调整!$C$63:'参数调整'!$D$68,2,2),IF(G6&lt;=INDEX(参数调整!$C$63:'参数调整'!$D$68,3,1),C6*INDEX(参数调整!$C$63:'参数调整'!$D$68,3,2),IF(G6&lt;=INDEX(参数调整!$C$63:'参数调整'!$D$68,4,1),C6*INDEX(参数调整!$C$63:'参数调整'!$D$68,4,2),IF(G6&lt;=INDEX(参数调整!$C$63:'参数调整'!$D$68,5,1),C6*INDEX(参数调整!$C$63:'参数调整'!$D$68,5,2),C6*INDEX(参数调整!$C$63:'参数调整'!$D$68,6,2))))))</f>
        <v>9.5</v>
      </c>
      <c r="E6" s="107">
        <f>参数调整!I48</f>
        <v>0</v>
      </c>
      <c r="F6" s="107">
        <f>D6*G6*(参数调整!$B$6+1)</f>
        <v>2978.8199999999997</v>
      </c>
      <c r="G6" s="112">
        <f t="shared" si="0"/>
        <v>268</v>
      </c>
      <c r="H6" s="109"/>
      <c r="J6" s="119" t="str">
        <f>第一季度!J6</f>
        <v>B</v>
      </c>
      <c r="K6" s="119">
        <f>第一季度!K6</f>
        <v>1111</v>
      </c>
      <c r="L6" s="125" t="str">
        <f t="shared" si="1"/>
        <v>1</v>
      </c>
      <c r="M6" s="125" t="str">
        <f t="shared" si="2"/>
        <v>1</v>
      </c>
      <c r="N6" s="125" t="str">
        <f t="shared" si="3"/>
        <v>1</v>
      </c>
      <c r="O6" s="125" t="str">
        <f t="shared" si="4"/>
        <v>1</v>
      </c>
      <c r="P6" s="125" t="str">
        <f t="shared" si="5"/>
        <v/>
      </c>
      <c r="Q6" s="126">
        <v>5</v>
      </c>
      <c r="R6" s="126"/>
      <c r="S6" s="126"/>
      <c r="T6" s="126"/>
      <c r="U6" s="126">
        <v>84</v>
      </c>
      <c r="V6" s="127">
        <f t="shared" si="6"/>
        <v>81</v>
      </c>
      <c r="W6" s="127">
        <f>IF(J6="S",$S$19/$T$19*(参数调整!$G$11+参数调整!$I$11+参数调整!$J$11+参数调整!$K$11)/100+X6*参数调整!$H$11/100*$S$19/($U$19*$J$18),IF(J6="B",$S$20/$T$20*(参数调整!$G$12+参数调整!$I$12+参数调整!$J$12+参数调整!$K$12)/100+X6*参数调整!$H$12/100*$S$20/($U$20*$J$18),IF(J6="Q",$S$21/$T$21*(参数调整!$G$13+参数调整!$I$13+参数调整!$J$13+参数调整!$K$13)/100+X6*参数调整!$H$13/100*$S$21/($U$21*$J$18),$S$22/$T$22*(参数调整!$G$14+参数调整!$I$14+参数调整!$J$14+参数调整!$K$14)/100+X6*参数调整!$H$14/100*$S$22/($U$22*$J$18))))</f>
        <v>57.733004926108372</v>
      </c>
      <c r="X6" s="126">
        <v>6807</v>
      </c>
      <c r="Y6" s="126"/>
      <c r="Z6" s="122">
        <f>IF(J6="S",X6*参数调整!$H$11/($J$18*$U$19),IF(J6="B",X6*参数调整!$H$12/($J$18*$U$20),IF(J6="Q",X6*参数调整!$H$13/($J$18*$U$21),X6*参数调整!$H$14/($J$18*$U$22))))</f>
        <v>5.7813827076609474</v>
      </c>
      <c r="AA6" s="122">
        <f>SUMIFS(X3:X14,J3:J14,"L")</f>
        <v>2151</v>
      </c>
      <c r="AF6" s="217"/>
      <c r="AG6" s="147" t="s">
        <v>220</v>
      </c>
      <c r="AH6" s="120"/>
      <c r="AI6" s="119">
        <f>AH6*参数调整!F23</f>
        <v>0</v>
      </c>
      <c r="AK6" s="232"/>
      <c r="AL6" s="216"/>
      <c r="AM6" s="216"/>
      <c r="AN6" s="147" t="s">
        <v>256</v>
      </c>
      <c r="AO6" s="122">
        <f>SUM(U3:U14)</f>
        <v>630</v>
      </c>
      <c r="AP6" s="147">
        <f>AO6*参数调整!F32</f>
        <v>6300</v>
      </c>
      <c r="AQ6" s="228"/>
      <c r="AR6" s="228"/>
      <c r="AX6" s="129"/>
    </row>
    <row r="7" spans="1:50" ht="21" customHeight="1" x14ac:dyDescent="0.25">
      <c r="A7" s="144" t="str">
        <f>参数调整!A49</f>
        <v>金属</v>
      </c>
      <c r="B7" s="111">
        <f>SUMIF($M$3:$M$14,2,$R$3:$R$14)+SUMIF($M$3:$M$14,2,$S$3:$S$14)+SUMIF($M$3:$M$14,2,$T$3:$T$14)+SUMIF($M$3:$M$14,2,$U$3:$U$14)</f>
        <v>242</v>
      </c>
      <c r="C7" s="107">
        <f>参数调整!B49</f>
        <v>20</v>
      </c>
      <c r="D7" s="107">
        <f>IF(G7&lt;=INDEX(参数调整!$C$63:'参数调整'!$D$68,1,1),C7,IF(G7&lt;=INDEX(参数调整!$C$63:'参数调整'!$D$68,2,1),C7*INDEX(参数调整!$C$63:'参数调整'!$D$68,2,2),IF(G7&lt;=INDEX(参数调整!$C$63:'参数调整'!$D$68,3,1),C7*INDEX(参数调整!$C$63:'参数调整'!$D$68,3,2),IF(G7&lt;=INDEX(参数调整!$C$63:'参数调整'!$D$68,4,1),C7*INDEX(参数调整!$C$63:'参数调整'!$D$68,4,2),IF(G7&lt;=INDEX(参数调整!$C$63:'参数调整'!$D$68,5,1),C7*INDEX(参数调整!$C$63:'参数调整'!$D$68,5,2),C7*INDEX(参数调整!$C$63:'参数调整'!$D$68,6,2))))))</f>
        <v>19</v>
      </c>
      <c r="E7" s="107">
        <f>参数调整!I49</f>
        <v>1</v>
      </c>
      <c r="F7" s="107">
        <f>D7*G7*(参数调整!$B$6+1)</f>
        <v>5379.66</v>
      </c>
      <c r="G7" s="112">
        <f t="shared" si="0"/>
        <v>242</v>
      </c>
      <c r="H7" s="109"/>
      <c r="J7" s="119" t="str">
        <f>第一季度!J7</f>
        <v>Q</v>
      </c>
      <c r="K7" s="119">
        <f>第一季度!K7</f>
        <v>212</v>
      </c>
      <c r="L7" s="125" t="str">
        <f t="shared" si="1"/>
        <v>2</v>
      </c>
      <c r="M7" s="125" t="str">
        <f t="shared" si="2"/>
        <v>1</v>
      </c>
      <c r="N7" s="125" t="str">
        <f t="shared" si="3"/>
        <v>2</v>
      </c>
      <c r="O7" s="125" t="str">
        <f t="shared" si="4"/>
        <v/>
      </c>
      <c r="P7" s="125" t="str">
        <f t="shared" si="5"/>
        <v/>
      </c>
      <c r="Q7" s="126"/>
      <c r="R7" s="126"/>
      <c r="S7" s="126"/>
      <c r="T7" s="126"/>
      <c r="U7" s="126">
        <v>50</v>
      </c>
      <c r="V7" s="127">
        <f t="shared" si="6"/>
        <v>45</v>
      </c>
      <c r="W7" s="127">
        <f>IF(J7="S",$S$19/$T$19*(参数调整!$G$11+参数调整!$I$11+参数调整!$J$11+参数调整!$K$11)/100+X7*参数调整!$H$11/100*$S$19/($U$19*$J$18),IF(J7="B",$S$20/$T$20*(参数调整!$G$12+参数调整!$I$12+参数调整!$J$12+参数调整!$K$12)/100+X7*参数调整!$H$12/100*$S$20/($U$20*$J$18),IF(J7="Q",$S$21/$T$21*(参数调整!$G$13+参数调整!$I$13+参数调整!$J$13+参数调整!$K$13)/100+X7*参数调整!$H$13/100*$S$21/($U$21*$J$18),$S$22/$T$22*(参数调整!$G$14+参数调整!$I$14+参数调整!$J$14+参数调整!$K$14)/100+X7*参数调整!$H$14/100*$S$22/($U$22*$J$18))))</f>
        <v>0.85</v>
      </c>
      <c r="X7" s="126"/>
      <c r="Y7" s="126"/>
      <c r="Z7" s="122">
        <f>IF(J7="S",X7*参数调整!$H$11/($J$18*$U$19),IF(J7="B",X7*参数调整!$H$12/($J$18*$U$20),IF(J7="Q",X7*参数调整!$H$13/($J$18*$U$21),X7*参数调整!$H$14/($J$18*$U$22))))</f>
        <v>0</v>
      </c>
      <c r="AF7" s="215" t="s">
        <v>257</v>
      </c>
      <c r="AG7" s="147" t="s">
        <v>221</v>
      </c>
      <c r="AH7" s="120">
        <v>1</v>
      </c>
      <c r="AI7" s="212"/>
      <c r="AJ7"/>
      <c r="AK7" s="232"/>
      <c r="AL7" s="216"/>
      <c r="AM7" s="216"/>
      <c r="AN7" s="147" t="s">
        <v>166</v>
      </c>
      <c r="AO7" s="122">
        <f>SUM(S3:S14)</f>
        <v>0</v>
      </c>
      <c r="AP7" s="147">
        <f>AO7*参数调整!H32</f>
        <v>0</v>
      </c>
      <c r="AQ7" s="129"/>
      <c r="AR7" s="129"/>
      <c r="AX7" s="129"/>
    </row>
    <row r="8" spans="1:50" ht="21" customHeight="1" x14ac:dyDescent="0.25">
      <c r="A8" s="144" t="str">
        <f>参数调整!A50</f>
        <v>皮革</v>
      </c>
      <c r="B8" s="111">
        <f>SUMIF($M$3:$M$14,3,$R$3:$R$14)+SUMIF($M$3:$M$14,3,$S$3:$S$14)+SUMIF($M$3:$M$14,3,$T$3:$T$14)+SUMIF($M$3:$M$14,3,$U$3:$U$14)</f>
        <v>120</v>
      </c>
      <c r="C8" s="107">
        <f>参数调整!B50</f>
        <v>35</v>
      </c>
      <c r="D8" s="107">
        <f>IF(G8&lt;=INDEX(参数调整!$C$63:'参数调整'!$D$68,1,1),C8,IF(G8&lt;=INDEX(参数调整!$C$63:'参数调整'!$D$68,2,1),C8*INDEX(参数调整!$C$63:'参数调整'!$D$68,2,2),IF(G8&lt;=INDEX(参数调整!$C$63:'参数调整'!$D$68,3,1),C8*INDEX(参数调整!$C$63:'参数调整'!$D$68,3,2),IF(G8&lt;=INDEX(参数调整!$C$63:'参数调整'!$D$68,4,1),C8*INDEX(参数调整!$C$63:'参数调整'!$D$68,4,2),IF(G8&lt;=INDEX(参数调整!$C$63:'参数调整'!$D$68,5,1),C8*INDEX(参数调整!$C$63:'参数调整'!$D$68,5,2),C8*INDEX(参数调整!$C$63:'参数调整'!$D$68,6,2))))))</f>
        <v>35</v>
      </c>
      <c r="E8" s="107">
        <f>参数调整!I50</f>
        <v>1</v>
      </c>
      <c r="F8" s="107">
        <f>D8*G8*(参数调整!$B$6+1)</f>
        <v>4914</v>
      </c>
      <c r="G8" s="112">
        <f t="shared" si="0"/>
        <v>120</v>
      </c>
      <c r="H8" s="109"/>
      <c r="J8" s="119" t="str">
        <f>第一季度!J8</f>
        <v>L</v>
      </c>
      <c r="K8" s="119">
        <f>第一季度!K8</f>
        <v>121</v>
      </c>
      <c r="L8" s="125" t="str">
        <f t="shared" si="1"/>
        <v>1</v>
      </c>
      <c r="M8" s="125" t="str">
        <f t="shared" si="2"/>
        <v>2</v>
      </c>
      <c r="N8" s="125" t="str">
        <f t="shared" si="3"/>
        <v>1</v>
      </c>
      <c r="O8" s="125" t="str">
        <f t="shared" si="4"/>
        <v/>
      </c>
      <c r="P8" s="125" t="str">
        <f t="shared" si="5"/>
        <v/>
      </c>
      <c r="Q8" s="126"/>
      <c r="R8" s="126"/>
      <c r="S8" s="126"/>
      <c r="T8" s="126"/>
      <c r="U8" s="126">
        <v>84</v>
      </c>
      <c r="V8" s="127">
        <f t="shared" si="6"/>
        <v>76</v>
      </c>
      <c r="W8" s="127">
        <f>IF(J8="S",$S$19/$T$19*(参数调整!$G$11+参数调整!$I$11+参数调整!$J$11+参数调整!$K$11)/100+X8*参数调整!$H$11/100*$S$19/($U$19*$J$18),IF(J8="B",$S$20/$T$20*(参数调整!$G$12+参数调整!$I$12+参数调整!$J$12+参数调整!$K$12)/100+X8*参数调整!$H$12/100*$S$20/($U$20*$J$18),IF(J8="Q",$S$21/$T$21*(参数调整!$G$13+参数调整!$I$13+参数调整!$J$13+参数调整!$K$13)/100+X8*参数调整!$H$13/100*$S$21/($U$21*$J$18),$S$22/$T$22*(参数调整!$G$14+参数调整!$I$14+参数调整!$J$14+参数调整!$K$14)/100+X8*参数调整!$H$14/100*$S$22/($U$22*$J$18))))</f>
        <v>0.85499999999999998</v>
      </c>
      <c r="X8" s="126"/>
      <c r="Y8" s="126"/>
      <c r="Z8" s="122">
        <f>IF(J8="S",X8*参数调整!$H$11/($J$18*$U$19),IF(J8="B",X8*参数调整!$H$12/($J$18*$U$20),IF(J8="Q",X8*参数调整!$H$13/($J$18*$U$21),X8*参数调整!$H$14/($J$18*$U$22))))</f>
        <v>0</v>
      </c>
      <c r="AF8" s="216"/>
      <c r="AG8" s="147" t="s">
        <v>222</v>
      </c>
      <c r="AH8" s="120"/>
      <c r="AI8" s="213"/>
      <c r="AJ8"/>
      <c r="AK8" s="232"/>
      <c r="AL8" s="216"/>
      <c r="AM8" s="217"/>
      <c r="AN8" s="147" t="s">
        <v>258</v>
      </c>
      <c r="AO8" s="122">
        <f>SUM(T3:T14)</f>
        <v>0</v>
      </c>
      <c r="AP8" s="147">
        <f>AO8*参数调整!G32</f>
        <v>0</v>
      </c>
      <c r="AQ8" s="129"/>
      <c r="AR8" s="129"/>
      <c r="AX8" s="129"/>
    </row>
    <row r="9" spans="1:50" ht="21" customHeight="1" x14ac:dyDescent="0.25">
      <c r="A9" s="144" t="str">
        <f>参数调整!A51</f>
        <v>7天以下</v>
      </c>
      <c r="B9" s="113">
        <f>SUMIF($N$3:$N$14,1,$R$3:$R$14)+SUMIF($N$3:$N$14,1,$S$3:$S$14)+SUMIF($N$3:$N$14,1,$T$3:$T$14)+SUMIF($N$3:$N$14,1,$U$3:$U$14)</f>
        <v>254</v>
      </c>
      <c r="C9" s="107">
        <f>参数调整!B51</f>
        <v>50</v>
      </c>
      <c r="D9" s="107">
        <f>IF(G9&lt;=INDEX(参数调整!$C$63:'参数调整'!$D$68,1,1),C9,IF(G9&lt;=INDEX(参数调整!$C$63:'参数调整'!$D$68,2,1),C9*INDEX(参数调整!$C$63:'参数调整'!$D$68,2,2),IF(G9&lt;=INDEX(参数调整!$C$63:'参数调整'!$D$68,3,1),C9*INDEX(参数调整!$C$63:'参数调整'!$D$68,3,2),IF(G9&lt;=INDEX(参数调整!$C$63:'参数调整'!$D$68,4,1),C9*INDEX(参数调整!$C$63:'参数调整'!$D$68,4,2),IF(G9&lt;=INDEX(参数调整!$C$63:'参数调整'!$D$68,5,1),C9*INDEX(参数调整!$C$63:'参数调整'!$D$68,5,2),C9*INDEX(参数调整!$C$63:'参数调整'!$D$68,6,2))))))</f>
        <v>47.5</v>
      </c>
      <c r="E9" s="107">
        <f>参数调整!I51</f>
        <v>0</v>
      </c>
      <c r="F9" s="107">
        <f>D9*G9*(参数调整!$B$6+1)</f>
        <v>14116.05</v>
      </c>
      <c r="G9" s="114">
        <f t="shared" si="0"/>
        <v>254</v>
      </c>
      <c r="H9" s="109"/>
      <c r="J9" s="119" t="str">
        <f>第一季度!J9</f>
        <v>L</v>
      </c>
      <c r="K9" s="119">
        <f>第一季度!K9</f>
        <v>122</v>
      </c>
      <c r="L9" s="125" t="str">
        <f t="shared" si="1"/>
        <v>1</v>
      </c>
      <c r="M9" s="125" t="str">
        <f t="shared" si="2"/>
        <v>2</v>
      </c>
      <c r="N9" s="125" t="str">
        <f t="shared" si="3"/>
        <v>2</v>
      </c>
      <c r="O9" s="125" t="str">
        <f t="shared" si="4"/>
        <v/>
      </c>
      <c r="P9" s="125" t="str">
        <f t="shared" si="5"/>
        <v/>
      </c>
      <c r="Q9" s="126"/>
      <c r="R9" s="126"/>
      <c r="S9" s="126"/>
      <c r="T9" s="126"/>
      <c r="U9" s="126">
        <v>158</v>
      </c>
      <c r="V9" s="127">
        <f t="shared" si="6"/>
        <v>142</v>
      </c>
      <c r="W9" s="127">
        <f>IF(J9="S",$S$19/$T$19*(参数调整!$G$11+参数调整!$I$11+参数调整!$J$11+参数调整!$K$11)/100+X9*参数调整!$H$11/100*$S$19/($U$19*$J$18),IF(J9="B",$S$20/$T$20*(参数调整!$G$12+参数调整!$I$12+参数调整!$J$12+参数调整!$K$12)/100+X9*参数调整!$H$12/100*$S$20/($U$20*$J$18),IF(J9="Q",$S$21/$T$21*(参数调整!$G$13+参数调整!$I$13+参数调整!$J$13+参数调整!$K$13)/100+X9*参数调整!$H$13/100*$S$21/($U$21*$J$18),$S$22/$T$22*(参数调整!$G$14+参数调整!$I$14+参数调整!$J$14+参数调整!$K$14)/100+X9*参数调整!$H$14/100*$S$22/($U$22*$J$18))))</f>
        <v>4.5636206896551723</v>
      </c>
      <c r="X9" s="126">
        <v>2151</v>
      </c>
      <c r="Y9" s="126"/>
      <c r="Z9" s="122">
        <f>IF(J9="S",X9*参数调整!$H$11/($J$18*$U$19),IF(J9="B",X9*参数调整!$H$12/($J$18*$U$20),IF(J9="Q",X9*参数调整!$H$13/($J$18*$U$21),X9*参数调整!$H$14/($J$18*$U$22))))</f>
        <v>0.28418549346016647</v>
      </c>
      <c r="AF9" s="217"/>
      <c r="AG9" s="147" t="s">
        <v>223</v>
      </c>
      <c r="AH9" s="120"/>
      <c r="AI9" s="214"/>
      <c r="AJ9"/>
      <c r="AK9" s="232"/>
      <c r="AL9" s="216"/>
      <c r="AM9" s="215" t="s">
        <v>224</v>
      </c>
      <c r="AN9" s="147" t="s">
        <v>225</v>
      </c>
      <c r="AO9" s="122">
        <f>AH7</f>
        <v>1</v>
      </c>
      <c r="AP9" s="147">
        <f>AO9*参数调整!J24</f>
        <v>5000</v>
      </c>
      <c r="AQ9" s="129"/>
      <c r="AR9" s="129"/>
      <c r="AX9" s="129"/>
    </row>
    <row r="10" spans="1:50" ht="21" customHeight="1" x14ac:dyDescent="0.25">
      <c r="A10" s="144" t="str">
        <f>参数调整!A52</f>
        <v>15天</v>
      </c>
      <c r="B10" s="113">
        <f>SUMIF($N$3:$N$14,2,$R$3:$R$14)+SUMIF($N$3:$N$14,2,$S$3:$S$14)+SUMIF($N$3:$N$14,2,$T$3:$T$14)+SUMIF($N$3:$N$14,2,$U$3:$U$14)</f>
        <v>208</v>
      </c>
      <c r="C10" s="107">
        <f>参数调整!B52</f>
        <v>80</v>
      </c>
      <c r="D10" s="107">
        <f>IF(G10&lt;=INDEX(参数调整!$C$63:'参数调整'!$D$68,1,1),C10,IF(G10&lt;=INDEX(参数调整!$C$63:'参数调整'!$D$68,2,1),C10*INDEX(参数调整!$C$63:'参数调整'!$D$68,2,2),IF(G10&lt;=INDEX(参数调整!$C$63:'参数调整'!$D$68,3,1),C10*INDEX(参数调整!$C$63:'参数调整'!$D$68,3,2),IF(G10&lt;=INDEX(参数调整!$C$63:'参数调整'!$D$68,4,1),C10*INDEX(参数调整!$C$63:'参数调整'!$D$68,4,2),IF(G10&lt;=INDEX(参数调整!$C$63:'参数调整'!$D$68,5,1),C10*INDEX(参数调整!$C$63:'参数调整'!$D$68,5,2),C10*INDEX(参数调整!$C$63:'参数调整'!$D$68,6,2))))))</f>
        <v>76</v>
      </c>
      <c r="E10" s="107">
        <f>参数调整!I52</f>
        <v>1</v>
      </c>
      <c r="F10" s="107">
        <f>D10*G10*(参数调整!$B$6+1)</f>
        <v>18495.36</v>
      </c>
      <c r="G10" s="114">
        <f t="shared" si="0"/>
        <v>208</v>
      </c>
      <c r="H10" s="109"/>
      <c r="J10" s="119" t="str">
        <f>第一季度!J10</f>
        <v>L</v>
      </c>
      <c r="K10" s="119">
        <f>第一季度!K10</f>
        <v>111</v>
      </c>
      <c r="L10" s="125" t="str">
        <f t="shared" si="1"/>
        <v>1</v>
      </c>
      <c r="M10" s="125" t="str">
        <f t="shared" si="2"/>
        <v>1</v>
      </c>
      <c r="N10" s="125" t="str">
        <f>MID(K10,3,1)</f>
        <v>1</v>
      </c>
      <c r="O10" s="125" t="str">
        <f t="shared" si="4"/>
        <v/>
      </c>
      <c r="P10" s="125" t="str">
        <f t="shared" si="5"/>
        <v/>
      </c>
      <c r="Q10" s="126"/>
      <c r="R10" s="126"/>
      <c r="S10" s="126"/>
      <c r="T10" s="126"/>
      <c r="U10" s="126">
        <v>86</v>
      </c>
      <c r="V10" s="127">
        <f t="shared" si="6"/>
        <v>77</v>
      </c>
      <c r="W10" s="127">
        <f>IF(J10="S",$S$19/$T$19*(参数调整!$G$11+参数调整!$I$11+参数调整!$J$11+参数调整!$K$11)/100+X10*参数调整!$H$11/100*$S$19/($U$19*$J$18),IF(J10="B",$S$20/$T$20*(参数调整!$G$12+参数调整!$I$12+参数调整!$J$12+参数调整!$K$12)/100+X10*参数调整!$H$12/100*$S$20/($U$20*$J$18),IF(J10="Q",$S$21/$T$21*(参数调整!$G$13+参数调整!$I$13+参数调整!$J$13+参数调整!$K$13)/100+X10*参数调整!$H$13/100*$S$21/($U$21*$J$18),$S$22/$T$22*(参数调整!$G$14+参数调整!$I$14+参数调整!$J$14+参数调整!$K$14)/100+X10*参数调整!$H$14/100*$S$22/($U$22*$J$18))))</f>
        <v>0.85499999999999998</v>
      </c>
      <c r="X10" s="126"/>
      <c r="Y10" s="126"/>
      <c r="Z10" s="122">
        <f>IF(J10="S",X10*参数调整!$H$11/($J$18*$U$19),IF(J10="B",X10*参数调整!$H$12/($J$18*$U$20),IF(J10="Q",X10*参数调整!$H$13/($J$18*$U$21),X10*参数调整!$H$14/($J$18*$U$22))))</f>
        <v>0</v>
      </c>
      <c r="AA10" s="132" t="s">
        <v>259</v>
      </c>
      <c r="AF10" s="215" t="s">
        <v>226</v>
      </c>
      <c r="AG10" s="147" t="s">
        <v>112</v>
      </c>
      <c r="AH10" s="120">
        <v>2</v>
      </c>
      <c r="AI10" s="119">
        <f>AH10*参数调整!I29</f>
        <v>100000</v>
      </c>
      <c r="AK10" s="232"/>
      <c r="AL10" s="216"/>
      <c r="AM10" s="216"/>
      <c r="AN10" s="147" t="s">
        <v>227</v>
      </c>
      <c r="AO10" s="122">
        <f t="shared" ref="AO10:AO12" si="7">AH8</f>
        <v>0</v>
      </c>
      <c r="AP10" s="147">
        <f>AO10*参数调整!H24</f>
        <v>0</v>
      </c>
      <c r="AQ10" s="129"/>
      <c r="AR10" s="129"/>
      <c r="AX10" s="129"/>
    </row>
    <row r="11" spans="1:50" ht="21" customHeight="1" x14ac:dyDescent="0.25">
      <c r="A11" s="144" t="str">
        <f>参数调整!A53</f>
        <v>30天</v>
      </c>
      <c r="B11" s="113">
        <f>SUMIF($N$3:$N$14,3,$R$3:$R$14)+SUMIF($N$3:$N$14,3,$S$3:$S$14)+SUMIF($N$3:$N$14,3,$T$3:$T$14)+SUMIF($N$3:$N$14,3,$U$3:$U$14)</f>
        <v>168</v>
      </c>
      <c r="C11" s="107">
        <f>参数调整!B53</f>
        <v>110</v>
      </c>
      <c r="D11" s="107">
        <f>IF(G11&lt;=INDEX(参数调整!$C$63:'参数调整'!$D$68,1,1),C11,IF(G11&lt;=INDEX(参数调整!$C$63:'参数调整'!$D$68,2,1),C11*INDEX(参数调整!$C$63:'参数调整'!$D$68,2,2),IF(G11&lt;=INDEX(参数调整!$C$63:'参数调整'!$D$68,3,1),C11*INDEX(参数调整!$C$63:'参数调整'!$D$68,3,2),IF(G11&lt;=INDEX(参数调整!$C$63:'参数调整'!$D$68,4,1),C11*INDEX(参数调整!$C$63:'参数调整'!$D$68,4,2),IF(G11&lt;=INDEX(参数调整!$C$63:'参数调整'!$D$68,5,1),C11*INDEX(参数调整!$C$63:'参数调整'!$D$68,5,2),C11*INDEX(参数调整!$C$63:'参数调整'!$D$68,6,2))))))</f>
        <v>110</v>
      </c>
      <c r="E11" s="107">
        <f>参数调整!I53</f>
        <v>0</v>
      </c>
      <c r="F11" s="107">
        <f>D11*G11*(参数调整!$B$6+1)</f>
        <v>21621.599999999999</v>
      </c>
      <c r="G11" s="114">
        <f t="shared" si="0"/>
        <v>168</v>
      </c>
      <c r="H11" s="109"/>
      <c r="J11" s="119">
        <f>第一季度!J11</f>
        <v>0</v>
      </c>
      <c r="K11" s="119">
        <f>第一季度!K11</f>
        <v>0</v>
      </c>
      <c r="L11" s="125" t="str">
        <f t="shared" si="1"/>
        <v>0</v>
      </c>
      <c r="M11" s="125" t="str">
        <f t="shared" si="2"/>
        <v/>
      </c>
      <c r="N11" s="125" t="str">
        <f t="shared" si="3"/>
        <v/>
      </c>
      <c r="O11" s="125" t="str">
        <f t="shared" si="4"/>
        <v/>
      </c>
      <c r="P11" s="125" t="str">
        <f t="shared" si="5"/>
        <v/>
      </c>
      <c r="Q11" s="126"/>
      <c r="R11" s="126"/>
      <c r="S11" s="126"/>
      <c r="T11" s="126"/>
      <c r="U11" s="126"/>
      <c r="V11" s="127">
        <f t="shared" si="6"/>
        <v>0</v>
      </c>
      <c r="W11" s="127">
        <f>IF(J11="S",$S$19/$T$19*(参数调整!$G$11+参数调整!$I$11+参数调整!$J$11+参数调整!$K$11)/100+X11*参数调整!$H$11/100*$S$19/($U$19*$J$18),IF(J11="B",$S$20/$T$20*(参数调整!$G$12+参数调整!$I$12+参数调整!$J$12+参数调整!$K$12)/100+X11*参数调整!$H$12/100*$S$20/($U$20*$J$18),IF(J11="Q",$S$21/$T$21*(参数调整!$G$13+参数调整!$I$13+参数调整!$J$13+参数调整!$K$13)/100+X11*参数调整!$H$13/100*$S$21/($U$21*$J$18),$S$22/$T$22*(参数调整!$G$14+参数调整!$I$14+参数调整!$J$14+参数调整!$K$14)/100+X11*参数调整!$H$14/100*$S$22/($U$22*$J$18))))</f>
        <v>0.85499999999999998</v>
      </c>
      <c r="X11" s="126"/>
      <c r="Y11" s="126"/>
      <c r="Z11" s="122">
        <f>IF(J11="S",X11*参数调整!$H$11/($J$18*$U$19),IF(J11="B",X11*参数调整!$H$12/($J$18*$U$20),IF(J11="Q",X11*参数调整!$H$13/($J$18*$U$21),X11*参数调整!$H$14/($J$18*$U$22))))</f>
        <v>0</v>
      </c>
      <c r="AA11" s="133">
        <f>AI31</f>
        <v>-160127.46999999997</v>
      </c>
      <c r="AF11" s="216"/>
      <c r="AG11" s="147" t="s">
        <v>110</v>
      </c>
      <c r="AH11" s="120"/>
      <c r="AI11" s="119">
        <f>AH11*参数调整!H29</f>
        <v>0</v>
      </c>
      <c r="AK11" s="232"/>
      <c r="AL11" s="216"/>
      <c r="AM11" s="217"/>
      <c r="AN11" s="147" t="s">
        <v>228</v>
      </c>
      <c r="AO11" s="122">
        <f t="shared" si="7"/>
        <v>0</v>
      </c>
      <c r="AP11" s="147">
        <f>AO11*参数调整!F24</f>
        <v>0</v>
      </c>
      <c r="AQ11" s="129"/>
      <c r="AR11" s="129"/>
      <c r="AX11" s="129"/>
    </row>
    <row r="12" spans="1:50" ht="21" customHeight="1" x14ac:dyDescent="0.25">
      <c r="A12" s="144" t="str">
        <f>参数调整!A54</f>
        <v>30天以上</v>
      </c>
      <c r="B12" s="113">
        <f>SUMIF($N$3:$N$14,4,$R$3:$R$14)+SUMIF($N$3:$N$14,4,$S$3:$S$14)+SUMIF($N$3:$N$14,4,$T$3:$T$14)+SUMIF($N$3:$N$14,4,$U$3:$U$14)</f>
        <v>0</v>
      </c>
      <c r="C12" s="107">
        <f>参数调整!B54</f>
        <v>160</v>
      </c>
      <c r="D12" s="107">
        <f>IF(G12&lt;=INDEX(参数调整!$C$63:'参数调整'!$D$68,1,1),C12,IF(G12&lt;=INDEX(参数调整!$C$63:'参数调整'!$D$68,2,1),C12*INDEX(参数调整!$C$63:'参数调整'!$D$68,2,2),IF(G12&lt;=INDEX(参数调整!$C$63:'参数调整'!$D$68,3,1),C12*INDEX(参数调整!$C$63:'参数调整'!$D$68,3,2),IF(G12&lt;=INDEX(参数调整!$C$63:'参数调整'!$D$68,4,1),C12*INDEX(参数调整!$C$63:'参数调整'!$D$68,4,2),IF(G12&lt;=INDEX(参数调整!$C$63:'参数调整'!$D$68,5,1),C12*INDEX(参数调整!$C$63:'参数调整'!$D$68,5,2),C12*INDEX(参数调整!$C$63:'参数调整'!$D$68,6,2))))))</f>
        <v>160</v>
      </c>
      <c r="E12" s="107">
        <f>参数调整!I54</f>
        <v>1</v>
      </c>
      <c r="F12" s="107">
        <f>D12*G12*(参数调整!$B$6+1)</f>
        <v>0</v>
      </c>
      <c r="G12" s="114">
        <f t="shared" si="0"/>
        <v>0</v>
      </c>
      <c r="H12" s="109"/>
      <c r="J12" s="119">
        <f>第一季度!J12</f>
        <v>0</v>
      </c>
      <c r="K12" s="119">
        <f>第一季度!K12</f>
        <v>0</v>
      </c>
      <c r="L12" s="125" t="str">
        <f t="shared" si="1"/>
        <v>0</v>
      </c>
      <c r="M12" s="125" t="str">
        <f t="shared" si="2"/>
        <v/>
      </c>
      <c r="N12" s="125" t="str">
        <f t="shared" si="3"/>
        <v/>
      </c>
      <c r="O12" s="125" t="str">
        <f t="shared" si="4"/>
        <v/>
      </c>
      <c r="P12" s="125" t="str">
        <f t="shared" si="5"/>
        <v/>
      </c>
      <c r="Q12" s="126"/>
      <c r="R12" s="126"/>
      <c r="S12" s="126"/>
      <c r="T12" s="126"/>
      <c r="U12" s="126"/>
      <c r="V12" s="127">
        <f t="shared" si="6"/>
        <v>0</v>
      </c>
      <c r="W12" s="127">
        <f>IF(J12="S",$S$19/$T$19*(参数调整!$G$11+参数调整!$I$11+参数调整!$J$11+参数调整!$K$11)/100+X12*参数调整!$H$11/100*$S$19/($U$19*$J$18),IF(J12="B",$S$20/$T$20*(参数调整!$G$12+参数调整!$I$12+参数调整!$J$12+参数调整!$K$12)/100+X12*参数调整!$H$12/100*$S$20/($U$20*$J$18),IF(J12="Q",$S$21/$T$21*(参数调整!$G$13+参数调整!$I$13+参数调整!$J$13+参数调整!$K$13)/100+X12*参数调整!$H$13/100*$S$21/($U$21*$J$18),$S$22/$T$22*(参数调整!$G$14+参数调整!$I$14+参数调整!$J$14+参数调整!$K$14)/100+X12*参数调整!$H$14/100*$S$22/($U$22*$J$18))))</f>
        <v>0.85499999999999998</v>
      </c>
      <c r="X12" s="126"/>
      <c r="Y12" s="126"/>
      <c r="Z12" s="122">
        <f>IF(J12="S",X12*参数调整!$H$11/($J$18*$U$19),IF(J12="B",X12*参数调整!$H$12/($J$18*$U$20),IF(J12="Q",X12*参数调整!$H$13/($J$18*$U$21),X12*参数调整!$H$14/($J$18*$U$22))))</f>
        <v>0</v>
      </c>
      <c r="AF12" s="216"/>
      <c r="AG12" s="147" t="s">
        <v>229</v>
      </c>
      <c r="AH12" s="120"/>
      <c r="AI12" s="119">
        <f>AH12*参数调整!G29</f>
        <v>0</v>
      </c>
      <c r="AK12" s="232"/>
      <c r="AL12" s="216"/>
      <c r="AM12" s="218" t="s">
        <v>260</v>
      </c>
      <c r="AN12" s="219"/>
      <c r="AO12" s="122">
        <f t="shared" si="7"/>
        <v>2</v>
      </c>
      <c r="AP12" s="105">
        <f>AO12*参数调整!J18*(1+参数调整!B12+参数调整!B13+参数调整!B14+参数调整!B15+参数调整!B16)</f>
        <v>9691.1999999999989</v>
      </c>
      <c r="AQ12" s="129"/>
      <c r="AR12" s="129"/>
      <c r="AX12" s="129"/>
    </row>
    <row r="13" spans="1:50" ht="21" customHeight="1" x14ac:dyDescent="0.25">
      <c r="A13" s="144" t="str">
        <f>参数调整!A55</f>
        <v>有氧锻炼</v>
      </c>
      <c r="B13" s="115">
        <f>SUMIF($O$3:$O$14,1,$R$3:$R$14)+SUMIF($O$3:$O$14,1,$S$3:$S$14)+SUMIF($O$3:$O$14,1,$T$3:$T$14)+SUMIF($O$3:$O$14,1,$U$3:$U$14)</f>
        <v>84</v>
      </c>
      <c r="C13" s="107">
        <f>参数调整!B55</f>
        <v>50</v>
      </c>
      <c r="D13" s="107">
        <f>IF(G13&lt;=INDEX(参数调整!$C$63:'参数调整'!$D$68,1,1),C13,IF(G13&lt;=INDEX(参数调整!$C$63:'参数调整'!$D$68,2,1),C13*INDEX(参数调整!$C$63:'参数调整'!$D$68,2,2),IF(G13&lt;=INDEX(参数调整!$C$63:'参数调整'!$D$68,3,1),C13*INDEX(参数调整!$C$63:'参数调整'!$D$68,3,2),IF(G13&lt;=INDEX(参数调整!$C$63:'参数调整'!$D$68,4,1),C13*INDEX(参数调整!$C$63:'参数调整'!$D$68,4,2),IF(G13&lt;=INDEX(参数调整!$C$63:'参数调整'!$D$68,5,1),C13*INDEX(参数调整!$C$63:'参数调整'!$D$68,5,2),C13*INDEX(参数调整!$C$63:'参数调整'!$D$68,6,2))))))</f>
        <v>50</v>
      </c>
      <c r="E13" s="107">
        <f>参数调整!I55</f>
        <v>1</v>
      </c>
      <c r="F13" s="107">
        <f>D13*G13*(参数调整!$B$6+1)</f>
        <v>0</v>
      </c>
      <c r="G13" s="149">
        <f t="shared" si="0"/>
        <v>0</v>
      </c>
      <c r="H13" s="110">
        <v>120</v>
      </c>
      <c r="J13" s="119">
        <f>第一季度!J13</f>
        <v>0</v>
      </c>
      <c r="K13" s="119">
        <f>第一季度!K13</f>
        <v>0</v>
      </c>
      <c r="L13" s="125" t="str">
        <f t="shared" si="1"/>
        <v>0</v>
      </c>
      <c r="M13" s="125" t="str">
        <f t="shared" si="2"/>
        <v/>
      </c>
      <c r="N13" s="125" t="str">
        <f t="shared" si="3"/>
        <v/>
      </c>
      <c r="O13" s="125" t="str">
        <f t="shared" si="4"/>
        <v/>
      </c>
      <c r="P13" s="125" t="str">
        <f t="shared" si="5"/>
        <v/>
      </c>
      <c r="Q13" s="126"/>
      <c r="R13" s="126"/>
      <c r="S13" s="126"/>
      <c r="T13" s="126"/>
      <c r="U13" s="126"/>
      <c r="V13" s="127">
        <f t="shared" si="6"/>
        <v>0</v>
      </c>
      <c r="W13" s="127">
        <f>IF(J13="S",$S$19/$T$19*(参数调整!$G$11+参数调整!$I$11+参数调整!$J$11+参数调整!$K$11)/100+X13*参数调整!$H$11/100*$S$19/($U$19*$J$18),IF(J13="B",$S$20/$T$20*(参数调整!$G$12+参数调整!$I$12+参数调整!$J$12+参数调整!$K$12)/100+X13*参数调整!$H$12/100*$S$20/($U$20*$J$18),IF(J13="Q",$S$21/$T$21*(参数调整!$G$13+参数调整!$I$13+参数调整!$J$13+参数调整!$K$13)/100+X13*参数调整!$H$13/100*$S$21/($U$21*$J$18),$S$22/$T$22*(参数调整!$G$14+参数调整!$I$14+参数调整!$J$14+参数调整!$K$14)/100+X13*参数调整!$H$14/100*$S$22/($U$22*$J$18))))</f>
        <v>0.85499999999999998</v>
      </c>
      <c r="X13" s="126"/>
      <c r="Y13" s="126"/>
      <c r="Z13" s="122">
        <f>IF(J13="S",X13*参数调整!$H$11/($J$18*$U$19),IF(J13="B",X13*参数调整!$H$12/($J$18*$U$20),IF(J13="Q",X13*参数调整!$H$13/($J$18*$U$21),X13*参数调整!$H$14/($J$18*$U$22))))</f>
        <v>0</v>
      </c>
      <c r="AF13" s="217"/>
      <c r="AG13" s="147" t="s">
        <v>261</v>
      </c>
      <c r="AH13" s="120">
        <v>2</v>
      </c>
      <c r="AI13" s="119">
        <f>AH13*参数调整!F29</f>
        <v>240000</v>
      </c>
      <c r="AK13" s="232"/>
      <c r="AL13" s="216"/>
      <c r="AM13" s="215" t="s">
        <v>230</v>
      </c>
      <c r="AN13" s="147" t="s">
        <v>167</v>
      </c>
      <c r="AO13" s="126">
        <v>2</v>
      </c>
      <c r="AP13" s="134">
        <f>AO13*参数调整!I33</f>
        <v>3000</v>
      </c>
      <c r="AQ13" s="129"/>
      <c r="AR13" s="129"/>
      <c r="AX13" s="129"/>
    </row>
    <row r="14" spans="1:50" ht="21" customHeight="1" x14ac:dyDescent="0.25">
      <c r="A14" s="144" t="str">
        <f>参数调整!A56</f>
        <v>心率测试</v>
      </c>
      <c r="B14" s="115">
        <f>SUMIF($O$3:$O$14,2,$R$3:$R$14)+SUMIF($O$3:$O$14,2,$S$3:$S$14)+SUMIF($O$3:$O$14,2,$T$3:$T$14)+SUMIF($O$3:$O$14,2,$U$3:$U$14)</f>
        <v>0</v>
      </c>
      <c r="C14" s="107">
        <f>参数调整!B56</f>
        <v>50</v>
      </c>
      <c r="D14" s="107">
        <f>IF(G14&lt;=INDEX(参数调整!$C$63:'参数调整'!$D$68,1,1),C14,IF(G14&lt;=INDEX(参数调整!$C$63:'参数调整'!$D$68,2,1),C14*INDEX(参数调整!$C$63:'参数调整'!$D$68,2,2),IF(G14&lt;=INDEX(参数调整!$C$63:'参数调整'!$D$68,3,1),C14*INDEX(参数调整!$C$63:'参数调整'!$D$68,3,2),IF(G14&lt;=INDEX(参数调整!$C$63:'参数调整'!$D$68,4,1),C14*INDEX(参数调整!$C$63:'参数调整'!$D$68,4,2),IF(G14&lt;=INDEX(参数调整!$C$63:'参数调整'!$D$68,5,1),C14*INDEX(参数调整!$C$63:'参数调整'!$D$68,5,2),C14*INDEX(参数调整!$C$63:'参数调整'!$D$68,6,2))))))</f>
        <v>50</v>
      </c>
      <c r="E14" s="107">
        <f>参数调整!I56</f>
        <v>1</v>
      </c>
      <c r="F14" s="107">
        <f>D14*G14*(参数调整!$B$6+1)</f>
        <v>0</v>
      </c>
      <c r="G14" s="149">
        <f t="shared" si="0"/>
        <v>0</v>
      </c>
      <c r="H14" s="110"/>
      <c r="J14" s="119">
        <f>第一季度!J14</f>
        <v>0</v>
      </c>
      <c r="K14" s="119">
        <f>第一季度!K14</f>
        <v>0</v>
      </c>
      <c r="L14" s="125" t="str">
        <f t="shared" si="1"/>
        <v>0</v>
      </c>
      <c r="M14" s="125" t="str">
        <f t="shared" si="2"/>
        <v/>
      </c>
      <c r="N14" s="125" t="str">
        <f t="shared" si="3"/>
        <v/>
      </c>
      <c r="O14" s="125" t="str">
        <f t="shared" si="4"/>
        <v/>
      </c>
      <c r="P14" s="125" t="str">
        <f t="shared" si="5"/>
        <v/>
      </c>
      <c r="Q14" s="126"/>
      <c r="R14" s="126"/>
      <c r="S14" s="126"/>
      <c r="T14" s="126"/>
      <c r="U14" s="126"/>
      <c r="V14" s="127">
        <f t="shared" si="6"/>
        <v>0</v>
      </c>
      <c r="W14" s="127">
        <f>IF(J14="S",$S$19/$T$19*(参数调整!$G$11+参数调整!$I$11+参数调整!$J$11+参数调整!$K$11)/100+X14*参数调整!$H$11/100*$S$19/($U$19*$J$18),IF(J14="B",$S$20/$T$20*(参数调整!$G$12+参数调整!$I$12+参数调整!$J$12+参数调整!$K$12)/100+X14*参数调整!$H$12/100*$S$20/($U$20*$J$18),IF(J14="Q",$S$21/$T$21*(参数调整!$G$13+参数调整!$I$13+参数调整!$J$13+参数调整!$K$13)/100+X14*参数调整!$H$13/100*$S$21/($U$21*$J$18),$S$22/$T$22*(参数调整!$G$14+参数调整!$I$14+参数调整!$J$14+参数调整!$K$14)/100+X14*参数调整!$H$14/100*$S$22/($U$22*$J$18))))</f>
        <v>0.85499999999999998</v>
      </c>
      <c r="X14" s="126"/>
      <c r="Y14" s="126"/>
      <c r="Z14" s="122">
        <f>IF(J14="S",X14*参数调整!$H$11/($J$18*$U$19),IF(J14="B",X14*参数调整!$H$12/($J$18*$U$20),IF(J14="Q",X14*参数调整!$H$13/($J$18*$U$21),X14*参数调整!$H$14/($J$18*$U$22))))</f>
        <v>0</v>
      </c>
      <c r="AF14" s="203" t="s">
        <v>231</v>
      </c>
      <c r="AG14" s="205"/>
      <c r="AH14" s="120">
        <v>4</v>
      </c>
      <c r="AI14" s="119">
        <f>AH14*参数调整!B31</f>
        <v>120000</v>
      </c>
      <c r="AK14" s="232"/>
      <c r="AL14" s="216"/>
      <c r="AM14" s="216"/>
      <c r="AN14" s="147" t="s">
        <v>256</v>
      </c>
      <c r="AO14" s="126"/>
      <c r="AP14" s="134">
        <f>AO14*参数调整!H33</f>
        <v>0</v>
      </c>
      <c r="AQ14" s="129"/>
      <c r="AR14" s="129"/>
      <c r="AX14" s="129"/>
    </row>
    <row r="15" spans="1:50" ht="21" customHeight="1" x14ac:dyDescent="0.25">
      <c r="A15" s="144" t="str">
        <f>参数调整!A57</f>
        <v>GPS定位</v>
      </c>
      <c r="B15" s="115">
        <f>SUMIF($O$3:$O$14,3,$R$3:$R$14)+SUMIF($O$3:$O$14,3,$S$3:$S$14)+SUMIF($O$3:$O$14,3,$T$3:$T$14)+SUMIF($O$3:$O$14,3,$U$3:$U$14)</f>
        <v>120</v>
      </c>
      <c r="C15" s="107">
        <f>参数调整!B57</f>
        <v>80</v>
      </c>
      <c r="D15" s="107">
        <f>IF(G15&lt;=INDEX(参数调整!$C$63:'参数调整'!$D$68,1,1),C15,IF(G15&lt;=INDEX(参数调整!$C$63:'参数调整'!$D$68,2,1),C15*INDEX(参数调整!$C$63:'参数调整'!$D$68,2,2),IF(G15&lt;=INDEX(参数调整!$C$63:'参数调整'!$D$68,3,1),C15*INDEX(参数调整!$C$63:'参数调整'!$D$68,3,2),IF(G15&lt;=INDEX(参数调整!$C$63:'参数调整'!$D$68,4,1),C15*INDEX(参数调整!$C$63:'参数调整'!$D$68,4,2),IF(G15&lt;=INDEX(参数调整!$C$63:'参数调整'!$D$68,5,1),C15*INDEX(参数调整!$C$63:'参数调整'!$D$68,5,2),C15*INDEX(参数调整!$C$63:'参数调整'!$D$68,6,2))))))</f>
        <v>80</v>
      </c>
      <c r="E15" s="107">
        <f>参数调整!I57</f>
        <v>1</v>
      </c>
      <c r="F15" s="107">
        <f>D15*G15*(参数调整!$B$6+1)</f>
        <v>0</v>
      </c>
      <c r="G15" s="149">
        <f t="shared" si="0"/>
        <v>0</v>
      </c>
      <c r="H15" s="110">
        <v>60</v>
      </c>
      <c r="R15" s="122">
        <f>SUM(R3:R14)</f>
        <v>0</v>
      </c>
      <c r="S15" s="122">
        <f>SUM(S3:S14)</f>
        <v>0</v>
      </c>
      <c r="T15" s="122">
        <f t="shared" ref="T15:U15" si="8">SUM(T3:T14)</f>
        <v>0</v>
      </c>
      <c r="U15" s="122">
        <f t="shared" si="8"/>
        <v>630</v>
      </c>
      <c r="AF15" s="203" t="s">
        <v>232</v>
      </c>
      <c r="AG15" s="205"/>
      <c r="AH15" s="120">
        <v>2</v>
      </c>
      <c r="AI15" s="119">
        <f>AH15*参数调整!B32</f>
        <v>40000</v>
      </c>
      <c r="AK15" s="232"/>
      <c r="AL15" s="216"/>
      <c r="AM15" s="216"/>
      <c r="AN15" s="147" t="s">
        <v>166</v>
      </c>
      <c r="AO15" s="126"/>
      <c r="AP15" s="134">
        <f>AO15*参数调整!F33</f>
        <v>0</v>
      </c>
      <c r="AQ15" s="129"/>
      <c r="AR15" s="129"/>
    </row>
    <row r="16" spans="1:50" ht="21" customHeight="1" x14ac:dyDescent="0.25">
      <c r="A16" s="144" t="str">
        <f>参数调整!A58</f>
        <v>支付功能</v>
      </c>
      <c r="B16" s="115">
        <f>SUMIF($O$3:$O$14,4,$R$3:$R$14)+SUMIF($O$3:$O$14,4,$S$3:$S$14)+SUMIF($O$3:$O$14,4,$T$3:$T$14)+SUMIF($O$3:$O$14,4,$U$3:$U$14)</f>
        <v>0</v>
      </c>
      <c r="C16" s="107">
        <f>参数调整!B58</f>
        <v>90</v>
      </c>
      <c r="D16" s="107">
        <f>IF(G16&lt;=INDEX(参数调整!$C$63:'参数调整'!$D$68,1,1),C16,IF(G16&lt;=INDEX(参数调整!$C$63:'参数调整'!$D$68,2,1),C16*INDEX(参数调整!$C$63:'参数调整'!$D$68,2,2),IF(G16&lt;=INDEX(参数调整!$C$63:'参数调整'!$D$68,3,1),C16*INDEX(参数调整!$C$63:'参数调整'!$D$68,3,2),IF(G16&lt;=INDEX(参数调整!$C$63:'参数调整'!$D$68,4,1),C16*INDEX(参数调整!$C$63:'参数调整'!$D$68,4,2),IF(G16&lt;=INDEX(参数调整!$C$63:'参数调整'!$D$68,5,1),C16*INDEX(参数调整!$C$63:'参数调整'!$D$68,5,2),C16*INDEX(参数调整!$C$63:'参数调整'!$D$68,6,2))))))</f>
        <v>90</v>
      </c>
      <c r="E16" s="107">
        <f>参数调整!I58</f>
        <v>1</v>
      </c>
      <c r="F16" s="107">
        <f>D16*G16*(参数调整!$B$6+1)</f>
        <v>0</v>
      </c>
      <c r="G16" s="149">
        <f t="shared" si="0"/>
        <v>0</v>
      </c>
      <c r="H16" s="110">
        <v>60</v>
      </c>
      <c r="AF16" s="215" t="s">
        <v>233</v>
      </c>
      <c r="AG16" s="147" t="s">
        <v>262</v>
      </c>
      <c r="AH16" s="120">
        <v>1</v>
      </c>
      <c r="AI16" s="119">
        <f>AH16*参数调整!F3</f>
        <v>20000</v>
      </c>
      <c r="AK16" s="232"/>
      <c r="AL16" s="217"/>
      <c r="AM16" s="217"/>
      <c r="AN16" s="147" t="s">
        <v>258</v>
      </c>
      <c r="AO16" s="126"/>
      <c r="AP16" s="134">
        <f>AO16*参数调整!G33</f>
        <v>0</v>
      </c>
      <c r="AQ16" s="129"/>
      <c r="AR16" s="129"/>
    </row>
    <row r="17" spans="1:44" ht="13.8" customHeight="1" x14ac:dyDescent="0.25">
      <c r="J17" s="226" t="s">
        <v>263</v>
      </c>
      <c r="K17" s="226"/>
      <c r="AF17" s="216"/>
      <c r="AG17" s="147" t="s">
        <v>264</v>
      </c>
      <c r="AH17" s="120">
        <v>1</v>
      </c>
      <c r="AI17" s="119">
        <f>AH17*参数调整!F4</f>
        <v>20000</v>
      </c>
      <c r="AJ17"/>
      <c r="AK17" s="232"/>
      <c r="AL17" s="203" t="s">
        <v>265</v>
      </c>
      <c r="AM17" s="204"/>
      <c r="AN17" s="205"/>
      <c r="AO17" s="122">
        <v>1</v>
      </c>
      <c r="AP17" s="147">
        <f>AO17*参数调整!B11*(1+参数调整!B12+参数调整!B13+参数调整!B14+参数调整!B15+参数调整!B16)</f>
        <v>13459.999999999998</v>
      </c>
      <c r="AQ17" s="129"/>
      <c r="AR17" s="129"/>
    </row>
    <row r="18" spans="1:44" ht="13.8" customHeight="1" x14ac:dyDescent="0.25">
      <c r="A18" s="200" t="s">
        <v>206</v>
      </c>
      <c r="B18" s="201"/>
      <c r="G18" s="116">
        <f>SUMIF(E3:E16,0,F3:F16)</f>
        <v>38716.47</v>
      </c>
      <c r="J18" s="241">
        <v>29</v>
      </c>
      <c r="K18" s="242"/>
      <c r="R18" s="119" t="s">
        <v>266</v>
      </c>
      <c r="S18" s="119" t="s">
        <v>267</v>
      </c>
      <c r="T18" s="118" t="s">
        <v>309</v>
      </c>
      <c r="U18" s="118" t="s">
        <v>310</v>
      </c>
      <c r="V18" s="118" t="s">
        <v>208</v>
      </c>
      <c r="W18" s="119" t="s">
        <v>312</v>
      </c>
      <c r="AF18" s="216"/>
      <c r="AG18" s="147" t="s">
        <v>271</v>
      </c>
      <c r="AH18" s="120">
        <v>1</v>
      </c>
      <c r="AI18" s="119">
        <f>AH18*参数调整!F5</f>
        <v>20000</v>
      </c>
      <c r="AJ18" s="136"/>
      <c r="AK18" s="232"/>
      <c r="AL18" s="206" t="s">
        <v>272</v>
      </c>
      <c r="AM18" s="207"/>
      <c r="AN18" s="147" t="s">
        <v>273</v>
      </c>
      <c r="AO18" s="122">
        <f>AH24</f>
        <v>2</v>
      </c>
      <c r="AP18" s="137">
        <f>AO18*参数调整!B10</f>
        <v>2000</v>
      </c>
      <c r="AQ18" s="129"/>
      <c r="AR18" s="129"/>
    </row>
    <row r="19" spans="1:44" ht="13.8" customHeight="1" x14ac:dyDescent="0.25">
      <c r="J19" s="241"/>
      <c r="K19" s="242"/>
      <c r="N19"/>
      <c r="R19" s="119" t="s">
        <v>196</v>
      </c>
      <c r="S19" s="126">
        <f>S24</f>
        <v>1015</v>
      </c>
      <c r="T19" s="126">
        <f>T24</f>
        <v>870</v>
      </c>
      <c r="U19" s="126">
        <f>U24</f>
        <v>870</v>
      </c>
      <c r="V19" s="126"/>
      <c r="W19" s="122"/>
      <c r="AF19" s="216"/>
      <c r="AG19" s="147" t="s">
        <v>274</v>
      </c>
      <c r="AH19" s="120">
        <v>1</v>
      </c>
      <c r="AI19" s="119">
        <f>AH19*参数调整!F6</f>
        <v>20000</v>
      </c>
      <c r="AJ19"/>
      <c r="AK19" s="232"/>
      <c r="AL19" s="208"/>
      <c r="AM19" s="209"/>
      <c r="AN19" s="147" t="s">
        <v>275</v>
      </c>
      <c r="AO19" s="122">
        <f>AH25</f>
        <v>1</v>
      </c>
      <c r="AP19" s="147">
        <f>AO19*参数调整!B10</f>
        <v>1000</v>
      </c>
      <c r="AQ19" s="129"/>
      <c r="AR19" s="129"/>
    </row>
    <row r="20" spans="1:44" ht="13.8" customHeight="1" x14ac:dyDescent="0.25">
      <c r="A20" s="148"/>
      <c r="B20" s="118" t="s">
        <v>207</v>
      </c>
      <c r="C20" s="119"/>
      <c r="D20" s="119"/>
      <c r="E20" s="119"/>
      <c r="F20" s="119"/>
      <c r="G20" s="119" t="s">
        <v>208</v>
      </c>
      <c r="H20"/>
      <c r="J20" s="241"/>
      <c r="K20" s="242"/>
      <c r="N20"/>
      <c r="R20" s="119" t="s">
        <v>197</v>
      </c>
      <c r="S20" s="126">
        <f t="shared" ref="S20:U22" si="9">S25</f>
        <v>986</v>
      </c>
      <c r="T20" s="126">
        <f t="shared" si="9"/>
        <v>1015</v>
      </c>
      <c r="U20" s="126">
        <f t="shared" si="9"/>
        <v>1015</v>
      </c>
      <c r="V20" s="126"/>
      <c r="W20" s="122"/>
      <c r="AF20" s="216"/>
      <c r="AG20" s="147" t="s">
        <v>276</v>
      </c>
      <c r="AH20" s="120">
        <v>1</v>
      </c>
      <c r="AI20" s="119">
        <f>AH20*参数调整!F7</f>
        <v>20000</v>
      </c>
      <c r="AJ20"/>
      <c r="AK20" s="232"/>
      <c r="AL20" s="206" t="s">
        <v>277</v>
      </c>
      <c r="AM20" s="207"/>
      <c r="AN20" s="147" t="s">
        <v>167</v>
      </c>
      <c r="AO20" s="126"/>
      <c r="AP20" s="147">
        <f>AO20*参数调整!I29</f>
        <v>0</v>
      </c>
      <c r="AQ20" s="129"/>
      <c r="AR20" s="129"/>
    </row>
    <row r="21" spans="1:44" ht="13.8" customHeight="1" x14ac:dyDescent="0.25">
      <c r="A21" s="119" t="s">
        <v>196</v>
      </c>
      <c r="B21" s="120"/>
      <c r="C21"/>
      <c r="D21"/>
      <c r="E21"/>
      <c r="F21"/>
      <c r="G21" s="119" t="e">
        <f>AA3*参数调整!H11/($J$18*B21)</f>
        <v>#DIV/0!</v>
      </c>
      <c r="H21" s="121"/>
      <c r="J21" s="226" t="s">
        <v>278</v>
      </c>
      <c r="K21" s="244"/>
      <c r="N21"/>
      <c r="R21" s="119" t="s">
        <v>198</v>
      </c>
      <c r="S21" s="126">
        <f t="shared" si="9"/>
        <v>1160</v>
      </c>
      <c r="T21" s="126">
        <f t="shared" si="9"/>
        <v>1160</v>
      </c>
      <c r="U21" s="126">
        <f t="shared" si="9"/>
        <v>1160</v>
      </c>
      <c r="V21" s="126"/>
      <c r="W21" s="122"/>
      <c r="AF21" s="217"/>
      <c r="AG21" s="147" t="s">
        <v>279</v>
      </c>
      <c r="AH21" s="120"/>
      <c r="AI21" s="119">
        <f>AH21*参数调整!F8</f>
        <v>0</v>
      </c>
      <c r="AJ21"/>
      <c r="AK21" s="232"/>
      <c r="AL21" s="220"/>
      <c r="AM21" s="243"/>
      <c r="AN21" s="147" t="s">
        <v>256</v>
      </c>
      <c r="AO21" s="126"/>
      <c r="AP21" s="147">
        <f>AO21*参数调整!F29</f>
        <v>0</v>
      </c>
      <c r="AQ21" s="129"/>
      <c r="AR21" s="129"/>
    </row>
    <row r="22" spans="1:44" ht="13.8" customHeight="1" x14ac:dyDescent="0.25">
      <c r="A22" s="119" t="s">
        <v>197</v>
      </c>
      <c r="B22" s="120"/>
      <c r="C22"/>
      <c r="D22"/>
      <c r="E22"/>
      <c r="F22"/>
      <c r="G22" s="119" t="e">
        <f>AA4*参数调整!H12/($J$18*B22)</f>
        <v>#DIV/0!</v>
      </c>
      <c r="H22" s="121"/>
      <c r="J22" s="241">
        <v>29</v>
      </c>
      <c r="K22" s="242"/>
      <c r="N22"/>
      <c r="R22" s="119" t="s">
        <v>199</v>
      </c>
      <c r="S22" s="126">
        <f t="shared" si="9"/>
        <v>1305</v>
      </c>
      <c r="T22" s="126">
        <f t="shared" si="9"/>
        <v>1450</v>
      </c>
      <c r="U22" s="126">
        <f t="shared" si="9"/>
        <v>1305</v>
      </c>
      <c r="V22" s="126"/>
      <c r="W22" s="122"/>
      <c r="AF22" s="203" t="s">
        <v>280</v>
      </c>
      <c r="AG22" s="205"/>
      <c r="AH22" s="120"/>
      <c r="AI22" s="119">
        <f>AH22*参数调整!C40</f>
        <v>0</v>
      </c>
      <c r="AK22" s="232"/>
      <c r="AL22" s="220"/>
      <c r="AM22" s="243"/>
      <c r="AN22" s="147" t="s">
        <v>166</v>
      </c>
      <c r="AO22" s="126"/>
      <c r="AP22" s="147">
        <f>AO22*参数调整!H29</f>
        <v>0</v>
      </c>
      <c r="AQ22" s="129"/>
      <c r="AR22" s="129"/>
    </row>
    <row r="23" spans="1:44" ht="13.8" customHeight="1" x14ac:dyDescent="0.25">
      <c r="A23" s="119" t="s">
        <v>198</v>
      </c>
      <c r="B23" s="120"/>
      <c r="C23"/>
      <c r="D23"/>
      <c r="E23"/>
      <c r="F23"/>
      <c r="G23" s="119" t="e">
        <f>AA5*参数调整!H13/($J$18*B23)</f>
        <v>#DIV/0!</v>
      </c>
      <c r="H23" s="121"/>
      <c r="J23" s="241"/>
      <c r="K23" s="242"/>
      <c r="R23" s="139" t="s">
        <v>281</v>
      </c>
      <c r="S23" s="253" t="s">
        <v>311</v>
      </c>
      <c r="T23" s="254"/>
      <c r="U23" s="255"/>
      <c r="V23" s="138" t="s">
        <v>313</v>
      </c>
      <c r="W23"/>
      <c r="AF23" s="203" t="s">
        <v>282</v>
      </c>
      <c r="AG23" s="205"/>
      <c r="AH23" s="120"/>
      <c r="AI23" s="119">
        <f>AH23*参数调整!C41</f>
        <v>0</v>
      </c>
      <c r="AK23" s="232"/>
      <c r="AL23" s="208"/>
      <c r="AM23" s="209"/>
      <c r="AN23" s="147" t="s">
        <v>258</v>
      </c>
      <c r="AO23" s="126"/>
      <c r="AP23" s="147">
        <f>AO23*参数调整!G29</f>
        <v>0</v>
      </c>
      <c r="AQ23" s="129"/>
      <c r="AR23" s="129"/>
    </row>
    <row r="24" spans="1:44" ht="13.8" customHeight="1" x14ac:dyDescent="0.25">
      <c r="A24" s="119" t="s">
        <v>199</v>
      </c>
      <c r="B24" s="120"/>
      <c r="C24"/>
      <c r="D24"/>
      <c r="E24"/>
      <c r="F24"/>
      <c r="G24" s="119" t="e">
        <f>AA6*参数调整!H14/($J$18*B24)</f>
        <v>#DIV/0!</v>
      </c>
      <c r="H24" s="121"/>
      <c r="J24" s="241"/>
      <c r="K24" s="242"/>
      <c r="R24" s="1">
        <f>J22-J18</f>
        <v>0</v>
      </c>
      <c r="S24" s="119">
        <f>J22*35</f>
        <v>1015</v>
      </c>
      <c r="T24" s="119">
        <f>J22*30</f>
        <v>870</v>
      </c>
      <c r="U24" s="119">
        <f>J22*30</f>
        <v>870</v>
      </c>
      <c r="V24" s="138">
        <v>10823.875723338631</v>
      </c>
      <c r="AF24" s="203" t="s">
        <v>234</v>
      </c>
      <c r="AG24" s="205"/>
      <c r="AH24" s="120">
        <v>2</v>
      </c>
      <c r="AI24" s="119">
        <f>AH24*参数调整!F18</f>
        <v>600</v>
      </c>
      <c r="AK24" s="232"/>
      <c r="AL24" s="206" t="s">
        <v>283</v>
      </c>
      <c r="AM24" s="207"/>
      <c r="AN24" s="147" t="s">
        <v>284</v>
      </c>
      <c r="AO24" s="126"/>
      <c r="AP24" s="147">
        <f>AO24*参数调整!F23</f>
        <v>0</v>
      </c>
      <c r="AQ24" s="129"/>
      <c r="AR24" s="129"/>
    </row>
    <row r="25" spans="1:44" ht="13.8" customHeight="1" x14ac:dyDescent="0.25">
      <c r="S25" s="119">
        <f>J22*34</f>
        <v>986</v>
      </c>
      <c r="T25" s="119">
        <f>J22*35</f>
        <v>1015</v>
      </c>
      <c r="U25" s="119">
        <f>J22*35</f>
        <v>1015</v>
      </c>
      <c r="V25" s="138">
        <v>17176.477630863857</v>
      </c>
      <c r="AF25" s="203" t="s">
        <v>235</v>
      </c>
      <c r="AG25" s="205"/>
      <c r="AH25" s="120">
        <v>1</v>
      </c>
      <c r="AI25" s="119">
        <f>AH25*参数调整!F17</f>
        <v>500</v>
      </c>
      <c r="AK25" s="232"/>
      <c r="AL25" s="220"/>
      <c r="AM25" s="243"/>
      <c r="AN25" s="147" t="s">
        <v>285</v>
      </c>
      <c r="AO25" s="126"/>
      <c r="AP25" s="147">
        <f>AO25*参数调整!H23</f>
        <v>0</v>
      </c>
      <c r="AQ25" s="129"/>
      <c r="AR25" s="129"/>
    </row>
    <row r="26" spans="1:44" ht="13.8" customHeight="1" x14ac:dyDescent="0.25">
      <c r="S26" s="119">
        <f>J22*40</f>
        <v>1160</v>
      </c>
      <c r="T26" s="119">
        <f>J22*40</f>
        <v>1160</v>
      </c>
      <c r="U26" s="119">
        <f>J22*40</f>
        <v>1160</v>
      </c>
      <c r="V26" s="138">
        <v>6589.5861792214282</v>
      </c>
      <c r="AF26" s="203" t="s">
        <v>236</v>
      </c>
      <c r="AG26" s="204"/>
      <c r="AH26" s="205"/>
      <c r="AI26" s="119">
        <f>SUM(AA3:AA6)</f>
        <v>57311</v>
      </c>
      <c r="AK26" s="232"/>
      <c r="AL26" s="208"/>
      <c r="AM26" s="209"/>
      <c r="AN26" s="147" t="s">
        <v>286</v>
      </c>
      <c r="AO26" s="126"/>
      <c r="AP26" s="147">
        <f>AO26*参数调整!J23</f>
        <v>0</v>
      </c>
      <c r="AQ26" s="129"/>
      <c r="AR26" s="129"/>
    </row>
    <row r="27" spans="1:44" ht="13.8" customHeight="1" x14ac:dyDescent="0.25">
      <c r="A27" s="157"/>
      <c r="B27" s="157"/>
      <c r="C27" s="157"/>
      <c r="D27" s="157"/>
      <c r="E27" s="157"/>
      <c r="F27" s="157"/>
      <c r="G27" s="157"/>
      <c r="S27" s="119">
        <f>J22*45</f>
        <v>1305</v>
      </c>
      <c r="T27" s="119">
        <f>J22*50</f>
        <v>1450</v>
      </c>
      <c r="U27" s="119">
        <f>J22*45</f>
        <v>1305</v>
      </c>
      <c r="V27" s="138">
        <v>1645.5848581327728</v>
      </c>
      <c r="AF27" s="203" t="s">
        <v>237</v>
      </c>
      <c r="AG27" s="204"/>
      <c r="AH27" s="205"/>
      <c r="AI27" s="119">
        <f>G18</f>
        <v>38716.47</v>
      </c>
      <c r="AK27" s="232"/>
      <c r="AL27" s="203" t="s">
        <v>287</v>
      </c>
      <c r="AM27" s="204"/>
      <c r="AN27" s="205"/>
      <c r="AO27" s="122">
        <f>AO19</f>
        <v>1</v>
      </c>
      <c r="AP27" s="147">
        <f>AO27*参数调整!J17*(1+参数调整!B12+参数调整!B13+参数调整!B14+参数调整!B15+参数调整!B16)</f>
        <v>5383.9999999999991</v>
      </c>
      <c r="AQ27" s="129"/>
      <c r="AR27" s="129"/>
    </row>
    <row r="28" spans="1:44" ht="13.8" customHeight="1" x14ac:dyDescent="0.3">
      <c r="A28" s="158"/>
      <c r="B28" s="158"/>
      <c r="C28" s="159"/>
      <c r="D28" s="159"/>
      <c r="E28" s="159"/>
      <c r="F28" s="159"/>
      <c r="G28" s="160" t="s">
        <v>314</v>
      </c>
      <c r="AF28" s="203" t="s">
        <v>238</v>
      </c>
      <c r="AG28" s="204"/>
      <c r="AH28" s="205"/>
      <c r="AI28" s="140">
        <f>AI3-SUM(AI4:AI27)</f>
        <v>-160127.46999999997</v>
      </c>
      <c r="AJ28" s="141">
        <f>AI28/(1-参数调整!B18)</f>
        <v>-168555.23157894734</v>
      </c>
      <c r="AK28" s="232"/>
      <c r="AL28" s="215" t="s">
        <v>288</v>
      </c>
      <c r="AM28" s="245" t="s">
        <v>289</v>
      </c>
      <c r="AN28" s="239" t="s">
        <v>196</v>
      </c>
      <c r="AO28" s="229"/>
      <c r="AP28" s="215">
        <f>AO28*参数调整!$B$30*参数调整!F11</f>
        <v>0</v>
      </c>
      <c r="AQ28" s="129"/>
      <c r="AR28" s="129"/>
    </row>
    <row r="29" spans="1:44" ht="46.8" x14ac:dyDescent="0.3">
      <c r="A29" s="252" t="s">
        <v>177</v>
      </c>
      <c r="B29" s="160" t="s">
        <v>315</v>
      </c>
      <c r="C29" s="161"/>
      <c r="D29" s="161"/>
      <c r="E29" s="161"/>
      <c r="F29" s="161"/>
      <c r="G29" s="162">
        <v>29</v>
      </c>
      <c r="H29" s="163" t="s">
        <v>316</v>
      </c>
      <c r="AF29" s="236" t="s">
        <v>239</v>
      </c>
      <c r="AG29" s="237"/>
      <c r="AH29" s="238"/>
      <c r="AI29" s="126"/>
      <c r="AK29" s="232"/>
      <c r="AL29" s="216"/>
      <c r="AM29" s="246"/>
      <c r="AN29" s="240"/>
      <c r="AO29" s="230"/>
      <c r="AP29" s="217"/>
      <c r="AQ29" s="129"/>
      <c r="AR29" s="129"/>
    </row>
    <row r="30" spans="1:44" ht="31.2" x14ac:dyDescent="0.3">
      <c r="A30" s="252"/>
      <c r="B30" s="160" t="s">
        <v>317</v>
      </c>
      <c r="C30" s="161"/>
      <c r="D30" s="161"/>
      <c r="E30" s="161"/>
      <c r="F30" s="161"/>
      <c r="G30" s="164">
        <v>29</v>
      </c>
      <c r="H30" s="165" t="s">
        <v>318</v>
      </c>
      <c r="R30" s="171" t="s">
        <v>337</v>
      </c>
      <c r="V30" s="172" t="s">
        <v>338</v>
      </c>
      <c r="AF30" s="203" t="s">
        <v>290</v>
      </c>
      <c r="AG30" s="204"/>
      <c r="AH30" s="205"/>
      <c r="AI30" s="126"/>
      <c r="AK30" s="232"/>
      <c r="AL30" s="216"/>
      <c r="AM30" s="246"/>
      <c r="AN30" s="239" t="s">
        <v>197</v>
      </c>
      <c r="AO30" s="229">
        <v>1</v>
      </c>
      <c r="AP30" s="215">
        <f>AO30*参数调整!$B$30*参数调整!F12</f>
        <v>240</v>
      </c>
      <c r="AQ30" s="129"/>
      <c r="AR30" s="129"/>
    </row>
    <row r="31" spans="1:44" ht="78" x14ac:dyDescent="0.3">
      <c r="A31" s="252" t="s">
        <v>319</v>
      </c>
      <c r="B31" s="160" t="s">
        <v>315</v>
      </c>
      <c r="C31" s="161"/>
      <c r="D31" s="161"/>
      <c r="E31" s="161"/>
      <c r="F31" s="161"/>
      <c r="G31" s="164">
        <v>11</v>
      </c>
      <c r="H31" s="165" t="s">
        <v>320</v>
      </c>
      <c r="Q31" s="172" t="str">
        <f>J3</f>
        <v>S</v>
      </c>
      <c r="R31" s="173"/>
      <c r="S31" s="174"/>
      <c r="T31" s="174"/>
      <c r="U31" s="172"/>
      <c r="V31" s="175"/>
      <c r="AF31" s="227" t="s">
        <v>238</v>
      </c>
      <c r="AG31" s="227"/>
      <c r="AH31" s="227"/>
      <c r="AI31" s="142">
        <f>AI28+AI29*(1-参数调整!B18)+AI30*(1-参数调整!B23)</f>
        <v>-160127.46999999997</v>
      </c>
      <c r="AK31" s="232"/>
      <c r="AL31" s="216"/>
      <c r="AM31" s="246"/>
      <c r="AN31" s="240"/>
      <c r="AO31" s="230"/>
      <c r="AP31" s="217"/>
      <c r="AQ31" s="129"/>
      <c r="AR31" s="129"/>
    </row>
    <row r="32" spans="1:44" ht="15.6" x14ac:dyDescent="0.3">
      <c r="A32" s="252"/>
      <c r="B32" s="160" t="s">
        <v>321</v>
      </c>
      <c r="C32" s="161"/>
      <c r="D32" s="161"/>
      <c r="E32" s="161"/>
      <c r="F32" s="161"/>
      <c r="G32" s="166">
        <f>H32-G31-G33</f>
        <v>54</v>
      </c>
      <c r="H32" s="167">
        <v>67</v>
      </c>
      <c r="Q32" s="172" t="str">
        <f t="shared" ref="Q32:Q42" si="10">J4</f>
        <v>S</v>
      </c>
      <c r="R32" s="173"/>
      <c r="S32" s="174"/>
      <c r="T32" s="174"/>
      <c r="U32" s="172"/>
      <c r="V32" s="175"/>
      <c r="AK32" s="232"/>
      <c r="AL32" s="216"/>
      <c r="AM32" s="246"/>
      <c r="AN32" s="239" t="s">
        <v>198</v>
      </c>
      <c r="AO32" s="229"/>
      <c r="AP32" s="215">
        <f>AO32*参数调整!$B$30*参数调整!F13</f>
        <v>0</v>
      </c>
      <c r="AQ32" s="129"/>
      <c r="AR32" s="129"/>
    </row>
    <row r="33" spans="1:44" ht="15.6" x14ac:dyDescent="0.3">
      <c r="A33" s="252"/>
      <c r="B33" s="160">
        <v>113</v>
      </c>
      <c r="C33" s="161"/>
      <c r="D33" s="161"/>
      <c r="E33" s="161"/>
      <c r="F33" s="161"/>
      <c r="G33" s="164">
        <v>2</v>
      </c>
      <c r="H33" s="160" t="s">
        <v>322</v>
      </c>
      <c r="Q33" s="172" t="str">
        <f t="shared" si="10"/>
        <v>S</v>
      </c>
      <c r="R33" s="173"/>
      <c r="S33" s="174"/>
      <c r="T33" s="174"/>
      <c r="U33" s="172"/>
      <c r="V33" s="175"/>
      <c r="AK33" s="232"/>
      <c r="AL33" s="216"/>
      <c r="AM33" s="246"/>
      <c r="AN33" s="240"/>
      <c r="AO33" s="230"/>
      <c r="AP33" s="217"/>
      <c r="AQ33" s="129"/>
      <c r="AR33" s="129"/>
    </row>
    <row r="34" spans="1:44" ht="46.8" x14ac:dyDescent="0.3">
      <c r="A34" s="252" t="s">
        <v>323</v>
      </c>
      <c r="B34" s="160">
        <v>212</v>
      </c>
      <c r="C34" s="161"/>
      <c r="D34" s="161"/>
      <c r="E34" s="161"/>
      <c r="F34" s="161"/>
      <c r="G34" s="164">
        <v>29</v>
      </c>
      <c r="H34" s="165" t="s">
        <v>324</v>
      </c>
      <c r="Q34" s="172" t="str">
        <f t="shared" si="10"/>
        <v>B</v>
      </c>
      <c r="R34" s="174"/>
      <c r="S34" s="174"/>
      <c r="T34" s="174"/>
      <c r="U34" s="172"/>
      <c r="V34" s="175"/>
      <c r="AK34" s="232"/>
      <c r="AL34" s="216"/>
      <c r="AM34" s="246"/>
      <c r="AN34" s="239" t="s">
        <v>199</v>
      </c>
      <c r="AO34" s="229"/>
      <c r="AP34" s="215">
        <f>AO34*参数调整!$B$30*参数调整!F14</f>
        <v>0</v>
      </c>
      <c r="AQ34" s="129"/>
      <c r="AR34" s="129"/>
    </row>
    <row r="35" spans="1:44" ht="15.6" x14ac:dyDescent="0.3">
      <c r="A35" s="252"/>
      <c r="B35" s="160">
        <v>1121</v>
      </c>
      <c r="C35" s="161"/>
      <c r="D35" s="161"/>
      <c r="E35" s="161"/>
      <c r="F35" s="161"/>
      <c r="G35" s="166">
        <f>H35-G34-G308</f>
        <v>39</v>
      </c>
      <c r="H35" s="167">
        <v>68</v>
      </c>
      <c r="Q35" s="172" t="str">
        <f t="shared" si="10"/>
        <v>Q</v>
      </c>
      <c r="R35" s="174"/>
      <c r="S35" s="173"/>
      <c r="T35" s="174"/>
      <c r="U35" s="172"/>
      <c r="V35" s="175"/>
      <c r="AK35" s="232"/>
      <c r="AL35" s="217"/>
      <c r="AM35" s="247"/>
      <c r="AN35" s="240"/>
      <c r="AO35" s="230"/>
      <c r="AP35" s="217"/>
      <c r="AQ35" s="147" t="s">
        <v>291</v>
      </c>
      <c r="AR35" s="147" t="s">
        <v>292</v>
      </c>
    </row>
    <row r="36" spans="1:44" ht="15.6" x14ac:dyDescent="0.3">
      <c r="A36" s="252"/>
      <c r="B36" s="160">
        <v>112</v>
      </c>
      <c r="C36" s="161"/>
      <c r="D36" s="161"/>
      <c r="E36" s="161"/>
      <c r="F36" s="161"/>
      <c r="G36" s="164">
        <v>4</v>
      </c>
      <c r="H36" s="160" t="s">
        <v>325</v>
      </c>
      <c r="Q36" s="172" t="str">
        <f t="shared" si="10"/>
        <v>L</v>
      </c>
      <c r="R36" s="173"/>
      <c r="S36" s="174"/>
      <c r="T36" s="174"/>
      <c r="U36" s="172"/>
      <c r="V36" s="175"/>
      <c r="AK36" s="233"/>
      <c r="AL36" s="203" t="s">
        <v>296</v>
      </c>
      <c r="AM36" s="204"/>
      <c r="AN36" s="204"/>
      <c r="AO36" s="205"/>
      <c r="AP36" s="143"/>
      <c r="AQ36" s="126"/>
      <c r="AR36" s="126"/>
    </row>
    <row r="37" spans="1:44" ht="15.6" x14ac:dyDescent="0.3">
      <c r="A37" s="252" t="s">
        <v>180</v>
      </c>
      <c r="B37" s="160" t="s">
        <v>326</v>
      </c>
      <c r="C37" s="161"/>
      <c r="D37" s="161"/>
      <c r="E37" s="161"/>
      <c r="F37" s="161"/>
      <c r="G37" s="166">
        <f>H37-G38</f>
        <v>49</v>
      </c>
      <c r="H37" s="167">
        <v>50</v>
      </c>
      <c r="Q37" s="172" t="str">
        <f t="shared" si="10"/>
        <v>L</v>
      </c>
      <c r="R37" s="174"/>
      <c r="S37" s="174"/>
      <c r="T37" s="174"/>
      <c r="U37" s="172"/>
      <c r="V37" s="175"/>
      <c r="AK37" s="249" t="s">
        <v>297</v>
      </c>
      <c r="AL37" s="203" t="s">
        <v>298</v>
      </c>
      <c r="AM37" s="204"/>
      <c r="AN37" s="204"/>
      <c r="AO37" s="205"/>
      <c r="AP37" s="122">
        <f>AQ3-AQ36</f>
        <v>0</v>
      </c>
      <c r="AQ37" s="129"/>
      <c r="AR37" s="129"/>
    </row>
    <row r="38" spans="1:44" ht="13.8" customHeight="1" x14ac:dyDescent="0.3">
      <c r="A38" s="252"/>
      <c r="B38" s="160">
        <v>111</v>
      </c>
      <c r="C38" s="161"/>
      <c r="D38" s="161"/>
      <c r="E38" s="161"/>
      <c r="F38" s="161"/>
      <c r="G38" s="164">
        <v>1</v>
      </c>
      <c r="H38" s="160" t="s">
        <v>327</v>
      </c>
      <c r="Q38" s="172" t="str">
        <f t="shared" si="10"/>
        <v>L</v>
      </c>
      <c r="R38" s="174"/>
      <c r="S38" s="173"/>
      <c r="T38" s="174"/>
      <c r="U38" s="172"/>
      <c r="V38" s="175"/>
      <c r="AK38" s="250"/>
      <c r="AL38" s="203" t="s">
        <v>299</v>
      </c>
      <c r="AM38" s="204"/>
      <c r="AN38" s="204"/>
      <c r="AO38" s="205"/>
      <c r="AP38" s="122">
        <f>SUMPRODUCT(E3:E12,F3:F12)+SUMPRODUCT(E13:E16,F13:F16)*1.5</f>
        <v>55371.42</v>
      </c>
      <c r="AQ38" s="129"/>
      <c r="AR38" s="129"/>
    </row>
    <row r="39" spans="1:44" ht="13.8" customHeight="1" x14ac:dyDescent="0.25">
      <c r="D39" s="148"/>
      <c r="E39" s="129"/>
      <c r="F39" s="129"/>
      <c r="Q39" s="172">
        <f t="shared" si="10"/>
        <v>0</v>
      </c>
      <c r="R39" s="174"/>
      <c r="S39" s="174"/>
      <c r="T39" s="174"/>
      <c r="U39" s="172"/>
      <c r="V39" s="175"/>
      <c r="AK39" s="250"/>
      <c r="AL39" s="203" t="s">
        <v>300</v>
      </c>
      <c r="AM39" s="204"/>
      <c r="AN39" s="204"/>
      <c r="AO39" s="205"/>
      <c r="AP39" s="122">
        <f>SUMPRODUCT(H3:H16,D30:D43)*(1+参数调整!$B$6)</f>
        <v>8424</v>
      </c>
      <c r="AQ39" s="129"/>
      <c r="AR39" s="129"/>
    </row>
    <row r="40" spans="1:44" ht="13.8" customHeight="1" x14ac:dyDescent="0.25">
      <c r="D40" s="222" t="s">
        <v>293</v>
      </c>
      <c r="E40" s="248" t="s">
        <v>294</v>
      </c>
      <c r="F40" s="248" t="s">
        <v>295</v>
      </c>
      <c r="Q40" s="172">
        <f t="shared" si="10"/>
        <v>0</v>
      </c>
      <c r="R40" s="174"/>
      <c r="S40" s="174"/>
      <c r="T40" s="174"/>
      <c r="U40" s="172"/>
      <c r="V40" s="175"/>
      <c r="AK40" s="250"/>
      <c r="AL40" s="203" t="s">
        <v>301</v>
      </c>
      <c r="AM40" s="204"/>
      <c r="AN40" s="204"/>
      <c r="AO40" s="205"/>
      <c r="AP40" s="122">
        <v>10000</v>
      </c>
      <c r="AQ40" s="129"/>
      <c r="AR40" s="129"/>
    </row>
    <row r="41" spans="1:44" ht="13.8" customHeight="1" x14ac:dyDescent="0.25">
      <c r="D41" s="222"/>
      <c r="E41" s="248"/>
      <c r="F41" s="248"/>
      <c r="Q41" s="172">
        <f t="shared" si="10"/>
        <v>0</v>
      </c>
      <c r="R41" s="174"/>
      <c r="S41" s="174"/>
      <c r="T41" s="174"/>
      <c r="U41" s="172"/>
      <c r="V41" s="175"/>
      <c r="AK41" s="250"/>
      <c r="AL41" s="203" t="s">
        <v>302</v>
      </c>
      <c r="AM41" s="204"/>
      <c r="AN41" s="204"/>
      <c r="AO41" s="205"/>
      <c r="AP41" s="122">
        <f>(AM2+AQ3-AP2-SUMPRODUCT(第二季度!E3:E12,第二季度!F3:F12)-SUMPRODUCT(第二季度!E13:E16,第二季度!F13:F16)*1.5-第二季度!E5*第二季度!F5*0.5)*0.145299145</f>
        <v>-8045.4199834358997</v>
      </c>
      <c r="AQ41" s="129"/>
      <c r="AR41" s="129"/>
    </row>
    <row r="42" spans="1:44" ht="13.8" customHeight="1" x14ac:dyDescent="0.25">
      <c r="D42" s="256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40</v>
      </c>
      <c r="E42" s="129">
        <f>第一季度!G3+第一季度!H3+第一季度!E30-第一季度!B3</f>
        <v>0</v>
      </c>
      <c r="F42" s="129">
        <f>G3-B3</f>
        <v>0</v>
      </c>
      <c r="Q42" s="172">
        <f t="shared" si="10"/>
        <v>0</v>
      </c>
      <c r="R42" s="174"/>
      <c r="S42" s="174"/>
      <c r="T42" s="176"/>
      <c r="U42" s="177"/>
      <c r="V42" s="87"/>
      <c r="AK42" s="250"/>
      <c r="AL42" s="203" t="s">
        <v>303</v>
      </c>
      <c r="AM42" s="204"/>
      <c r="AN42" s="204"/>
      <c r="AO42" s="205"/>
      <c r="AP42" s="122">
        <f>AP41*SUM(参数调整!B7:B9)</f>
        <v>-965.45039801230803</v>
      </c>
      <c r="AQ42" s="129"/>
      <c r="AR42" s="129"/>
    </row>
    <row r="43" spans="1:44" ht="13.8" customHeight="1" x14ac:dyDescent="0.25">
      <c r="D43" s="256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80</v>
      </c>
      <c r="E43" s="129">
        <f>第一季度!G4+第一季度!H4+第一季度!E31-第一季度!B4</f>
        <v>0</v>
      </c>
      <c r="F43" s="129">
        <f t="shared" ref="F43:F55" si="11">G4-B4</f>
        <v>0</v>
      </c>
      <c r="AK43" s="250"/>
      <c r="AL43" s="203" t="s">
        <v>304</v>
      </c>
      <c r="AM43" s="204"/>
      <c r="AN43" s="204"/>
      <c r="AO43" s="205"/>
      <c r="AP43" s="122">
        <v>0</v>
      </c>
      <c r="AQ43" s="129"/>
      <c r="AR43" s="129"/>
    </row>
    <row r="44" spans="1:44" ht="13.8" customHeight="1" x14ac:dyDescent="0.25">
      <c r="D44" s="256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110</v>
      </c>
      <c r="E44" s="129">
        <f>第一季度!G5+第一季度!H5+第一季度!E32-第一季度!B5</f>
        <v>60</v>
      </c>
      <c r="F44" s="129">
        <f t="shared" si="11"/>
        <v>-60</v>
      </c>
      <c r="AK44" s="251"/>
      <c r="AL44" s="203" t="s">
        <v>296</v>
      </c>
      <c r="AM44" s="204"/>
      <c r="AN44" s="204"/>
      <c r="AO44" s="205"/>
      <c r="AP44" s="143"/>
      <c r="AQ44" s="129"/>
      <c r="AR44" s="129"/>
    </row>
    <row r="45" spans="1:44" ht="13.8" customHeight="1" x14ac:dyDescent="0.25">
      <c r="D45" s="256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10</v>
      </c>
      <c r="E45" s="129">
        <f>第一季度!G6+第一季度!H6+第一季度!E33-第一季度!B6</f>
        <v>0</v>
      </c>
      <c r="F45" s="129">
        <f t="shared" si="11"/>
        <v>0</v>
      </c>
      <c r="Q45" s="168"/>
      <c r="R45" s="168"/>
      <c r="S45" s="179" t="s">
        <v>328</v>
      </c>
      <c r="T45" s="179"/>
      <c r="U45" s="179"/>
      <c r="V45" s="169"/>
      <c r="W45" s="170"/>
      <c r="X45" s="170"/>
      <c r="Y45" s="170"/>
      <c r="Z45" s="170"/>
      <c r="AA45" s="170"/>
      <c r="AB45" s="170"/>
    </row>
    <row r="46" spans="1:44" ht="13.8" customHeight="1" x14ac:dyDescent="0.25">
      <c r="D46" s="256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20</v>
      </c>
      <c r="E46" s="129">
        <f>第一季度!G7+第一季度!H7+第一季度!E34-第一季度!B7</f>
        <v>0</v>
      </c>
      <c r="F46" s="129">
        <f t="shared" si="11"/>
        <v>0</v>
      </c>
      <c r="Q46" s="168"/>
      <c r="R46" s="152"/>
      <c r="S46" s="152" t="s">
        <v>329</v>
      </c>
      <c r="T46" s="152" t="s">
        <v>330</v>
      </c>
      <c r="U46" s="152" t="s">
        <v>331</v>
      </c>
      <c r="V46" s="147"/>
      <c r="W46" s="178"/>
      <c r="X46" s="178"/>
      <c r="Y46" s="178"/>
      <c r="Z46" s="178"/>
      <c r="AA46" s="178"/>
      <c r="AB46" s="178"/>
    </row>
    <row r="47" spans="1:44" ht="13.8" customHeight="1" x14ac:dyDescent="0.25">
      <c r="D47" s="256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35</v>
      </c>
      <c r="E47" s="129">
        <f>第一季度!G8+第一季度!H8+第一季度!E35-第一季度!B8</f>
        <v>0</v>
      </c>
      <c r="F47" s="129">
        <f t="shared" si="11"/>
        <v>0</v>
      </c>
      <c r="Q47" s="168"/>
      <c r="R47" s="152" t="s">
        <v>332</v>
      </c>
      <c r="S47" s="126">
        <v>1</v>
      </c>
      <c r="T47" s="126">
        <v>1</v>
      </c>
      <c r="U47" s="126">
        <v>1</v>
      </c>
      <c r="V47" s="147"/>
      <c r="W47" s="152"/>
      <c r="X47" s="152"/>
      <c r="Y47" s="122" t="s">
        <v>333</v>
      </c>
      <c r="Z47" s="122" t="s">
        <v>334</v>
      </c>
      <c r="AA47" s="122" t="s">
        <v>335</v>
      </c>
      <c r="AB47" s="122" t="s">
        <v>336</v>
      </c>
    </row>
    <row r="48" spans="1:44" ht="13.8" customHeight="1" x14ac:dyDescent="0.25">
      <c r="D48" s="256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50</v>
      </c>
      <c r="E48" s="129">
        <f>第一季度!G9+第一季度!H9+第一季度!E36-第一季度!B9</f>
        <v>0</v>
      </c>
      <c r="F48" s="129">
        <f t="shared" si="11"/>
        <v>0</v>
      </c>
      <c r="Q48" s="168"/>
      <c r="R48" s="168"/>
      <c r="S48" s="168"/>
      <c r="T48" s="168"/>
      <c r="U48" s="168"/>
      <c r="V48" s="86"/>
      <c r="W48" s="152"/>
      <c r="X48" s="152"/>
      <c r="Y48" s="152"/>
      <c r="Z48" s="152"/>
      <c r="AA48" s="152"/>
      <c r="AB48" s="152"/>
    </row>
    <row r="49" spans="4:28" ht="13.8" customHeight="1" x14ac:dyDescent="0.25">
      <c r="D49" s="256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80</v>
      </c>
      <c r="E49" s="129">
        <f>第一季度!G10+第一季度!H10+第一季度!E37-第一季度!B10</f>
        <v>0</v>
      </c>
      <c r="F49" s="129">
        <f t="shared" si="11"/>
        <v>0</v>
      </c>
      <c r="Q49" s="168"/>
      <c r="R49" s="168"/>
      <c r="S49" s="168"/>
      <c r="T49" s="168"/>
      <c r="U49" s="168"/>
      <c r="V49" s="86"/>
      <c r="W49" s="152"/>
      <c r="X49" s="152"/>
      <c r="Y49" s="152"/>
      <c r="Z49" s="152"/>
      <c r="AA49" s="152"/>
      <c r="AB49" s="152"/>
    </row>
    <row r="50" spans="4:28" ht="13.8" customHeight="1" x14ac:dyDescent="0.25">
      <c r="D50" s="256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110</v>
      </c>
      <c r="E50" s="129">
        <f>第一季度!G11+第一季度!H11+第一季度!E38-第一季度!B11</f>
        <v>0</v>
      </c>
      <c r="F50" s="129">
        <f t="shared" si="11"/>
        <v>0</v>
      </c>
      <c r="Q50" s="168"/>
      <c r="R50" s="168"/>
      <c r="S50" s="168"/>
      <c r="T50" s="168"/>
      <c r="U50" s="168"/>
      <c r="V50" s="86"/>
      <c r="W50" s="152"/>
      <c r="X50" s="152"/>
      <c r="Y50" s="152"/>
      <c r="Z50" s="152"/>
      <c r="AA50" s="152"/>
      <c r="AB50" s="152"/>
    </row>
    <row r="51" spans="4:28" ht="13.8" customHeight="1" x14ac:dyDescent="0.25">
      <c r="D51" s="256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160</v>
      </c>
      <c r="E51" s="129">
        <f>第一季度!G12+第一季度!H12+第一季度!E39-第一季度!B12</f>
        <v>0</v>
      </c>
      <c r="F51" s="129">
        <f t="shared" si="11"/>
        <v>0</v>
      </c>
      <c r="Q51" s="168"/>
      <c r="R51" s="168"/>
      <c r="S51" s="168"/>
      <c r="T51" s="168"/>
      <c r="U51" s="168"/>
      <c r="V51" s="86"/>
      <c r="W51" s="152"/>
      <c r="X51" s="152"/>
      <c r="Y51" s="152"/>
      <c r="Z51" s="152"/>
      <c r="AA51" s="152"/>
      <c r="AB51" s="152"/>
    </row>
    <row r="52" spans="4:28" ht="13.8" customHeight="1" x14ac:dyDescent="0.25">
      <c r="D52" s="256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50</v>
      </c>
      <c r="E52" s="129">
        <f>第一季度!G13+第一季度!H13+第一季度!E40-第一季度!B13</f>
        <v>120</v>
      </c>
      <c r="F52" s="129">
        <f t="shared" si="11"/>
        <v>-84</v>
      </c>
      <c r="Q52" s="168"/>
      <c r="R52" s="168"/>
      <c r="S52" s="168"/>
      <c r="T52" s="168"/>
      <c r="U52" s="168"/>
      <c r="V52" s="86"/>
      <c r="W52" s="152"/>
      <c r="X52" s="152"/>
      <c r="Y52" s="152"/>
      <c r="Z52" s="152"/>
      <c r="AA52" s="152"/>
      <c r="AB52" s="152"/>
    </row>
    <row r="53" spans="4:28" ht="13.8" customHeight="1" x14ac:dyDescent="0.25">
      <c r="D53" s="256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53" s="129">
        <f>第一季度!G14+第一季度!H14+第一季度!E41-第一季度!B14</f>
        <v>0</v>
      </c>
      <c r="F53" s="129">
        <f t="shared" si="11"/>
        <v>0</v>
      </c>
      <c r="Q53" s="168"/>
      <c r="R53" s="168"/>
      <c r="S53" s="168"/>
      <c r="T53" s="168"/>
      <c r="U53" s="168"/>
      <c r="V53" s="86"/>
      <c r="W53" s="152"/>
      <c r="X53" s="152"/>
      <c r="Y53" s="152"/>
      <c r="Z53" s="152"/>
      <c r="AA53" s="152"/>
      <c r="AB53" s="152"/>
    </row>
    <row r="54" spans="4:28" ht="13.8" customHeight="1" x14ac:dyDescent="0.25">
      <c r="D54" s="256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80</v>
      </c>
      <c r="E54" s="129">
        <f>第一季度!G15+第一季度!H15+第一季度!E42-第一季度!B15</f>
        <v>120</v>
      </c>
      <c r="F54" s="129">
        <f t="shared" si="11"/>
        <v>-120</v>
      </c>
      <c r="Q54" s="168"/>
      <c r="R54" s="168"/>
      <c r="S54" s="168"/>
      <c r="T54" s="168"/>
      <c r="U54" s="168"/>
      <c r="V54" s="86"/>
      <c r="W54" s="152"/>
      <c r="X54" s="152"/>
      <c r="Y54" s="152"/>
      <c r="Z54" s="152"/>
      <c r="AA54" s="152"/>
      <c r="AB54" s="152"/>
    </row>
    <row r="55" spans="4:28" ht="13.8" customHeight="1" x14ac:dyDescent="0.25">
      <c r="D55" s="256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90</v>
      </c>
      <c r="E55" s="129">
        <f>第一季度!G16+第一季度!H16+第一季度!E43-第一季度!B16</f>
        <v>60</v>
      </c>
      <c r="F55" s="129">
        <f t="shared" si="11"/>
        <v>0</v>
      </c>
      <c r="Q55" s="168"/>
      <c r="R55" s="168"/>
      <c r="S55" s="168"/>
      <c r="T55" s="168"/>
      <c r="U55" s="168"/>
      <c r="V55" s="169"/>
      <c r="W55" s="152"/>
      <c r="X55" s="152"/>
      <c r="Y55" s="152"/>
      <c r="Z55" s="152"/>
      <c r="AA55" s="152"/>
      <c r="AB55" s="152"/>
    </row>
    <row r="56" spans="4:28" ht="13.8" customHeight="1" x14ac:dyDescent="0.25">
      <c r="Q56" s="168"/>
      <c r="R56" s="168"/>
      <c r="S56" s="168"/>
      <c r="T56" s="168"/>
      <c r="U56" s="168"/>
      <c r="V56" s="169"/>
      <c r="W56" s="152"/>
      <c r="X56" s="152"/>
      <c r="Y56" s="152"/>
      <c r="Z56" s="152"/>
      <c r="AA56" s="152"/>
      <c r="AB56" s="152"/>
    </row>
    <row r="57" spans="4:28" ht="13.8" customHeight="1" x14ac:dyDescent="0.25">
      <c r="D57" s="182"/>
      <c r="Q57" s="168"/>
      <c r="R57" s="168"/>
      <c r="S57" s="168"/>
      <c r="T57" s="168"/>
      <c r="U57" s="168"/>
      <c r="V57" s="169"/>
      <c r="W57" s="152"/>
      <c r="X57" s="152"/>
      <c r="Y57" s="152"/>
      <c r="Z57" s="152"/>
      <c r="AA57" s="152"/>
      <c r="AB57" s="152"/>
    </row>
    <row r="58" spans="4:28" ht="13.8" customHeight="1" x14ac:dyDescent="0.25">
      <c r="D58" s="182"/>
      <c r="Q58" s="168"/>
      <c r="R58" s="168"/>
      <c r="S58" s="168"/>
      <c r="T58" s="168"/>
      <c r="U58" s="168"/>
      <c r="V58" s="170"/>
      <c r="W58" s="152"/>
      <c r="X58" s="152"/>
      <c r="Y58" s="152"/>
      <c r="Z58" s="152"/>
      <c r="AA58" s="152"/>
      <c r="AB58" s="152"/>
    </row>
    <row r="59" spans="4:28" ht="13.8" customHeight="1" x14ac:dyDescent="0.25">
      <c r="Q59" s="168"/>
      <c r="R59" s="168"/>
      <c r="S59" s="168"/>
      <c r="T59" s="168"/>
      <c r="U59" s="168"/>
      <c r="V59" s="170"/>
      <c r="W59" s="152"/>
      <c r="X59" s="152"/>
      <c r="Y59" s="152"/>
      <c r="Z59" s="152"/>
      <c r="AA59" s="152"/>
      <c r="AB59" s="152"/>
    </row>
    <row r="60" spans="4:28" ht="13.8" customHeight="1" x14ac:dyDescent="0.25"/>
    <row r="61" spans="4:28" ht="13.8" customHeight="1" x14ac:dyDescent="0.25"/>
    <row r="62" spans="4:28" ht="13.8" customHeight="1" x14ac:dyDescent="0.25"/>
    <row r="63" spans="4:28" ht="13.8" customHeight="1" x14ac:dyDescent="0.25"/>
    <row r="64" spans="4:28" ht="13.8" customHeight="1" x14ac:dyDescent="0.25"/>
    <row r="65" spans="4:4" ht="13.8" customHeight="1" x14ac:dyDescent="0.25"/>
    <row r="66" spans="4:4" ht="13.8" customHeight="1" x14ac:dyDescent="0.25"/>
    <row r="67" spans="4:4" ht="13.8" customHeight="1" x14ac:dyDescent="0.25"/>
    <row r="68" spans="4:4" ht="20.399999999999999" customHeight="1" x14ac:dyDescent="0.25"/>
    <row r="69" spans="4:4" ht="20.399999999999999" customHeight="1" x14ac:dyDescent="0.25"/>
    <row r="70" spans="4:4" ht="20.399999999999999" customHeight="1" x14ac:dyDescent="0.25"/>
    <row r="71" spans="4:4" ht="20.399999999999999" customHeight="1" x14ac:dyDescent="0.25"/>
    <row r="72" spans="4:4" ht="20.399999999999999" customHeight="1" x14ac:dyDescent="0.25">
      <c r="D72" s="91" t="s">
        <v>355</v>
      </c>
    </row>
    <row r="73" spans="4:4" ht="20.399999999999999" customHeight="1" x14ac:dyDescent="0.25"/>
  </sheetData>
  <mergeCells count="82">
    <mergeCell ref="G1:G2"/>
    <mergeCell ref="B1:B2"/>
    <mergeCell ref="C1:C2"/>
    <mergeCell ref="D1:D2"/>
    <mergeCell ref="E1:E2"/>
    <mergeCell ref="F1:F2"/>
    <mergeCell ref="H1:H2"/>
    <mergeCell ref="R1:U1"/>
    <mergeCell ref="AF2:AI2"/>
    <mergeCell ref="AK2:AL3"/>
    <mergeCell ref="AM2:AM3"/>
    <mergeCell ref="AQ4:AR4"/>
    <mergeCell ref="AL5:AL16"/>
    <mergeCell ref="AM5:AM8"/>
    <mergeCell ref="AQ5:AR6"/>
    <mergeCell ref="AF7:AF9"/>
    <mergeCell ref="AP2:AP3"/>
    <mergeCell ref="AF3:AH3"/>
    <mergeCell ref="AF4:AF6"/>
    <mergeCell ref="AK4:AK36"/>
    <mergeCell ref="AL4:AN4"/>
    <mergeCell ref="AN2:AO3"/>
    <mergeCell ref="AI7:AI9"/>
    <mergeCell ref="AM9:AM11"/>
    <mergeCell ref="AF10:AF13"/>
    <mergeCell ref="AM12:AN12"/>
    <mergeCell ref="AM13:AM16"/>
    <mergeCell ref="AF14:AG14"/>
    <mergeCell ref="AF15:AG15"/>
    <mergeCell ref="AF16:AF21"/>
    <mergeCell ref="AF27:AH27"/>
    <mergeCell ref="AL27:AN27"/>
    <mergeCell ref="J17:K17"/>
    <mergeCell ref="AL17:AN17"/>
    <mergeCell ref="A18:B18"/>
    <mergeCell ref="J18:K20"/>
    <mergeCell ref="AL18:AM19"/>
    <mergeCell ref="AL20:AM23"/>
    <mergeCell ref="J21:K21"/>
    <mergeCell ref="J22:K24"/>
    <mergeCell ref="AF22:AG22"/>
    <mergeCell ref="AF23:AG23"/>
    <mergeCell ref="AF24:AG24"/>
    <mergeCell ref="AL24:AM26"/>
    <mergeCell ref="AF25:AG25"/>
    <mergeCell ref="AF26:AH26"/>
    <mergeCell ref="S23:U23"/>
    <mergeCell ref="AN28:AN29"/>
    <mergeCell ref="AO28:AO29"/>
    <mergeCell ref="AP28:AP29"/>
    <mergeCell ref="AF29:AH29"/>
    <mergeCell ref="AF30:AH30"/>
    <mergeCell ref="AN30:AN31"/>
    <mergeCell ref="AO30:AO31"/>
    <mergeCell ref="AP30:AP31"/>
    <mergeCell ref="AF31:AH31"/>
    <mergeCell ref="AF28:AH28"/>
    <mergeCell ref="AL28:AL35"/>
    <mergeCell ref="AM28:AM35"/>
    <mergeCell ref="AN32:AN33"/>
    <mergeCell ref="AO32:AO33"/>
    <mergeCell ref="AP32:AP33"/>
    <mergeCell ref="AN34:AN35"/>
    <mergeCell ref="AO34:AO35"/>
    <mergeCell ref="AP34:AP35"/>
    <mergeCell ref="AL36:AO36"/>
    <mergeCell ref="AK37:AK44"/>
    <mergeCell ref="AL37:AO37"/>
    <mergeCell ref="AL38:AO38"/>
    <mergeCell ref="AL39:AO39"/>
    <mergeCell ref="AL40:AO40"/>
    <mergeCell ref="AL41:AO41"/>
    <mergeCell ref="AL42:AO42"/>
    <mergeCell ref="AL43:AO43"/>
    <mergeCell ref="AL44:AO44"/>
    <mergeCell ref="E40:E41"/>
    <mergeCell ref="F40:F41"/>
    <mergeCell ref="A29:A30"/>
    <mergeCell ref="A31:A33"/>
    <mergeCell ref="A34:A36"/>
    <mergeCell ref="A37:A38"/>
    <mergeCell ref="D40:D41"/>
  </mergeCells>
  <phoneticPr fontId="3" type="noConversion"/>
  <dataValidations count="3">
    <dataValidation type="list" allowBlank="1" showInputMessage="1" showErrorMessage="1" sqref="AG7:AG9" xr:uid="{8411138B-30BA-48C1-A458-BB96CBE66A81}">
      <formula1>"租用小厂房,租用中厂房,租用大厂房"</formula1>
    </dataValidation>
    <dataValidation type="list" allowBlank="1" showInputMessage="1" showErrorMessage="1" sqref="AG4:AG6" xr:uid="{0B67E1BD-1BEB-4C92-A9D6-E9838FBA3E85}">
      <formula1>"购买小厂房,购买中厂房,购买大厂房"</formula1>
    </dataValidation>
    <dataValidation type="list" allowBlank="1" showInputMessage="1" showErrorMessage="1" sqref="AG10:AG13" xr:uid="{E470054F-EDCB-4C5D-BC16-52B4CF4417D2}">
      <formula1>"手工线,半自动线,全自动线,柔性线"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8306-132A-4BBA-B149-FE98DF7850DD}">
  <dimension ref="A1:AX74"/>
  <sheetViews>
    <sheetView topLeftCell="A16" zoomScale="70" zoomScaleNormal="70" workbookViewId="0">
      <selection activeCell="AF71" sqref="AF71"/>
    </sheetView>
  </sheetViews>
  <sheetFormatPr defaultRowHeight="13.8" x14ac:dyDescent="0.25"/>
  <cols>
    <col min="1" max="1" width="16.6640625" style="91" customWidth="1"/>
    <col min="2" max="2" width="16.109375" style="91" bestFit="1" customWidth="1"/>
    <col min="3" max="5" width="8.88671875" style="91" hidden="1" customWidth="1"/>
    <col min="6" max="6" width="11.6640625" style="91" hidden="1" customWidth="1"/>
    <col min="7" max="7" width="15.109375" style="91" bestFit="1" customWidth="1"/>
    <col min="8" max="8" width="10.6640625" style="91" bestFit="1" customWidth="1"/>
    <col min="9" max="11" width="8.88671875" style="91"/>
    <col min="12" max="12" width="12.44140625" style="91" hidden="1" customWidth="1"/>
    <col min="13" max="13" width="11.77734375" style="91" hidden="1" customWidth="1"/>
    <col min="14" max="14" width="11.21875" style="91" hidden="1" customWidth="1"/>
    <col min="15" max="15" width="14.33203125" style="91" hidden="1" customWidth="1"/>
    <col min="16" max="16" width="9.44140625" style="91" hidden="1" customWidth="1"/>
    <col min="17" max="17" width="13.44140625" style="91" customWidth="1"/>
    <col min="18" max="18" width="12.44140625" style="91" customWidth="1"/>
    <col min="19" max="19" width="11.77734375" style="91" customWidth="1"/>
    <col min="20" max="20" width="11.21875" style="91" customWidth="1"/>
    <col min="21" max="21" width="14.33203125" style="91" customWidth="1"/>
    <col min="22" max="22" width="9.44140625" style="91" bestFit="1" customWidth="1"/>
    <col min="23" max="23" width="8.88671875" style="91"/>
    <col min="24" max="24" width="11.109375" style="91" customWidth="1"/>
    <col min="25" max="25" width="8.88671875" style="91"/>
    <col min="26" max="26" width="11.109375" style="91" customWidth="1"/>
    <col min="27" max="27" width="12.6640625" style="91" customWidth="1"/>
    <col min="28" max="29" width="8.88671875" style="91"/>
    <col min="30" max="31" width="0" style="91" hidden="1" customWidth="1"/>
    <col min="32" max="32" width="11.109375" style="91" customWidth="1"/>
    <col min="33" max="33" width="11.44140625" style="91" customWidth="1"/>
    <col min="34" max="34" width="14.44140625" style="91" customWidth="1"/>
    <col min="35" max="35" width="18.6640625" style="91" customWidth="1"/>
    <col min="36" max="36" width="11.21875" style="91" customWidth="1"/>
    <col min="37" max="37" width="14.109375" style="91" customWidth="1"/>
    <col min="38" max="38" width="19.5546875" style="91" customWidth="1"/>
    <col min="39" max="39" width="17.21875" style="91" customWidth="1"/>
    <col min="40" max="41" width="8.88671875" style="91"/>
    <col min="42" max="42" width="12.109375" style="91" customWidth="1"/>
    <col min="43" max="43" width="17.109375" style="91" bestFit="1" customWidth="1"/>
    <col min="44" max="44" width="25.5546875" style="91" customWidth="1"/>
    <col min="45" max="16384" width="8.88671875" style="91"/>
  </cols>
  <sheetData>
    <row r="1" spans="1:50" x14ac:dyDescent="0.25">
      <c r="A1"/>
      <c r="B1" s="215" t="s">
        <v>200</v>
      </c>
      <c r="C1" s="215" t="s">
        <v>202</v>
      </c>
      <c r="D1" s="221" t="s">
        <v>203</v>
      </c>
      <c r="E1" s="222" t="s">
        <v>204</v>
      </c>
      <c r="F1" s="222" t="s">
        <v>306</v>
      </c>
      <c r="G1" s="223" t="s">
        <v>201</v>
      </c>
      <c r="H1" s="225" t="s">
        <v>205</v>
      </c>
      <c r="R1" s="202"/>
      <c r="S1" s="202"/>
      <c r="T1" s="202"/>
      <c r="U1" s="202"/>
    </row>
    <row r="2" spans="1:50" x14ac:dyDescent="0.25">
      <c r="A2"/>
      <c r="B2" s="220"/>
      <c r="C2" s="220"/>
      <c r="D2" s="221"/>
      <c r="E2" s="222"/>
      <c r="F2" s="222"/>
      <c r="G2" s="224"/>
      <c r="H2" s="225"/>
      <c r="J2" s="119" t="s">
        <v>209</v>
      </c>
      <c r="K2" s="119" t="s">
        <v>210</v>
      </c>
      <c r="L2" s="119"/>
      <c r="M2" s="119"/>
      <c r="N2" s="119"/>
      <c r="O2" s="119"/>
      <c r="P2" s="119"/>
      <c r="Q2" s="119" t="s">
        <v>308</v>
      </c>
      <c r="R2" s="119" t="s">
        <v>211</v>
      </c>
      <c r="S2" s="119" t="s">
        <v>240</v>
      </c>
      <c r="T2" s="119" t="s">
        <v>241</v>
      </c>
      <c r="U2" s="119" t="s">
        <v>242</v>
      </c>
      <c r="V2" s="119" t="s">
        <v>212</v>
      </c>
      <c r="W2" s="118" t="s">
        <v>243</v>
      </c>
      <c r="X2" s="119" t="s">
        <v>213</v>
      </c>
      <c r="Y2" s="119" t="s">
        <v>312</v>
      </c>
      <c r="Z2" s="122" t="s">
        <v>244</v>
      </c>
      <c r="AA2" s="119" t="s">
        <v>245</v>
      </c>
      <c r="AF2" s="203" t="s">
        <v>214</v>
      </c>
      <c r="AG2" s="204"/>
      <c r="AH2" s="204"/>
      <c r="AI2" s="205"/>
      <c r="AK2" s="206" t="s">
        <v>246</v>
      </c>
      <c r="AL2" s="207"/>
      <c r="AM2" s="229">
        <v>0</v>
      </c>
      <c r="AN2" s="206" t="s">
        <v>247</v>
      </c>
      <c r="AO2" s="207"/>
      <c r="AP2" s="229">
        <v>0</v>
      </c>
      <c r="AQ2" s="147" t="s">
        <v>248</v>
      </c>
      <c r="AR2" s="147" t="s">
        <v>249</v>
      </c>
    </row>
    <row r="3" spans="1:50" ht="21" customHeight="1" x14ac:dyDescent="0.25">
      <c r="A3" s="144" t="str">
        <f>参数调整!A45</f>
        <v>高亮LED</v>
      </c>
      <c r="B3" s="106">
        <f>SUMIF($L$3:$L$14,1,$R$3:$R$14)+SUMIF($L$3:$L$14,1,$S$3:$S$14)+SUMIF($L$3:$L$14,1,$T$3:$T$14)+SUMIF($L$3:$L$14,1,$U$3:$U$14)</f>
        <v>520</v>
      </c>
      <c r="C3" s="107">
        <f>参数调整!B45</f>
        <v>40</v>
      </c>
      <c r="D3" s="107">
        <f>IF(G3&lt;=INDEX(参数调整!$C$63:'参数调整'!$D$68,1,1),C3,IF(G3&lt;=INDEX(参数调整!$C$63:'参数调整'!$D$68,2,1),C3*INDEX(参数调整!$C$63:'参数调整'!$D$68,2,2),IF(G3&lt;=INDEX(参数调整!$C$63:'参数调整'!$D$68,3,1),C3*INDEX(参数调整!$C$63:'参数调整'!$D$68,3,2),IF(G3&lt;=INDEX(参数调整!$C$63:'参数调整'!$D$68,4,1),C3*INDEX(参数调整!$C$63:'参数调整'!$D$68,4,2),IF(G3&lt;=INDEX(参数调整!$C$63:'参数调整'!$D$68,5,1),C3*INDEX(参数调整!$C$63:'参数调整'!$D$68,5,2),C3*INDEX(参数调整!$C$63:'参数调整'!$D$68,6,2))))))</f>
        <v>36</v>
      </c>
      <c r="E3" s="107">
        <f>参数调整!I45</f>
        <v>1</v>
      </c>
      <c r="F3" s="107">
        <f>D3*G3*(参数调整!$B$6+1)</f>
        <v>21902.399999999998</v>
      </c>
      <c r="G3" s="108">
        <f>IF(B3-E30&lt;=0,0,B3-E30)</f>
        <v>520</v>
      </c>
      <c r="H3" s="109"/>
      <c r="J3" s="119" t="str">
        <f>第一季度!J3</f>
        <v>S</v>
      </c>
      <c r="K3" s="119">
        <f>第一季度!K3</f>
        <v>113</v>
      </c>
      <c r="L3" s="125" t="str">
        <f>LEFT(K3,1)</f>
        <v>1</v>
      </c>
      <c r="M3" s="125" t="str">
        <f>MID(K3,2,1)</f>
        <v>1</v>
      </c>
      <c r="N3" s="125" t="str">
        <f>MID(K3,3,1)</f>
        <v>3</v>
      </c>
      <c r="O3" s="125" t="str">
        <f>MID(K3,4,1)</f>
        <v/>
      </c>
      <c r="P3" s="125" t="str">
        <f>MID(K3,5,1)</f>
        <v/>
      </c>
      <c r="Q3" s="126">
        <v>4</v>
      </c>
      <c r="R3" s="126"/>
      <c r="S3" s="126"/>
      <c r="T3" s="126"/>
      <c r="U3" s="126">
        <v>48</v>
      </c>
      <c r="V3" s="127">
        <f>ROUND(R3*0.75+S3*0.8+T3*0.85+U3*0.9+Q3,0)</f>
        <v>47</v>
      </c>
      <c r="W3" s="127">
        <f>IF(J3="S",$S$19/$T$19*(参数调整!$G$11+参数调整!$I$11+参数调整!$J$11+参数调整!$K$11)/100+X3*参数调整!$H$11/100*$S$19/($U$19*$J$18),IF(J3="B",$S$20/$T$20*(参数调整!$G$12+参数调整!$I$12+参数调整!$J$12+参数调整!$K$12)/100+X3*参数调整!$H$12/100*$S$20/($U$20*$J$18),IF(J3="Q",$S$21/$T$21*(参数调整!$G$13+参数调整!$I$13+参数调整!$J$13+参数调整!$K$13)/100+X3*参数调整!$H$13/100*$S$21/($U$21*$J$18),$S$22/$T$22*(参数调整!$G$14+参数调整!$I$14+参数调整!$J$14+参数调整!$K$14)/100+X3*参数调整!$H$14/100*$S$22/($U$22*$J$18))))</f>
        <v>112.90114942528734</v>
      </c>
      <c r="X3" s="126">
        <v>18545</v>
      </c>
      <c r="Y3" s="126"/>
      <c r="Z3" s="122">
        <f>IF(J3="S",X3*参数调整!$H$11/($J$18*$U$19),IF(J3="B",X3*参数调整!$H$12/($J$18*$U$20),IF(J3="Q",X3*参数调整!$H$13/($J$18*$U$21),X3*参数调整!$H$14/($J$18*$U$22))))</f>
        <v>11.025564803804993</v>
      </c>
      <c r="AA3" s="122">
        <f>SUMIFS(X3:X14,J3:J14,"S")</f>
        <v>48353</v>
      </c>
      <c r="AF3" s="203" t="s">
        <v>215</v>
      </c>
      <c r="AG3" s="204"/>
      <c r="AH3" s="205"/>
      <c r="AI3" s="128">
        <f>参数调整!B1-参数调整!B2-参数调整!B3</f>
        <v>587000</v>
      </c>
      <c r="AK3" s="208"/>
      <c r="AL3" s="209"/>
      <c r="AM3" s="230"/>
      <c r="AN3" s="208"/>
      <c r="AO3" s="209"/>
      <c r="AP3" s="230"/>
      <c r="AQ3" s="126"/>
      <c r="AR3" s="126"/>
      <c r="AX3" s="129"/>
    </row>
    <row r="4" spans="1:50" ht="21" customHeight="1" x14ac:dyDescent="0.25">
      <c r="A4" s="144" t="str">
        <f>参数调整!A46</f>
        <v>TFT触摸屏</v>
      </c>
      <c r="B4" s="106">
        <f>SUMIF($L$3:$L$14,2,$R$3:$R$14)+SUMIF($L$3:$L$14,2,$S$3:$S$14)+SUMIF($L$3:$L$14,2,$T$3:$T$14)+SUMIF($L$3:$L$14,2,$U$3:$U$14)</f>
        <v>50</v>
      </c>
      <c r="C4" s="107">
        <f>参数调整!B46</f>
        <v>80</v>
      </c>
      <c r="D4" s="107">
        <f>IF(G4&lt;=INDEX(参数调整!$C$63:'参数调整'!$D$68,1,1),C4,IF(G4&lt;=INDEX(参数调整!$C$63:'参数调整'!$D$68,2,1),C4*INDEX(参数调整!$C$63:'参数调整'!$D$68,2,2),IF(G4&lt;=INDEX(参数调整!$C$63:'参数调整'!$D$68,3,1),C4*INDEX(参数调整!$C$63:'参数调整'!$D$68,3,2),IF(G4&lt;=INDEX(参数调整!$C$63:'参数调整'!$D$68,4,1),C4*INDEX(参数调整!$C$63:'参数调整'!$D$68,4,2),IF(G4&lt;=INDEX(参数调整!$C$63:'参数调整'!$D$68,5,1),C4*INDEX(参数调整!$C$63:'参数调整'!$D$68,5,2),C4*INDEX(参数调整!$C$63:'参数调整'!$D$68,6,2))))))</f>
        <v>80</v>
      </c>
      <c r="E4" s="107">
        <f>参数调整!I46</f>
        <v>1</v>
      </c>
      <c r="F4" s="107">
        <f>D4*G4*(参数调整!$B$6+1)</f>
        <v>4680</v>
      </c>
      <c r="G4" s="108">
        <f t="shared" ref="G4:G16" si="0">IF(B4-E31&lt;=0,0,B4-E31)</f>
        <v>50</v>
      </c>
      <c r="H4" s="109"/>
      <c r="J4" s="119" t="str">
        <f>第一季度!J4</f>
        <v>S</v>
      </c>
      <c r="K4" s="119">
        <f>第一季度!K4</f>
        <v>3333</v>
      </c>
      <c r="L4" s="125" t="str">
        <f t="shared" ref="L4:L14" si="1">LEFT(K4,1)</f>
        <v>3</v>
      </c>
      <c r="M4" s="125" t="str">
        <f t="shared" ref="M4:M14" si="2">MID(K4,2,1)</f>
        <v>3</v>
      </c>
      <c r="N4" s="125" t="str">
        <f t="shared" ref="N4:N14" si="3">MID(K4,3,1)</f>
        <v>3</v>
      </c>
      <c r="O4" s="125" t="str">
        <f t="shared" ref="O4:O14" si="4">MID(K4,4,1)</f>
        <v>3</v>
      </c>
      <c r="P4" s="125" t="str">
        <f t="shared" ref="P4:P14" si="5">MID(K4,5,1)</f>
        <v/>
      </c>
      <c r="Q4" s="126"/>
      <c r="R4" s="126"/>
      <c r="S4" s="126"/>
      <c r="T4" s="126"/>
      <c r="U4" s="126">
        <v>60</v>
      </c>
      <c r="V4" s="127">
        <f t="shared" ref="V4:V14" si="6">ROUND(R4*0.75+S4*0.8+T4*0.85+U4*0.9+Q4,0)</f>
        <v>54</v>
      </c>
      <c r="W4" s="127">
        <f>IF(J4="S",$S$19/$T$19*(参数调整!$G$11+参数调整!$I$11+参数调整!$J$11+参数调整!$K$11)/100+X4*参数调整!$H$11/100*$S$19/($U$19*$J$18),IF(J4="B",$S$20/$T$20*(参数调整!$G$12+参数调整!$I$12+参数调整!$J$12+参数调整!$K$12)/100+X4*参数调整!$H$12/100*$S$20/($U$20*$J$18),IF(J4="Q",$S$21/$T$21*(参数调整!$G$13+参数调整!$I$13+参数调整!$J$13+参数调整!$K$13)/100+X4*参数调整!$H$13/100*$S$21/($U$21*$J$18),$S$22/$T$22*(参数调整!$G$14+参数调整!$I$14+参数调整!$J$14+参数调整!$K$14)/100+X4*参数调整!$H$14/100*$S$22/($U$22*$J$18))))</f>
        <v>0.9916666666666667</v>
      </c>
      <c r="X4" s="126"/>
      <c r="Y4" s="126"/>
      <c r="Z4" s="122">
        <f>IF(J4="S",X4*参数调整!$H$11/($J$18*$U$19),IF(J4="B",X4*参数调整!$H$12/($J$18*$U$20),IF(J4="Q",X4*参数调整!$H$13/($J$18*$U$21),X4*参数调整!$H$14/($J$18*$U$22))))</f>
        <v>0</v>
      </c>
      <c r="AA4" s="122">
        <f>SUMIFS(X3:X14,J3:J14,"B")</f>
        <v>6807</v>
      </c>
      <c r="AF4" s="215" t="s">
        <v>216</v>
      </c>
      <c r="AG4" s="147" t="s">
        <v>217</v>
      </c>
      <c r="AH4" s="120">
        <v>1</v>
      </c>
      <c r="AI4" s="119">
        <f>AH4*参数调整!J23</f>
        <v>50000</v>
      </c>
      <c r="AK4" s="231" t="s">
        <v>250</v>
      </c>
      <c r="AL4" s="203" t="s">
        <v>251</v>
      </c>
      <c r="AM4" s="204"/>
      <c r="AN4" s="205"/>
      <c r="AO4" s="147" t="s">
        <v>252</v>
      </c>
      <c r="AP4" s="147" t="s">
        <v>253</v>
      </c>
      <c r="AQ4" s="227" t="s">
        <v>254</v>
      </c>
      <c r="AR4" s="227"/>
      <c r="AX4" s="129"/>
    </row>
    <row r="5" spans="1:50" ht="21" customHeight="1" x14ac:dyDescent="0.25">
      <c r="A5" s="144" t="str">
        <f>参数调整!A47</f>
        <v>OLED显示屏</v>
      </c>
      <c r="B5" s="106">
        <f>SUMIF($L$3:$L$14,3,$R$3:$R$14)+SUMIF($L$3:$L$14,3,$S$3:$S$14)+SUMIF($L$3:$L$14,3,$T$3:$T$14)+SUMIF($L$3:$L$14,3,$U$3:$U$14)</f>
        <v>60</v>
      </c>
      <c r="C5" s="107">
        <f>参数调整!B47</f>
        <v>110</v>
      </c>
      <c r="D5" s="107">
        <f>IF(G5&lt;=INDEX(参数调整!$C$63:'参数调整'!$D$68,1,1),C5,IF(G5&lt;=INDEX(参数调整!$C$63:'参数调整'!$D$68,2,1),C5*INDEX(参数调整!$C$63:'参数调整'!$D$68,2,2),IF(G5&lt;=INDEX(参数调整!$C$63:'参数调整'!$D$68,3,1),C5*INDEX(参数调整!$C$63:'参数调整'!$D$68,3,2),IF(G5&lt;=INDEX(参数调整!$C$63:'参数调整'!$D$68,4,1),C5*INDEX(参数调整!$C$63:'参数调整'!$D$68,4,2),IF(G5&lt;=INDEX(参数调整!$C$63:'参数调整'!$D$68,5,1),C5*INDEX(参数调整!$C$63:'参数调整'!$D$68,5,2),C5*INDEX(参数调整!$C$63:'参数调整'!$D$68,6,2))))))</f>
        <v>110</v>
      </c>
      <c r="E5" s="107">
        <f>参数调整!I47</f>
        <v>1</v>
      </c>
      <c r="F5" s="107">
        <f>D5*G5*(参数调整!$B$6+1)</f>
        <v>7721.9999999999991</v>
      </c>
      <c r="G5" s="108">
        <f t="shared" si="0"/>
        <v>60</v>
      </c>
      <c r="H5" s="110"/>
      <c r="J5" s="119" t="str">
        <f>第一季度!J5</f>
        <v>S</v>
      </c>
      <c r="K5" s="119">
        <f>第一季度!K5</f>
        <v>13334</v>
      </c>
      <c r="L5" s="125" t="str">
        <f t="shared" si="1"/>
        <v>1</v>
      </c>
      <c r="M5" s="125" t="str">
        <f t="shared" si="2"/>
        <v>3</v>
      </c>
      <c r="N5" s="125" t="str">
        <f t="shared" si="3"/>
        <v>3</v>
      </c>
      <c r="O5" s="125" t="str">
        <f t="shared" si="4"/>
        <v>3</v>
      </c>
      <c r="P5" s="125" t="str">
        <f t="shared" si="5"/>
        <v>4</v>
      </c>
      <c r="Q5" s="126"/>
      <c r="R5" s="126"/>
      <c r="S5" s="126"/>
      <c r="T5" s="126"/>
      <c r="U5" s="126">
        <v>60</v>
      </c>
      <c r="V5" s="127">
        <f t="shared" si="6"/>
        <v>54</v>
      </c>
      <c r="W5" s="127">
        <f>IF(J5="S",$S$19/$T$19*(参数调整!$G$11+参数调整!$I$11+参数调整!$J$11+参数调整!$K$11)/100+X5*参数调整!$H$11/100*$S$19/($U$19*$J$18),IF(J5="B",$S$20/$T$20*(参数调整!$G$12+参数调整!$I$12+参数调整!$J$12+参数调整!$K$12)/100+X5*参数调整!$H$12/100*$S$20/($U$20*$J$18),IF(J5="Q",$S$21/$T$21*(参数调整!$G$13+参数调整!$I$13+参数调整!$J$13+参数调整!$K$13)/100+X5*参数调整!$H$13/100*$S$21/($U$21*$J$18),$S$22/$T$22*(参数调整!$G$14+参数调整!$I$14+参数调整!$J$14+参数调整!$K$14)/100+X5*参数调整!$H$14/100*$S$22/($U$22*$J$18))))</f>
        <v>180.86752873563219</v>
      </c>
      <c r="X5" s="126">
        <v>29808</v>
      </c>
      <c r="Y5" s="126"/>
      <c r="Z5" s="122">
        <f>IF(J5="S",X5*参数调整!$H$11/($J$18*$U$19),IF(J5="B",X5*参数调整!$H$12/($J$18*$U$20),IF(J5="Q",X5*参数调整!$H$13/($J$18*$U$21),X5*参数调整!$H$14/($J$18*$U$22))))</f>
        <v>17.721759809750296</v>
      </c>
      <c r="AA5" s="122">
        <f>SUMIFS(X3:X14,J3:J14,"Q")</f>
        <v>0</v>
      </c>
      <c r="AF5" s="216"/>
      <c r="AG5" s="147" t="s">
        <v>218</v>
      </c>
      <c r="AH5" s="120"/>
      <c r="AI5" s="119">
        <f>AH5*参数调整!H23</f>
        <v>0</v>
      </c>
      <c r="AK5" s="232"/>
      <c r="AL5" s="215" t="s">
        <v>255</v>
      </c>
      <c r="AM5" s="215" t="s">
        <v>219</v>
      </c>
      <c r="AN5" s="147" t="s">
        <v>167</v>
      </c>
      <c r="AO5" s="122">
        <f>SUM(R3:R14)</f>
        <v>0</v>
      </c>
      <c r="AP5" s="147">
        <f>AO5*参数调整!I$32</f>
        <v>0</v>
      </c>
      <c r="AQ5" s="228">
        <f>AP2+AQ36*(1-参数调整!B23)+AR36*(1-参数调整!B24)</f>
        <v>0</v>
      </c>
      <c r="AR5" s="228"/>
      <c r="AX5" s="129"/>
    </row>
    <row r="6" spans="1:50" ht="21" customHeight="1" x14ac:dyDescent="0.25">
      <c r="A6" s="144" t="str">
        <f>参数调整!A48</f>
        <v>塑胶</v>
      </c>
      <c r="B6" s="111">
        <f>SUMIF($M$3:$M$14,1,$R$3:$R$14)+SUMIF($M$3:$M$14,1,$S$3:$S$14)+SUMIF($M$3:$M$14,1,$T$3:$T$14)+SUMIF($M$3:$M$14,1,$U$3:$U$14)</f>
        <v>268</v>
      </c>
      <c r="C6" s="107">
        <f>参数调整!B48</f>
        <v>10</v>
      </c>
      <c r="D6" s="107">
        <f>IF(G6&lt;=INDEX(参数调整!$C$63:'参数调整'!$D$68,1,1),C6,IF(G6&lt;=INDEX(参数调整!$C$63:'参数调整'!$D$68,2,1),C6*INDEX(参数调整!$C$63:'参数调整'!$D$68,2,2),IF(G6&lt;=INDEX(参数调整!$C$63:'参数调整'!$D$68,3,1),C6*INDEX(参数调整!$C$63:'参数调整'!$D$68,3,2),IF(G6&lt;=INDEX(参数调整!$C$63:'参数调整'!$D$68,4,1),C6*INDEX(参数调整!$C$63:'参数调整'!$D$68,4,2),IF(G6&lt;=INDEX(参数调整!$C$63:'参数调整'!$D$68,5,1),C6*INDEX(参数调整!$C$63:'参数调整'!$D$68,5,2),C6*INDEX(参数调整!$C$63:'参数调整'!$D$68,6,2))))))</f>
        <v>9.5</v>
      </c>
      <c r="E6" s="107">
        <f>参数调整!I48</f>
        <v>0</v>
      </c>
      <c r="F6" s="107">
        <f>D6*G6*(参数调整!$B$6+1)</f>
        <v>2978.8199999999997</v>
      </c>
      <c r="G6" s="112">
        <f t="shared" si="0"/>
        <v>268</v>
      </c>
      <c r="H6" s="109"/>
      <c r="J6" s="119" t="str">
        <f>第一季度!J6</f>
        <v>B</v>
      </c>
      <c r="K6" s="119">
        <f>第一季度!K6</f>
        <v>1111</v>
      </c>
      <c r="L6" s="125" t="str">
        <f t="shared" si="1"/>
        <v>1</v>
      </c>
      <c r="M6" s="125" t="str">
        <f t="shared" si="2"/>
        <v>1</v>
      </c>
      <c r="N6" s="125" t="str">
        <f t="shared" si="3"/>
        <v>1</v>
      </c>
      <c r="O6" s="125" t="str">
        <f t="shared" si="4"/>
        <v>1</v>
      </c>
      <c r="P6" s="125" t="str">
        <f t="shared" si="5"/>
        <v/>
      </c>
      <c r="Q6" s="126">
        <v>5</v>
      </c>
      <c r="R6" s="126"/>
      <c r="S6" s="126"/>
      <c r="T6" s="126"/>
      <c r="U6" s="126">
        <v>84</v>
      </c>
      <c r="V6" s="127">
        <f t="shared" si="6"/>
        <v>81</v>
      </c>
      <c r="W6" s="127">
        <f>IF(J6="S",$S$19/$T$19*(参数调整!$G$11+参数调整!$I$11+参数调整!$J$11+参数调整!$K$11)/100+X6*参数调整!$H$11/100*$S$19/($U$19*$J$18),IF(J6="B",$S$20/$T$20*(参数调整!$G$12+参数调整!$I$12+参数调整!$J$12+参数调整!$K$12)/100+X6*参数调整!$H$12/100*$S$20/($U$20*$J$18),IF(J6="Q",$S$21/$T$21*(参数调整!$G$13+参数调整!$I$13+参数调整!$J$13+参数调整!$K$13)/100+X6*参数调整!$H$13/100*$S$21/($U$21*$J$18),$S$22/$T$22*(参数调整!$G$14+参数调整!$I$14+参数调整!$J$14+参数调整!$K$14)/100+X6*参数调整!$H$14/100*$S$22/($U$22*$J$18))))</f>
        <v>57.733004926108372</v>
      </c>
      <c r="X6" s="126">
        <v>6807</v>
      </c>
      <c r="Y6" s="126"/>
      <c r="Z6" s="122">
        <f>IF(J6="S",X6*参数调整!$H$11/($J$18*$U$19),IF(J6="B",X6*参数调整!$H$12/($J$18*$U$20),IF(J6="Q",X6*参数调整!$H$13/($J$18*$U$21),X6*参数调整!$H$14/($J$18*$U$22))))</f>
        <v>5.7813827076609474</v>
      </c>
      <c r="AA6" s="122">
        <f>SUMIFS(X3:X14,J3:J14,"L")</f>
        <v>2151</v>
      </c>
      <c r="AF6" s="217"/>
      <c r="AG6" s="147" t="s">
        <v>220</v>
      </c>
      <c r="AH6" s="120"/>
      <c r="AI6" s="119">
        <f>AH6*参数调整!F23</f>
        <v>0</v>
      </c>
      <c r="AK6" s="232"/>
      <c r="AL6" s="216"/>
      <c r="AM6" s="216"/>
      <c r="AN6" s="147" t="s">
        <v>256</v>
      </c>
      <c r="AO6" s="122">
        <f>SUM(U3:U14)</f>
        <v>630</v>
      </c>
      <c r="AP6" s="147">
        <f>AO6*参数调整!F32</f>
        <v>6300</v>
      </c>
      <c r="AQ6" s="228"/>
      <c r="AR6" s="228"/>
      <c r="AX6" s="129"/>
    </row>
    <row r="7" spans="1:50" ht="21" customHeight="1" x14ac:dyDescent="0.25">
      <c r="A7" s="144" t="str">
        <f>参数调整!A49</f>
        <v>金属</v>
      </c>
      <c r="B7" s="111">
        <f>SUMIF($M$3:$M$14,2,$R$3:$R$14)+SUMIF($M$3:$M$14,2,$S$3:$S$14)+SUMIF($M$3:$M$14,2,$T$3:$T$14)+SUMIF($M$3:$M$14,2,$U$3:$U$14)</f>
        <v>242</v>
      </c>
      <c r="C7" s="107">
        <f>参数调整!B49</f>
        <v>20</v>
      </c>
      <c r="D7" s="107">
        <f>IF(G7&lt;=INDEX(参数调整!$C$63:'参数调整'!$D$68,1,1),C7,IF(G7&lt;=INDEX(参数调整!$C$63:'参数调整'!$D$68,2,1),C7*INDEX(参数调整!$C$63:'参数调整'!$D$68,2,2),IF(G7&lt;=INDEX(参数调整!$C$63:'参数调整'!$D$68,3,1),C7*INDEX(参数调整!$C$63:'参数调整'!$D$68,3,2),IF(G7&lt;=INDEX(参数调整!$C$63:'参数调整'!$D$68,4,1),C7*INDEX(参数调整!$C$63:'参数调整'!$D$68,4,2),IF(G7&lt;=INDEX(参数调整!$C$63:'参数调整'!$D$68,5,1),C7*INDEX(参数调整!$C$63:'参数调整'!$D$68,5,2),C7*INDEX(参数调整!$C$63:'参数调整'!$D$68,6,2))))))</f>
        <v>19</v>
      </c>
      <c r="E7" s="107">
        <f>参数调整!I49</f>
        <v>1</v>
      </c>
      <c r="F7" s="107">
        <f>D7*G7*(参数调整!$B$6+1)</f>
        <v>5379.66</v>
      </c>
      <c r="G7" s="112">
        <f t="shared" si="0"/>
        <v>242</v>
      </c>
      <c r="H7" s="109"/>
      <c r="J7" s="119" t="str">
        <f>第一季度!J7</f>
        <v>Q</v>
      </c>
      <c r="K7" s="119">
        <f>第一季度!K7</f>
        <v>212</v>
      </c>
      <c r="L7" s="125" t="str">
        <f t="shared" si="1"/>
        <v>2</v>
      </c>
      <c r="M7" s="125" t="str">
        <f t="shared" si="2"/>
        <v>1</v>
      </c>
      <c r="N7" s="125" t="str">
        <f t="shared" si="3"/>
        <v>2</v>
      </c>
      <c r="O7" s="125" t="str">
        <f t="shared" si="4"/>
        <v/>
      </c>
      <c r="P7" s="125" t="str">
        <f t="shared" si="5"/>
        <v/>
      </c>
      <c r="Q7" s="126"/>
      <c r="R7" s="126"/>
      <c r="S7" s="126"/>
      <c r="T7" s="126"/>
      <c r="U7" s="126">
        <v>50</v>
      </c>
      <c r="V7" s="127">
        <f t="shared" si="6"/>
        <v>45</v>
      </c>
      <c r="W7" s="127">
        <f>IF(J7="S",$S$19/$T$19*(参数调整!$G$11+参数调整!$I$11+参数调整!$J$11+参数调整!$K$11)/100+X7*参数调整!$H$11/100*$S$19/($U$19*$J$18),IF(J7="B",$S$20/$T$20*(参数调整!$G$12+参数调整!$I$12+参数调整!$J$12+参数调整!$K$12)/100+X7*参数调整!$H$12/100*$S$20/($U$20*$J$18),IF(J7="Q",$S$21/$T$21*(参数调整!$G$13+参数调整!$I$13+参数调整!$J$13+参数调整!$K$13)/100+X7*参数调整!$H$13/100*$S$21/($U$21*$J$18),$S$22/$T$22*(参数调整!$G$14+参数调整!$I$14+参数调整!$J$14+参数调整!$K$14)/100+X7*参数调整!$H$14/100*$S$22/($U$22*$J$18))))</f>
        <v>0.85</v>
      </c>
      <c r="X7" s="126"/>
      <c r="Y7" s="126"/>
      <c r="Z7" s="122">
        <f>IF(J7="S",X7*参数调整!$H$11/($J$18*$U$19),IF(J7="B",X7*参数调整!$H$12/($J$18*$U$20),IF(J7="Q",X7*参数调整!$H$13/($J$18*$U$21),X7*参数调整!$H$14/($J$18*$U$22))))</f>
        <v>0</v>
      </c>
      <c r="AF7" s="215" t="s">
        <v>257</v>
      </c>
      <c r="AG7" s="147" t="s">
        <v>221</v>
      </c>
      <c r="AH7" s="120">
        <v>1</v>
      </c>
      <c r="AI7" s="212"/>
      <c r="AJ7"/>
      <c r="AK7" s="232"/>
      <c r="AL7" s="216"/>
      <c r="AM7" s="216"/>
      <c r="AN7" s="147" t="s">
        <v>166</v>
      </c>
      <c r="AO7" s="122">
        <f>SUM(S3:S14)</f>
        <v>0</v>
      </c>
      <c r="AP7" s="147">
        <f>AO7*参数调整!H32</f>
        <v>0</v>
      </c>
      <c r="AQ7" s="129"/>
      <c r="AR7" s="129"/>
      <c r="AX7" s="129"/>
    </row>
    <row r="8" spans="1:50" ht="21" customHeight="1" x14ac:dyDescent="0.25">
      <c r="A8" s="144" t="str">
        <f>参数调整!A50</f>
        <v>皮革</v>
      </c>
      <c r="B8" s="111">
        <f>SUMIF($M$3:$M$14,3,$R$3:$R$14)+SUMIF($M$3:$M$14,3,$S$3:$S$14)+SUMIF($M$3:$M$14,3,$T$3:$T$14)+SUMIF($M$3:$M$14,3,$U$3:$U$14)</f>
        <v>120</v>
      </c>
      <c r="C8" s="107">
        <f>参数调整!B50</f>
        <v>35</v>
      </c>
      <c r="D8" s="107">
        <f>IF(G8&lt;=INDEX(参数调整!$C$63:'参数调整'!$D$68,1,1),C8,IF(G8&lt;=INDEX(参数调整!$C$63:'参数调整'!$D$68,2,1),C8*INDEX(参数调整!$C$63:'参数调整'!$D$68,2,2),IF(G8&lt;=INDEX(参数调整!$C$63:'参数调整'!$D$68,3,1),C8*INDEX(参数调整!$C$63:'参数调整'!$D$68,3,2),IF(G8&lt;=INDEX(参数调整!$C$63:'参数调整'!$D$68,4,1),C8*INDEX(参数调整!$C$63:'参数调整'!$D$68,4,2),IF(G8&lt;=INDEX(参数调整!$C$63:'参数调整'!$D$68,5,1),C8*INDEX(参数调整!$C$63:'参数调整'!$D$68,5,2),C8*INDEX(参数调整!$C$63:'参数调整'!$D$68,6,2))))))</f>
        <v>35</v>
      </c>
      <c r="E8" s="107">
        <f>参数调整!I50</f>
        <v>1</v>
      </c>
      <c r="F8" s="107">
        <f>D8*G8*(参数调整!$B$6+1)</f>
        <v>4914</v>
      </c>
      <c r="G8" s="112">
        <f t="shared" si="0"/>
        <v>120</v>
      </c>
      <c r="H8" s="109"/>
      <c r="J8" s="119" t="str">
        <f>第一季度!J8</f>
        <v>L</v>
      </c>
      <c r="K8" s="119">
        <f>第一季度!K8</f>
        <v>121</v>
      </c>
      <c r="L8" s="125" t="str">
        <f t="shared" si="1"/>
        <v>1</v>
      </c>
      <c r="M8" s="125" t="str">
        <f t="shared" si="2"/>
        <v>2</v>
      </c>
      <c r="N8" s="125" t="str">
        <f t="shared" si="3"/>
        <v>1</v>
      </c>
      <c r="O8" s="125" t="str">
        <f t="shared" si="4"/>
        <v/>
      </c>
      <c r="P8" s="125" t="str">
        <f t="shared" si="5"/>
        <v/>
      </c>
      <c r="Q8" s="126"/>
      <c r="R8" s="126"/>
      <c r="S8" s="126"/>
      <c r="T8" s="126"/>
      <c r="U8" s="126">
        <v>84</v>
      </c>
      <c r="V8" s="127">
        <f t="shared" si="6"/>
        <v>76</v>
      </c>
      <c r="W8" s="127">
        <f>IF(J8="S",$S$19/$T$19*(参数调整!$G$11+参数调整!$I$11+参数调整!$J$11+参数调整!$K$11)/100+X8*参数调整!$H$11/100*$S$19/($U$19*$J$18),IF(J8="B",$S$20/$T$20*(参数调整!$G$12+参数调整!$I$12+参数调整!$J$12+参数调整!$K$12)/100+X8*参数调整!$H$12/100*$S$20/($U$20*$J$18),IF(J8="Q",$S$21/$T$21*(参数调整!$G$13+参数调整!$I$13+参数调整!$J$13+参数调整!$K$13)/100+X8*参数调整!$H$13/100*$S$21/($U$21*$J$18),$S$22/$T$22*(参数调整!$G$14+参数调整!$I$14+参数调整!$J$14+参数调整!$K$14)/100+X8*参数调整!$H$14/100*$S$22/($U$22*$J$18))))</f>
        <v>0.85499999999999998</v>
      </c>
      <c r="X8" s="126"/>
      <c r="Y8" s="126"/>
      <c r="Z8" s="122">
        <f>IF(J8="S",X8*参数调整!$H$11/($J$18*$U$19),IF(J8="B",X8*参数调整!$H$12/($J$18*$U$20),IF(J8="Q",X8*参数调整!$H$13/($J$18*$U$21),X8*参数调整!$H$14/($J$18*$U$22))))</f>
        <v>0</v>
      </c>
      <c r="AF8" s="216"/>
      <c r="AG8" s="147" t="s">
        <v>222</v>
      </c>
      <c r="AH8" s="120"/>
      <c r="AI8" s="213"/>
      <c r="AJ8"/>
      <c r="AK8" s="232"/>
      <c r="AL8" s="216"/>
      <c r="AM8" s="217"/>
      <c r="AN8" s="147" t="s">
        <v>258</v>
      </c>
      <c r="AO8" s="122">
        <f>SUM(T3:T14)</f>
        <v>0</v>
      </c>
      <c r="AP8" s="147">
        <f>AO8*参数调整!G32</f>
        <v>0</v>
      </c>
      <c r="AQ8" s="129"/>
      <c r="AR8" s="129"/>
      <c r="AX8" s="129"/>
    </row>
    <row r="9" spans="1:50" ht="21" customHeight="1" x14ac:dyDescent="0.25">
      <c r="A9" s="144" t="str">
        <f>参数调整!A51</f>
        <v>7天以下</v>
      </c>
      <c r="B9" s="113">
        <f>SUMIF($N$3:$N$14,1,$R$3:$R$14)+SUMIF($N$3:$N$14,1,$S$3:$S$14)+SUMIF($N$3:$N$14,1,$T$3:$T$14)+SUMIF($N$3:$N$14,1,$U$3:$U$14)</f>
        <v>254</v>
      </c>
      <c r="C9" s="107">
        <f>参数调整!B51</f>
        <v>50</v>
      </c>
      <c r="D9" s="107">
        <f>IF(G9&lt;=INDEX(参数调整!$C$63:'参数调整'!$D$68,1,1),C9,IF(G9&lt;=INDEX(参数调整!$C$63:'参数调整'!$D$68,2,1),C9*INDEX(参数调整!$C$63:'参数调整'!$D$68,2,2),IF(G9&lt;=INDEX(参数调整!$C$63:'参数调整'!$D$68,3,1),C9*INDEX(参数调整!$C$63:'参数调整'!$D$68,3,2),IF(G9&lt;=INDEX(参数调整!$C$63:'参数调整'!$D$68,4,1),C9*INDEX(参数调整!$C$63:'参数调整'!$D$68,4,2),IF(G9&lt;=INDEX(参数调整!$C$63:'参数调整'!$D$68,5,1),C9*INDEX(参数调整!$C$63:'参数调整'!$D$68,5,2),C9*INDEX(参数调整!$C$63:'参数调整'!$D$68,6,2))))))</f>
        <v>47.5</v>
      </c>
      <c r="E9" s="107">
        <f>参数调整!I51</f>
        <v>0</v>
      </c>
      <c r="F9" s="107">
        <f>D9*G9*(参数调整!$B$6+1)</f>
        <v>14116.05</v>
      </c>
      <c r="G9" s="114">
        <f t="shared" si="0"/>
        <v>254</v>
      </c>
      <c r="H9" s="109"/>
      <c r="J9" s="119" t="str">
        <f>第一季度!J9</f>
        <v>L</v>
      </c>
      <c r="K9" s="119">
        <f>第一季度!K9</f>
        <v>122</v>
      </c>
      <c r="L9" s="125" t="str">
        <f t="shared" si="1"/>
        <v>1</v>
      </c>
      <c r="M9" s="125" t="str">
        <f t="shared" si="2"/>
        <v>2</v>
      </c>
      <c r="N9" s="125" t="str">
        <f t="shared" si="3"/>
        <v>2</v>
      </c>
      <c r="O9" s="125" t="str">
        <f t="shared" si="4"/>
        <v/>
      </c>
      <c r="P9" s="125" t="str">
        <f t="shared" si="5"/>
        <v/>
      </c>
      <c r="Q9" s="126"/>
      <c r="R9" s="126"/>
      <c r="S9" s="126"/>
      <c r="T9" s="126"/>
      <c r="U9" s="126">
        <v>158</v>
      </c>
      <c r="V9" s="127">
        <f t="shared" si="6"/>
        <v>142</v>
      </c>
      <c r="W9" s="127">
        <f>IF(J9="S",$S$19/$T$19*(参数调整!$G$11+参数调整!$I$11+参数调整!$J$11+参数调整!$K$11)/100+X9*参数调整!$H$11/100*$S$19/($U$19*$J$18),IF(J9="B",$S$20/$T$20*(参数调整!$G$12+参数调整!$I$12+参数调整!$J$12+参数调整!$K$12)/100+X9*参数调整!$H$12/100*$S$20/($U$20*$J$18),IF(J9="Q",$S$21/$T$21*(参数调整!$G$13+参数调整!$I$13+参数调整!$J$13+参数调整!$K$13)/100+X9*参数调整!$H$13/100*$S$21/($U$21*$J$18),$S$22/$T$22*(参数调整!$G$14+参数调整!$I$14+参数调整!$J$14+参数调整!$K$14)/100+X9*参数调整!$H$14/100*$S$22/($U$22*$J$18))))</f>
        <v>4.5636206896551723</v>
      </c>
      <c r="X9" s="126">
        <v>2151</v>
      </c>
      <c r="Y9" s="126"/>
      <c r="Z9" s="122">
        <f>IF(J9="S",X9*参数调整!$H$11/($J$18*$U$19),IF(J9="B",X9*参数调整!$H$12/($J$18*$U$20),IF(J9="Q",X9*参数调整!$H$13/($J$18*$U$21),X9*参数调整!$H$14/($J$18*$U$22))))</f>
        <v>0.28418549346016647</v>
      </c>
      <c r="AF9" s="217"/>
      <c r="AG9" s="147" t="s">
        <v>223</v>
      </c>
      <c r="AH9" s="120"/>
      <c r="AI9" s="214"/>
      <c r="AJ9"/>
      <c r="AK9" s="232"/>
      <c r="AL9" s="216"/>
      <c r="AM9" s="215" t="s">
        <v>224</v>
      </c>
      <c r="AN9" s="147" t="s">
        <v>225</v>
      </c>
      <c r="AO9" s="122">
        <f>AH7</f>
        <v>1</v>
      </c>
      <c r="AP9" s="147">
        <f>AO9*参数调整!J24</f>
        <v>5000</v>
      </c>
      <c r="AQ9" s="129"/>
      <c r="AR9" s="129"/>
      <c r="AX9" s="129"/>
    </row>
    <row r="10" spans="1:50" ht="21" customHeight="1" x14ac:dyDescent="0.25">
      <c r="A10" s="144" t="str">
        <f>参数调整!A52</f>
        <v>15天</v>
      </c>
      <c r="B10" s="113">
        <f>SUMIF($N$3:$N$14,2,$R$3:$R$14)+SUMIF($N$3:$N$14,2,$S$3:$S$14)+SUMIF($N$3:$N$14,2,$T$3:$T$14)+SUMIF($N$3:$N$14,2,$U$3:$U$14)</f>
        <v>208</v>
      </c>
      <c r="C10" s="107">
        <f>参数调整!B52</f>
        <v>80</v>
      </c>
      <c r="D10" s="107">
        <f>IF(G10&lt;=INDEX(参数调整!$C$63:'参数调整'!$D$68,1,1),C10,IF(G10&lt;=INDEX(参数调整!$C$63:'参数调整'!$D$68,2,1),C10*INDEX(参数调整!$C$63:'参数调整'!$D$68,2,2),IF(G10&lt;=INDEX(参数调整!$C$63:'参数调整'!$D$68,3,1),C10*INDEX(参数调整!$C$63:'参数调整'!$D$68,3,2),IF(G10&lt;=INDEX(参数调整!$C$63:'参数调整'!$D$68,4,1),C10*INDEX(参数调整!$C$63:'参数调整'!$D$68,4,2),IF(G10&lt;=INDEX(参数调整!$C$63:'参数调整'!$D$68,5,1),C10*INDEX(参数调整!$C$63:'参数调整'!$D$68,5,2),C10*INDEX(参数调整!$C$63:'参数调整'!$D$68,6,2))))))</f>
        <v>76</v>
      </c>
      <c r="E10" s="107">
        <f>参数调整!I52</f>
        <v>1</v>
      </c>
      <c r="F10" s="107">
        <f>D10*G10*(参数调整!$B$6+1)</f>
        <v>18495.36</v>
      </c>
      <c r="G10" s="114">
        <f t="shared" si="0"/>
        <v>208</v>
      </c>
      <c r="H10" s="109"/>
      <c r="J10" s="119" t="str">
        <f>第一季度!J10</f>
        <v>L</v>
      </c>
      <c r="K10" s="119">
        <f>第一季度!K10</f>
        <v>111</v>
      </c>
      <c r="L10" s="125" t="str">
        <f t="shared" si="1"/>
        <v>1</v>
      </c>
      <c r="M10" s="125" t="str">
        <f t="shared" si="2"/>
        <v>1</v>
      </c>
      <c r="N10" s="125" t="str">
        <f>MID(K10,3,1)</f>
        <v>1</v>
      </c>
      <c r="O10" s="125" t="str">
        <f t="shared" si="4"/>
        <v/>
      </c>
      <c r="P10" s="125" t="str">
        <f t="shared" si="5"/>
        <v/>
      </c>
      <c r="Q10" s="126"/>
      <c r="R10" s="126"/>
      <c r="S10" s="126"/>
      <c r="T10" s="126"/>
      <c r="U10" s="126">
        <v>86</v>
      </c>
      <c r="V10" s="127">
        <f t="shared" si="6"/>
        <v>77</v>
      </c>
      <c r="W10" s="127">
        <f>IF(J10="S",$S$19/$T$19*(参数调整!$G$11+参数调整!$I$11+参数调整!$J$11+参数调整!$K$11)/100+X10*参数调整!$H$11/100*$S$19/($U$19*$J$18),IF(J10="B",$S$20/$T$20*(参数调整!$G$12+参数调整!$I$12+参数调整!$J$12+参数调整!$K$12)/100+X10*参数调整!$H$12/100*$S$20/($U$20*$J$18),IF(J10="Q",$S$21/$T$21*(参数调整!$G$13+参数调整!$I$13+参数调整!$J$13+参数调整!$K$13)/100+X10*参数调整!$H$13/100*$S$21/($U$21*$J$18),$S$22/$T$22*(参数调整!$G$14+参数调整!$I$14+参数调整!$J$14+参数调整!$K$14)/100+X10*参数调整!$H$14/100*$S$22/($U$22*$J$18))))</f>
        <v>0.85499999999999998</v>
      </c>
      <c r="X10" s="126"/>
      <c r="Y10" s="126"/>
      <c r="Z10" s="122">
        <f>IF(J10="S",X10*参数调整!$H$11/($J$18*$U$19),IF(J10="B",X10*参数调整!$H$12/($J$18*$U$20),IF(J10="Q",X10*参数调整!$H$13/($J$18*$U$21),X10*参数调整!$H$14/($J$18*$U$22))))</f>
        <v>0</v>
      </c>
      <c r="AA10" s="132" t="s">
        <v>259</v>
      </c>
      <c r="AF10" s="215" t="s">
        <v>226</v>
      </c>
      <c r="AG10" s="147" t="s">
        <v>112</v>
      </c>
      <c r="AH10" s="120">
        <v>2</v>
      </c>
      <c r="AI10" s="119">
        <f>AH10*参数调整!I29</f>
        <v>100000</v>
      </c>
      <c r="AK10" s="232"/>
      <c r="AL10" s="216"/>
      <c r="AM10" s="216"/>
      <c r="AN10" s="147" t="s">
        <v>227</v>
      </c>
      <c r="AO10" s="122">
        <f t="shared" ref="AO10:AO12" si="7">AH8</f>
        <v>0</v>
      </c>
      <c r="AP10" s="147">
        <f>AO10*参数调整!H24</f>
        <v>0</v>
      </c>
      <c r="AQ10" s="129"/>
      <c r="AR10" s="129"/>
      <c r="AX10" s="129"/>
    </row>
    <row r="11" spans="1:50" ht="21" customHeight="1" x14ac:dyDescent="0.25">
      <c r="A11" s="144" t="str">
        <f>参数调整!A53</f>
        <v>30天</v>
      </c>
      <c r="B11" s="113">
        <f>SUMIF($N$3:$N$14,3,$R$3:$R$14)+SUMIF($N$3:$N$14,3,$S$3:$S$14)+SUMIF($N$3:$N$14,3,$T$3:$T$14)+SUMIF($N$3:$N$14,3,$U$3:$U$14)</f>
        <v>168</v>
      </c>
      <c r="C11" s="107">
        <f>参数调整!B53</f>
        <v>110</v>
      </c>
      <c r="D11" s="107">
        <f>IF(G11&lt;=INDEX(参数调整!$C$63:'参数调整'!$D$68,1,1),C11,IF(G11&lt;=INDEX(参数调整!$C$63:'参数调整'!$D$68,2,1),C11*INDEX(参数调整!$C$63:'参数调整'!$D$68,2,2),IF(G11&lt;=INDEX(参数调整!$C$63:'参数调整'!$D$68,3,1),C11*INDEX(参数调整!$C$63:'参数调整'!$D$68,3,2),IF(G11&lt;=INDEX(参数调整!$C$63:'参数调整'!$D$68,4,1),C11*INDEX(参数调整!$C$63:'参数调整'!$D$68,4,2),IF(G11&lt;=INDEX(参数调整!$C$63:'参数调整'!$D$68,5,1),C11*INDEX(参数调整!$C$63:'参数调整'!$D$68,5,2),C11*INDEX(参数调整!$C$63:'参数调整'!$D$68,6,2))))))</f>
        <v>110</v>
      </c>
      <c r="E11" s="107">
        <f>参数调整!I53</f>
        <v>0</v>
      </c>
      <c r="F11" s="107">
        <f>D11*G11*(参数调整!$B$6+1)</f>
        <v>21621.599999999999</v>
      </c>
      <c r="G11" s="114">
        <f t="shared" si="0"/>
        <v>168</v>
      </c>
      <c r="H11" s="109"/>
      <c r="J11" s="119">
        <f>第一季度!J11</f>
        <v>0</v>
      </c>
      <c r="K11" s="119">
        <f>第一季度!K11</f>
        <v>0</v>
      </c>
      <c r="L11" s="125" t="str">
        <f t="shared" si="1"/>
        <v>0</v>
      </c>
      <c r="M11" s="125" t="str">
        <f t="shared" si="2"/>
        <v/>
      </c>
      <c r="N11" s="125" t="str">
        <f t="shared" si="3"/>
        <v/>
      </c>
      <c r="O11" s="125" t="str">
        <f t="shared" si="4"/>
        <v/>
      </c>
      <c r="P11" s="125" t="str">
        <f t="shared" si="5"/>
        <v/>
      </c>
      <c r="Q11" s="126"/>
      <c r="R11" s="126"/>
      <c r="S11" s="126"/>
      <c r="T11" s="126"/>
      <c r="U11" s="126"/>
      <c r="V11" s="127">
        <f t="shared" si="6"/>
        <v>0</v>
      </c>
      <c r="W11" s="127">
        <f>IF(J11="S",$S$19/$T$19*(参数调整!$G$11+参数调整!$I$11+参数调整!$J$11+参数调整!$K$11)/100+X11*参数调整!$H$11/100*$S$19/($U$19*$J$18),IF(J11="B",$S$20/$T$20*(参数调整!$G$12+参数调整!$I$12+参数调整!$J$12+参数调整!$K$12)/100+X11*参数调整!$H$12/100*$S$20/($U$20*$J$18),IF(J11="Q",$S$21/$T$21*(参数调整!$G$13+参数调整!$I$13+参数调整!$J$13+参数调整!$K$13)/100+X11*参数调整!$H$13/100*$S$21/($U$21*$J$18),$S$22/$T$22*(参数调整!$G$14+参数调整!$I$14+参数调整!$J$14+参数调整!$K$14)/100+X11*参数调整!$H$14/100*$S$22/($U$22*$J$18))))</f>
        <v>0.85499999999999998</v>
      </c>
      <c r="X11" s="126"/>
      <c r="Y11" s="126"/>
      <c r="Z11" s="122">
        <f>IF(J11="S",X11*参数调整!$H$11/($J$18*$U$19),IF(J11="B",X11*参数调整!$H$12/($J$18*$U$20),IF(J11="Q",X11*参数调整!$H$13/($J$18*$U$21),X11*参数调整!$H$14/($J$18*$U$22))))</f>
        <v>0</v>
      </c>
      <c r="AA11" s="133">
        <f>AI31</f>
        <v>-160127.46999999997</v>
      </c>
      <c r="AF11" s="216"/>
      <c r="AG11" s="147" t="s">
        <v>110</v>
      </c>
      <c r="AH11" s="120"/>
      <c r="AI11" s="119">
        <f>AH11*参数调整!H29</f>
        <v>0</v>
      </c>
      <c r="AK11" s="232"/>
      <c r="AL11" s="216"/>
      <c r="AM11" s="217"/>
      <c r="AN11" s="147" t="s">
        <v>228</v>
      </c>
      <c r="AO11" s="122">
        <f t="shared" si="7"/>
        <v>0</v>
      </c>
      <c r="AP11" s="147">
        <f>AO11*参数调整!F24</f>
        <v>0</v>
      </c>
      <c r="AQ11" s="129"/>
      <c r="AR11" s="129"/>
      <c r="AX11" s="129"/>
    </row>
    <row r="12" spans="1:50" ht="21" customHeight="1" x14ac:dyDescent="0.25">
      <c r="A12" s="144" t="str">
        <f>参数调整!A54</f>
        <v>30天以上</v>
      </c>
      <c r="B12" s="113">
        <f>SUMIF($N$3:$N$14,4,$R$3:$R$14)+SUMIF($N$3:$N$14,4,$S$3:$S$14)+SUMIF($N$3:$N$14,4,$T$3:$T$14)+SUMIF($N$3:$N$14,4,$U$3:$U$14)</f>
        <v>0</v>
      </c>
      <c r="C12" s="107">
        <f>参数调整!B54</f>
        <v>160</v>
      </c>
      <c r="D12" s="107">
        <f>IF(G12&lt;=INDEX(参数调整!$C$63:'参数调整'!$D$68,1,1),C12,IF(G12&lt;=INDEX(参数调整!$C$63:'参数调整'!$D$68,2,1),C12*INDEX(参数调整!$C$63:'参数调整'!$D$68,2,2),IF(G12&lt;=INDEX(参数调整!$C$63:'参数调整'!$D$68,3,1),C12*INDEX(参数调整!$C$63:'参数调整'!$D$68,3,2),IF(G12&lt;=INDEX(参数调整!$C$63:'参数调整'!$D$68,4,1),C12*INDEX(参数调整!$C$63:'参数调整'!$D$68,4,2),IF(G12&lt;=INDEX(参数调整!$C$63:'参数调整'!$D$68,5,1),C12*INDEX(参数调整!$C$63:'参数调整'!$D$68,5,2),C12*INDEX(参数调整!$C$63:'参数调整'!$D$68,6,2))))))</f>
        <v>160</v>
      </c>
      <c r="E12" s="107">
        <f>参数调整!I54</f>
        <v>1</v>
      </c>
      <c r="F12" s="107">
        <f>D12*G12*(参数调整!$B$6+1)</f>
        <v>0</v>
      </c>
      <c r="G12" s="114">
        <f t="shared" si="0"/>
        <v>0</v>
      </c>
      <c r="H12" s="109"/>
      <c r="J12" s="119">
        <f>第一季度!J12</f>
        <v>0</v>
      </c>
      <c r="K12" s="119">
        <f>第一季度!K12</f>
        <v>0</v>
      </c>
      <c r="L12" s="125" t="str">
        <f t="shared" si="1"/>
        <v>0</v>
      </c>
      <c r="M12" s="125" t="str">
        <f t="shared" si="2"/>
        <v/>
      </c>
      <c r="N12" s="125" t="str">
        <f t="shared" si="3"/>
        <v/>
      </c>
      <c r="O12" s="125" t="str">
        <f t="shared" si="4"/>
        <v/>
      </c>
      <c r="P12" s="125" t="str">
        <f t="shared" si="5"/>
        <v/>
      </c>
      <c r="Q12" s="126"/>
      <c r="R12" s="126"/>
      <c r="S12" s="126"/>
      <c r="T12" s="126"/>
      <c r="U12" s="126"/>
      <c r="V12" s="127">
        <f t="shared" si="6"/>
        <v>0</v>
      </c>
      <c r="W12" s="127">
        <f>IF(J12="S",$S$19/$T$19*(参数调整!$G$11+参数调整!$I$11+参数调整!$J$11+参数调整!$K$11)/100+X12*参数调整!$H$11/100*$S$19/($U$19*$J$18),IF(J12="B",$S$20/$T$20*(参数调整!$G$12+参数调整!$I$12+参数调整!$J$12+参数调整!$K$12)/100+X12*参数调整!$H$12/100*$S$20/($U$20*$J$18),IF(J12="Q",$S$21/$T$21*(参数调整!$G$13+参数调整!$I$13+参数调整!$J$13+参数调整!$K$13)/100+X12*参数调整!$H$13/100*$S$21/($U$21*$J$18),$S$22/$T$22*(参数调整!$G$14+参数调整!$I$14+参数调整!$J$14+参数调整!$K$14)/100+X12*参数调整!$H$14/100*$S$22/($U$22*$J$18))))</f>
        <v>0.85499999999999998</v>
      </c>
      <c r="X12" s="126"/>
      <c r="Y12" s="126"/>
      <c r="Z12" s="122">
        <f>IF(J12="S",X12*参数调整!$H$11/($J$18*$U$19),IF(J12="B",X12*参数调整!$H$12/($J$18*$U$20),IF(J12="Q",X12*参数调整!$H$13/($J$18*$U$21),X12*参数调整!$H$14/($J$18*$U$22))))</f>
        <v>0</v>
      </c>
      <c r="AF12" s="216"/>
      <c r="AG12" s="147" t="s">
        <v>229</v>
      </c>
      <c r="AH12" s="120"/>
      <c r="AI12" s="119">
        <f>AH12*参数调整!G29</f>
        <v>0</v>
      </c>
      <c r="AK12" s="232"/>
      <c r="AL12" s="216"/>
      <c r="AM12" s="218" t="s">
        <v>260</v>
      </c>
      <c r="AN12" s="219"/>
      <c r="AO12" s="122">
        <f t="shared" si="7"/>
        <v>2</v>
      </c>
      <c r="AP12" s="151">
        <f>AO12*参数调整!J18*(1+参数调整!B12+参数调整!B13+参数调整!B14+参数调整!B15+参数调整!B16)</f>
        <v>9691.1999999999989</v>
      </c>
      <c r="AQ12" s="129"/>
      <c r="AR12" s="129"/>
      <c r="AX12" s="129"/>
    </row>
    <row r="13" spans="1:50" ht="21" customHeight="1" x14ac:dyDescent="0.25">
      <c r="A13" s="144" t="str">
        <f>参数调整!A55</f>
        <v>有氧锻炼</v>
      </c>
      <c r="B13" s="115">
        <f>SUMIF($O$3:$O$14,1,$R$3:$R$14)+SUMIF($O$3:$O$14,1,$S$3:$S$14)+SUMIF($O$3:$O$14,1,$T$3:$T$14)+SUMIF($O$3:$O$14,1,$U$3:$U$14)</f>
        <v>84</v>
      </c>
      <c r="C13" s="107">
        <f>参数调整!B55</f>
        <v>50</v>
      </c>
      <c r="D13" s="107">
        <f>IF(G13&lt;=INDEX(参数调整!$C$63:'参数调整'!$D$68,1,1),C13,IF(G13&lt;=INDEX(参数调整!$C$63:'参数调整'!$D$68,2,1),C13*INDEX(参数调整!$C$63:'参数调整'!$D$68,2,2),IF(G13&lt;=INDEX(参数调整!$C$63:'参数调整'!$D$68,3,1),C13*INDEX(参数调整!$C$63:'参数调整'!$D$68,3,2),IF(G13&lt;=INDEX(参数调整!$C$63:'参数调整'!$D$68,4,1),C13*INDEX(参数调整!$C$63:'参数调整'!$D$68,4,2),IF(G13&lt;=INDEX(参数调整!$C$63:'参数调整'!$D$68,5,1),C13*INDEX(参数调整!$C$63:'参数调整'!$D$68,5,2),C13*INDEX(参数调整!$C$63:'参数调整'!$D$68,6,2))))))</f>
        <v>50</v>
      </c>
      <c r="E13" s="107">
        <f>参数调整!I55</f>
        <v>1</v>
      </c>
      <c r="F13" s="107">
        <f>D13*G13*(参数调整!$B$6+1)</f>
        <v>4914</v>
      </c>
      <c r="G13" s="149">
        <f t="shared" si="0"/>
        <v>84</v>
      </c>
      <c r="H13" s="110"/>
      <c r="J13" s="119">
        <f>第一季度!J13</f>
        <v>0</v>
      </c>
      <c r="K13" s="119">
        <f>第一季度!K13</f>
        <v>0</v>
      </c>
      <c r="L13" s="125" t="str">
        <f t="shared" si="1"/>
        <v>0</v>
      </c>
      <c r="M13" s="125" t="str">
        <f t="shared" si="2"/>
        <v/>
      </c>
      <c r="N13" s="125" t="str">
        <f t="shared" si="3"/>
        <v/>
      </c>
      <c r="O13" s="125" t="str">
        <f t="shared" si="4"/>
        <v/>
      </c>
      <c r="P13" s="125" t="str">
        <f t="shared" si="5"/>
        <v/>
      </c>
      <c r="Q13" s="126"/>
      <c r="R13" s="126"/>
      <c r="S13" s="126"/>
      <c r="T13" s="126"/>
      <c r="U13" s="126"/>
      <c r="V13" s="127">
        <f t="shared" si="6"/>
        <v>0</v>
      </c>
      <c r="W13" s="127">
        <f>IF(J13="S",$S$19/$T$19*(参数调整!$G$11+参数调整!$I$11+参数调整!$J$11+参数调整!$K$11)/100+X13*参数调整!$H$11/100*$S$19/($U$19*$J$18),IF(J13="B",$S$20/$T$20*(参数调整!$G$12+参数调整!$I$12+参数调整!$J$12+参数调整!$K$12)/100+X13*参数调整!$H$12/100*$S$20/($U$20*$J$18),IF(J13="Q",$S$21/$T$21*(参数调整!$G$13+参数调整!$I$13+参数调整!$J$13+参数调整!$K$13)/100+X13*参数调整!$H$13/100*$S$21/($U$21*$J$18),$S$22/$T$22*(参数调整!$G$14+参数调整!$I$14+参数调整!$J$14+参数调整!$K$14)/100+X13*参数调整!$H$14/100*$S$22/($U$22*$J$18))))</f>
        <v>0.85499999999999998</v>
      </c>
      <c r="X13" s="126"/>
      <c r="Y13" s="126"/>
      <c r="Z13" s="122">
        <f>IF(J13="S",X13*参数调整!$H$11/($J$18*$U$19),IF(J13="B",X13*参数调整!$H$12/($J$18*$U$20),IF(J13="Q",X13*参数调整!$H$13/($J$18*$U$21),X13*参数调整!$H$14/($J$18*$U$22))))</f>
        <v>0</v>
      </c>
      <c r="AF13" s="217"/>
      <c r="AG13" s="147" t="s">
        <v>261</v>
      </c>
      <c r="AH13" s="120">
        <v>2</v>
      </c>
      <c r="AI13" s="119">
        <f>AH13*参数调整!F29</f>
        <v>240000</v>
      </c>
      <c r="AK13" s="232"/>
      <c r="AL13" s="216"/>
      <c r="AM13" s="215" t="s">
        <v>230</v>
      </c>
      <c r="AN13" s="147" t="s">
        <v>167</v>
      </c>
      <c r="AO13" s="126">
        <v>2</v>
      </c>
      <c r="AP13" s="134">
        <f>AO13*参数调整!I33</f>
        <v>3000</v>
      </c>
      <c r="AQ13" s="129"/>
      <c r="AR13" s="129"/>
      <c r="AX13" s="129"/>
    </row>
    <row r="14" spans="1:50" ht="21" customHeight="1" x14ac:dyDescent="0.25">
      <c r="A14" s="144" t="str">
        <f>参数调整!A56</f>
        <v>心率测试</v>
      </c>
      <c r="B14" s="115">
        <f>SUMIF($O$3:$O$14,2,$R$3:$R$14)+SUMIF($O$3:$O$14,2,$S$3:$S$14)+SUMIF($O$3:$O$14,2,$T$3:$T$14)+SUMIF($O$3:$O$14,2,$U$3:$U$14)</f>
        <v>0</v>
      </c>
      <c r="C14" s="107">
        <f>参数调整!B56</f>
        <v>50</v>
      </c>
      <c r="D14" s="107">
        <f>IF(G14&lt;=INDEX(参数调整!$C$63:'参数调整'!$D$68,1,1),C14,IF(G14&lt;=INDEX(参数调整!$C$63:'参数调整'!$D$68,2,1),C14*INDEX(参数调整!$C$63:'参数调整'!$D$68,2,2),IF(G14&lt;=INDEX(参数调整!$C$63:'参数调整'!$D$68,3,1),C14*INDEX(参数调整!$C$63:'参数调整'!$D$68,3,2),IF(G14&lt;=INDEX(参数调整!$C$63:'参数调整'!$D$68,4,1),C14*INDEX(参数调整!$C$63:'参数调整'!$D$68,4,2),IF(G14&lt;=INDEX(参数调整!$C$63:'参数调整'!$D$68,5,1),C14*INDEX(参数调整!$C$63:'参数调整'!$D$68,5,2),C14*INDEX(参数调整!$C$63:'参数调整'!$D$68,6,2))))))</f>
        <v>50</v>
      </c>
      <c r="E14" s="107">
        <f>参数调整!I56</f>
        <v>1</v>
      </c>
      <c r="F14" s="107">
        <f>D14*G14*(参数调整!$B$6+1)</f>
        <v>0</v>
      </c>
      <c r="G14" s="149">
        <f t="shared" si="0"/>
        <v>0</v>
      </c>
      <c r="H14" s="110"/>
      <c r="J14" s="119">
        <f>第一季度!J14</f>
        <v>0</v>
      </c>
      <c r="K14" s="119">
        <f>第一季度!K14</f>
        <v>0</v>
      </c>
      <c r="L14" s="125" t="str">
        <f t="shared" si="1"/>
        <v>0</v>
      </c>
      <c r="M14" s="125" t="str">
        <f t="shared" si="2"/>
        <v/>
      </c>
      <c r="N14" s="125" t="str">
        <f t="shared" si="3"/>
        <v/>
      </c>
      <c r="O14" s="125" t="str">
        <f t="shared" si="4"/>
        <v/>
      </c>
      <c r="P14" s="125" t="str">
        <f t="shared" si="5"/>
        <v/>
      </c>
      <c r="Q14" s="126"/>
      <c r="R14" s="126"/>
      <c r="S14" s="126"/>
      <c r="T14" s="126"/>
      <c r="U14" s="126"/>
      <c r="V14" s="127">
        <f t="shared" si="6"/>
        <v>0</v>
      </c>
      <c r="W14" s="127">
        <f>IF(J14="S",$S$19/$T$19*(参数调整!$G$11+参数调整!$I$11+参数调整!$J$11+参数调整!$K$11)/100+X14*参数调整!$H$11/100*$S$19/($U$19*$J$18),IF(J14="B",$S$20/$T$20*(参数调整!$G$12+参数调整!$I$12+参数调整!$J$12+参数调整!$K$12)/100+X14*参数调整!$H$12/100*$S$20/($U$20*$J$18),IF(J14="Q",$S$21/$T$21*(参数调整!$G$13+参数调整!$I$13+参数调整!$J$13+参数调整!$K$13)/100+X14*参数调整!$H$13/100*$S$21/($U$21*$J$18),$S$22/$T$22*(参数调整!$G$14+参数调整!$I$14+参数调整!$J$14+参数调整!$K$14)/100+X14*参数调整!$H$14/100*$S$22/($U$22*$J$18))))</f>
        <v>0.85499999999999998</v>
      </c>
      <c r="X14" s="126"/>
      <c r="Y14" s="126"/>
      <c r="Z14" s="122">
        <f>IF(J14="S",X14*参数调整!$H$11/($J$18*$U$19),IF(J14="B",X14*参数调整!$H$12/($J$18*$U$20),IF(J14="Q",X14*参数调整!$H$13/($J$18*$U$21),X14*参数调整!$H$14/($J$18*$U$22))))</f>
        <v>0</v>
      </c>
      <c r="AF14" s="203" t="s">
        <v>231</v>
      </c>
      <c r="AG14" s="205"/>
      <c r="AH14" s="120">
        <v>4</v>
      </c>
      <c r="AI14" s="119">
        <f>AH14*参数调整!B31</f>
        <v>120000</v>
      </c>
      <c r="AK14" s="232"/>
      <c r="AL14" s="216"/>
      <c r="AM14" s="216"/>
      <c r="AN14" s="147" t="s">
        <v>256</v>
      </c>
      <c r="AO14" s="126"/>
      <c r="AP14" s="134">
        <f>AO14*参数调整!H33</f>
        <v>0</v>
      </c>
      <c r="AQ14" s="129"/>
      <c r="AR14" s="129"/>
      <c r="AX14" s="129"/>
    </row>
    <row r="15" spans="1:50" ht="21" customHeight="1" x14ac:dyDescent="0.25">
      <c r="A15" s="144" t="str">
        <f>参数调整!A57</f>
        <v>GPS定位</v>
      </c>
      <c r="B15" s="115">
        <f>SUMIF($O$3:$O$14,3,$R$3:$R$14)+SUMIF($O$3:$O$14,3,$S$3:$S$14)+SUMIF($O$3:$O$14,3,$T$3:$T$14)+SUMIF($O$3:$O$14,3,$U$3:$U$14)</f>
        <v>120</v>
      </c>
      <c r="C15" s="107">
        <f>参数调整!B57</f>
        <v>80</v>
      </c>
      <c r="D15" s="107">
        <f>IF(G15&lt;=INDEX(参数调整!$C$63:'参数调整'!$D$68,1,1),C15,IF(G15&lt;=INDEX(参数调整!$C$63:'参数调整'!$D$68,2,1),C15*INDEX(参数调整!$C$63:'参数调整'!$D$68,2,2),IF(G15&lt;=INDEX(参数调整!$C$63:'参数调整'!$D$68,3,1),C15*INDEX(参数调整!$C$63:'参数调整'!$D$68,3,2),IF(G15&lt;=INDEX(参数调整!$C$63:'参数调整'!$D$68,4,1),C15*INDEX(参数调整!$C$63:'参数调整'!$D$68,4,2),IF(G15&lt;=INDEX(参数调整!$C$63:'参数调整'!$D$68,5,1),C15*INDEX(参数调整!$C$63:'参数调整'!$D$68,5,2),C15*INDEX(参数调整!$C$63:'参数调整'!$D$68,6,2))))))</f>
        <v>80</v>
      </c>
      <c r="E15" s="107">
        <f>参数调整!I57</f>
        <v>1</v>
      </c>
      <c r="F15" s="107">
        <f>D15*G15*(参数调整!$B$6+1)</f>
        <v>11232</v>
      </c>
      <c r="G15" s="149">
        <f t="shared" si="0"/>
        <v>120</v>
      </c>
      <c r="H15" s="110"/>
      <c r="R15" s="122">
        <f>SUM(R3:R14)</f>
        <v>0</v>
      </c>
      <c r="S15" s="122">
        <f>SUM(S3:S14)</f>
        <v>0</v>
      </c>
      <c r="T15" s="122">
        <f t="shared" ref="T15:U15" si="8">SUM(T3:T14)</f>
        <v>0</v>
      </c>
      <c r="U15" s="122">
        <f t="shared" si="8"/>
        <v>630</v>
      </c>
      <c r="AF15" s="203" t="s">
        <v>232</v>
      </c>
      <c r="AG15" s="205"/>
      <c r="AH15" s="120">
        <v>2</v>
      </c>
      <c r="AI15" s="119">
        <f>AH15*参数调整!B32</f>
        <v>40000</v>
      </c>
      <c r="AK15" s="232"/>
      <c r="AL15" s="216"/>
      <c r="AM15" s="216"/>
      <c r="AN15" s="147" t="s">
        <v>166</v>
      </c>
      <c r="AO15" s="126"/>
      <c r="AP15" s="134">
        <f>AO15*参数调整!F33</f>
        <v>0</v>
      </c>
      <c r="AQ15" s="129"/>
      <c r="AR15" s="129"/>
    </row>
    <row r="16" spans="1:50" ht="21" customHeight="1" x14ac:dyDescent="0.25">
      <c r="A16" s="144" t="str">
        <f>参数调整!A58</f>
        <v>支付功能</v>
      </c>
      <c r="B16" s="115">
        <f>SUMIF($O$3:$O$14,4,$R$3:$R$14)+SUMIF($O$3:$O$14,4,$S$3:$S$14)+SUMIF($O$3:$O$14,4,$T$3:$T$14)+SUMIF($O$3:$O$14,4,$U$3:$U$14)</f>
        <v>0</v>
      </c>
      <c r="C16" s="107">
        <f>参数调整!B58</f>
        <v>90</v>
      </c>
      <c r="D16" s="107">
        <f>IF(G16&lt;=INDEX(参数调整!$C$63:'参数调整'!$D$68,1,1),C16,IF(G16&lt;=INDEX(参数调整!$C$63:'参数调整'!$D$68,2,1),C16*INDEX(参数调整!$C$63:'参数调整'!$D$68,2,2),IF(G16&lt;=INDEX(参数调整!$C$63:'参数调整'!$D$68,3,1),C16*INDEX(参数调整!$C$63:'参数调整'!$D$68,3,2),IF(G16&lt;=INDEX(参数调整!$C$63:'参数调整'!$D$68,4,1),C16*INDEX(参数调整!$C$63:'参数调整'!$D$68,4,2),IF(G16&lt;=INDEX(参数调整!$C$63:'参数调整'!$D$68,5,1),C16*INDEX(参数调整!$C$63:'参数调整'!$D$68,5,2),C16*INDEX(参数调整!$C$63:'参数调整'!$D$68,6,2))))))</f>
        <v>90</v>
      </c>
      <c r="E16" s="107">
        <f>参数调整!I58</f>
        <v>1</v>
      </c>
      <c r="F16" s="107">
        <f>D16*G16*(参数调整!$B$6+1)</f>
        <v>0</v>
      </c>
      <c r="G16" s="149">
        <f t="shared" si="0"/>
        <v>0</v>
      </c>
      <c r="H16" s="110"/>
      <c r="AF16" s="215" t="s">
        <v>233</v>
      </c>
      <c r="AG16" s="147" t="s">
        <v>262</v>
      </c>
      <c r="AH16" s="120">
        <v>1</v>
      </c>
      <c r="AI16" s="119">
        <f>AH16*参数调整!F3</f>
        <v>20000</v>
      </c>
      <c r="AK16" s="232"/>
      <c r="AL16" s="217"/>
      <c r="AM16" s="217"/>
      <c r="AN16" s="147" t="s">
        <v>258</v>
      </c>
      <c r="AO16" s="126"/>
      <c r="AP16" s="134">
        <f>AO16*参数调整!G33</f>
        <v>0</v>
      </c>
      <c r="AQ16" s="129"/>
      <c r="AR16" s="129"/>
    </row>
    <row r="17" spans="1:44" ht="13.8" customHeight="1" x14ac:dyDescent="0.25">
      <c r="J17" s="226" t="s">
        <v>263</v>
      </c>
      <c r="K17" s="226"/>
      <c r="AF17" s="216"/>
      <c r="AG17" s="147" t="s">
        <v>264</v>
      </c>
      <c r="AH17" s="120">
        <v>1</v>
      </c>
      <c r="AI17" s="119">
        <f>AH17*参数调整!F4</f>
        <v>20000</v>
      </c>
      <c r="AJ17"/>
      <c r="AK17" s="232"/>
      <c r="AL17" s="203" t="s">
        <v>265</v>
      </c>
      <c r="AM17" s="204"/>
      <c r="AN17" s="205"/>
      <c r="AO17" s="122">
        <v>1</v>
      </c>
      <c r="AP17" s="147">
        <f>AO17*参数调整!B11*(1+参数调整!B12+参数调整!B13+参数调整!B14+参数调整!B15+参数调整!B16)</f>
        <v>13459.999999999998</v>
      </c>
      <c r="AQ17" s="129"/>
      <c r="AR17" s="129"/>
    </row>
    <row r="18" spans="1:44" ht="13.8" customHeight="1" x14ac:dyDescent="0.25">
      <c r="A18" s="200" t="s">
        <v>206</v>
      </c>
      <c r="B18" s="201"/>
      <c r="G18" s="116">
        <f>SUMIF(E3:E16,0,F3:F16)</f>
        <v>38716.47</v>
      </c>
      <c r="J18" s="241">
        <v>29</v>
      </c>
      <c r="K18" s="242"/>
      <c r="R18" s="119" t="s">
        <v>266</v>
      </c>
      <c r="S18" s="119" t="s">
        <v>267</v>
      </c>
      <c r="T18" s="118" t="s">
        <v>309</v>
      </c>
      <c r="U18" s="118" t="s">
        <v>310</v>
      </c>
      <c r="V18" s="118" t="s">
        <v>208</v>
      </c>
      <c r="W18" s="119" t="s">
        <v>312</v>
      </c>
      <c r="AF18" s="216"/>
      <c r="AG18" s="147" t="s">
        <v>271</v>
      </c>
      <c r="AH18" s="120">
        <v>1</v>
      </c>
      <c r="AI18" s="119">
        <f>AH18*参数调整!F5</f>
        <v>20000</v>
      </c>
      <c r="AJ18" s="136"/>
      <c r="AK18" s="232"/>
      <c r="AL18" s="206" t="s">
        <v>272</v>
      </c>
      <c r="AM18" s="207"/>
      <c r="AN18" s="147" t="s">
        <v>273</v>
      </c>
      <c r="AO18" s="122">
        <f>AH24</f>
        <v>2</v>
      </c>
      <c r="AP18" s="137">
        <f>AO18*参数调整!B10</f>
        <v>2000</v>
      </c>
      <c r="AQ18" s="129"/>
      <c r="AR18" s="129"/>
    </row>
    <row r="19" spans="1:44" ht="13.8" customHeight="1" x14ac:dyDescent="0.25">
      <c r="J19" s="241"/>
      <c r="K19" s="242"/>
      <c r="N19"/>
      <c r="R19" s="119" t="s">
        <v>196</v>
      </c>
      <c r="S19" s="126">
        <f>S24</f>
        <v>1015</v>
      </c>
      <c r="T19" s="126">
        <f>T24</f>
        <v>870</v>
      </c>
      <c r="U19" s="126">
        <f>U24</f>
        <v>870</v>
      </c>
      <c r="V19" s="126"/>
      <c r="W19" s="122"/>
      <c r="AF19" s="216"/>
      <c r="AG19" s="147" t="s">
        <v>274</v>
      </c>
      <c r="AH19" s="120">
        <v>1</v>
      </c>
      <c r="AI19" s="119">
        <f>AH19*参数调整!F6</f>
        <v>20000</v>
      </c>
      <c r="AJ19"/>
      <c r="AK19" s="232"/>
      <c r="AL19" s="208"/>
      <c r="AM19" s="209"/>
      <c r="AN19" s="147" t="s">
        <v>275</v>
      </c>
      <c r="AO19" s="122">
        <f>AH25</f>
        <v>1</v>
      </c>
      <c r="AP19" s="147">
        <f>AO19*参数调整!B10</f>
        <v>1000</v>
      </c>
      <c r="AQ19" s="129"/>
      <c r="AR19" s="129"/>
    </row>
    <row r="20" spans="1:44" ht="13.8" customHeight="1" x14ac:dyDescent="0.25">
      <c r="A20" s="148"/>
      <c r="B20" s="118" t="s">
        <v>207</v>
      </c>
      <c r="C20" s="119"/>
      <c r="D20" s="119"/>
      <c r="E20" s="119"/>
      <c r="F20" s="119"/>
      <c r="G20" s="119" t="s">
        <v>208</v>
      </c>
      <c r="H20"/>
      <c r="J20" s="241"/>
      <c r="K20" s="242"/>
      <c r="N20"/>
      <c r="R20" s="119" t="s">
        <v>197</v>
      </c>
      <c r="S20" s="126">
        <f t="shared" ref="S20:U22" si="9">S25</f>
        <v>986</v>
      </c>
      <c r="T20" s="126">
        <f t="shared" si="9"/>
        <v>1015</v>
      </c>
      <c r="U20" s="126">
        <f t="shared" si="9"/>
        <v>1015</v>
      </c>
      <c r="V20" s="126"/>
      <c r="W20" s="122"/>
      <c r="AF20" s="216"/>
      <c r="AG20" s="147" t="s">
        <v>276</v>
      </c>
      <c r="AH20" s="120">
        <v>1</v>
      </c>
      <c r="AI20" s="119">
        <f>AH20*参数调整!F7</f>
        <v>20000</v>
      </c>
      <c r="AJ20"/>
      <c r="AK20" s="232"/>
      <c r="AL20" s="206" t="s">
        <v>277</v>
      </c>
      <c r="AM20" s="207"/>
      <c r="AN20" s="147" t="s">
        <v>167</v>
      </c>
      <c r="AO20" s="126"/>
      <c r="AP20" s="147">
        <f>AO20*参数调整!I29</f>
        <v>0</v>
      </c>
      <c r="AQ20" s="129"/>
      <c r="AR20" s="129"/>
    </row>
    <row r="21" spans="1:44" ht="13.8" customHeight="1" x14ac:dyDescent="0.25">
      <c r="A21" s="119" t="s">
        <v>196</v>
      </c>
      <c r="B21" s="120"/>
      <c r="C21"/>
      <c r="D21"/>
      <c r="E21"/>
      <c r="F21"/>
      <c r="G21" s="119" t="e">
        <f>AA3*参数调整!H11/($J$18*B21)</f>
        <v>#DIV/0!</v>
      </c>
      <c r="H21" s="121"/>
      <c r="J21" s="226" t="s">
        <v>278</v>
      </c>
      <c r="K21" s="244"/>
      <c r="N21"/>
      <c r="R21" s="119" t="s">
        <v>198</v>
      </c>
      <c r="S21" s="126">
        <f t="shared" si="9"/>
        <v>1160</v>
      </c>
      <c r="T21" s="126">
        <f t="shared" si="9"/>
        <v>1160</v>
      </c>
      <c r="U21" s="126">
        <f t="shared" si="9"/>
        <v>1160</v>
      </c>
      <c r="V21" s="126"/>
      <c r="W21" s="122"/>
      <c r="AF21" s="217"/>
      <c r="AG21" s="147" t="s">
        <v>279</v>
      </c>
      <c r="AH21" s="120"/>
      <c r="AI21" s="119">
        <f>AH21*参数调整!F8</f>
        <v>0</v>
      </c>
      <c r="AJ21"/>
      <c r="AK21" s="232"/>
      <c r="AL21" s="220"/>
      <c r="AM21" s="243"/>
      <c r="AN21" s="147" t="s">
        <v>256</v>
      </c>
      <c r="AO21" s="126"/>
      <c r="AP21" s="147">
        <f>AO21*参数调整!F29</f>
        <v>0</v>
      </c>
      <c r="AQ21" s="129"/>
      <c r="AR21" s="129"/>
    </row>
    <row r="22" spans="1:44" ht="13.8" customHeight="1" x14ac:dyDescent="0.25">
      <c r="A22" s="119" t="s">
        <v>197</v>
      </c>
      <c r="B22" s="120"/>
      <c r="C22"/>
      <c r="D22"/>
      <c r="E22"/>
      <c r="F22"/>
      <c r="G22" s="119" t="e">
        <f>AA4*参数调整!H12/($J$18*B22)</f>
        <v>#DIV/0!</v>
      </c>
      <c r="H22" s="121"/>
      <c r="J22" s="241">
        <v>29</v>
      </c>
      <c r="K22" s="242"/>
      <c r="N22"/>
      <c r="R22" s="119" t="s">
        <v>199</v>
      </c>
      <c r="S22" s="126">
        <f t="shared" si="9"/>
        <v>1305</v>
      </c>
      <c r="T22" s="126">
        <f t="shared" si="9"/>
        <v>1450</v>
      </c>
      <c r="U22" s="126">
        <f t="shared" si="9"/>
        <v>1305</v>
      </c>
      <c r="V22" s="126"/>
      <c r="W22" s="122"/>
      <c r="AF22" s="203" t="s">
        <v>280</v>
      </c>
      <c r="AG22" s="205"/>
      <c r="AH22" s="120"/>
      <c r="AI22" s="119">
        <f>AH22*参数调整!C40</f>
        <v>0</v>
      </c>
      <c r="AK22" s="232"/>
      <c r="AL22" s="220"/>
      <c r="AM22" s="243"/>
      <c r="AN22" s="147" t="s">
        <v>166</v>
      </c>
      <c r="AO22" s="126"/>
      <c r="AP22" s="147">
        <f>AO22*参数调整!H29</f>
        <v>0</v>
      </c>
      <c r="AQ22" s="129"/>
      <c r="AR22" s="129"/>
    </row>
    <row r="23" spans="1:44" ht="13.8" customHeight="1" x14ac:dyDescent="0.25">
      <c r="A23" s="119" t="s">
        <v>198</v>
      </c>
      <c r="B23" s="120"/>
      <c r="C23"/>
      <c r="D23"/>
      <c r="E23"/>
      <c r="F23"/>
      <c r="G23" s="119" t="e">
        <f>AA5*参数调整!H13/($J$18*B23)</f>
        <v>#DIV/0!</v>
      </c>
      <c r="H23" s="121"/>
      <c r="J23" s="241"/>
      <c r="K23" s="242"/>
      <c r="R23" s="139" t="s">
        <v>281</v>
      </c>
      <c r="S23" s="253" t="s">
        <v>311</v>
      </c>
      <c r="T23" s="254"/>
      <c r="U23" s="255"/>
      <c r="V23" s="138" t="s">
        <v>313</v>
      </c>
      <c r="W23"/>
      <c r="AF23" s="203" t="s">
        <v>282</v>
      </c>
      <c r="AG23" s="205"/>
      <c r="AH23" s="120"/>
      <c r="AI23" s="119">
        <f>AH23*参数调整!C41</f>
        <v>0</v>
      </c>
      <c r="AK23" s="232"/>
      <c r="AL23" s="208"/>
      <c r="AM23" s="209"/>
      <c r="AN23" s="147" t="s">
        <v>258</v>
      </c>
      <c r="AO23" s="126"/>
      <c r="AP23" s="147">
        <f>AO23*参数调整!G29</f>
        <v>0</v>
      </c>
      <c r="AQ23" s="129"/>
      <c r="AR23" s="129"/>
    </row>
    <row r="24" spans="1:44" ht="13.8" customHeight="1" x14ac:dyDescent="0.25">
      <c r="A24" s="119" t="s">
        <v>199</v>
      </c>
      <c r="B24" s="120"/>
      <c r="C24"/>
      <c r="D24"/>
      <c r="E24"/>
      <c r="F24"/>
      <c r="G24" s="119" t="e">
        <f>AA6*参数调整!H14/($J$18*B24)</f>
        <v>#DIV/0!</v>
      </c>
      <c r="H24" s="121"/>
      <c r="J24" s="241"/>
      <c r="K24" s="242"/>
      <c r="R24" s="1">
        <f>J22-J18</f>
        <v>0</v>
      </c>
      <c r="S24" s="119">
        <f>J22*35</f>
        <v>1015</v>
      </c>
      <c r="T24" s="119">
        <f>J22*30</f>
        <v>870</v>
      </c>
      <c r="U24" s="119">
        <f>J22*30</f>
        <v>870</v>
      </c>
      <c r="V24" s="138">
        <v>10823.875723338631</v>
      </c>
      <c r="AF24" s="203" t="s">
        <v>234</v>
      </c>
      <c r="AG24" s="205"/>
      <c r="AH24" s="120">
        <v>2</v>
      </c>
      <c r="AI24" s="119">
        <f>AH24*参数调整!F18</f>
        <v>600</v>
      </c>
      <c r="AK24" s="232"/>
      <c r="AL24" s="206" t="s">
        <v>283</v>
      </c>
      <c r="AM24" s="207"/>
      <c r="AN24" s="147" t="s">
        <v>284</v>
      </c>
      <c r="AO24" s="126"/>
      <c r="AP24" s="147">
        <f>AO24*参数调整!F23</f>
        <v>0</v>
      </c>
      <c r="AQ24" s="129"/>
      <c r="AR24" s="129"/>
    </row>
    <row r="25" spans="1:44" ht="13.8" customHeight="1" x14ac:dyDescent="0.25">
      <c r="S25" s="119">
        <f>J22*34</f>
        <v>986</v>
      </c>
      <c r="T25" s="119">
        <f>J22*35</f>
        <v>1015</v>
      </c>
      <c r="U25" s="119">
        <f>J22*35</f>
        <v>1015</v>
      </c>
      <c r="V25" s="138">
        <v>17176.477630863857</v>
      </c>
      <c r="AF25" s="203" t="s">
        <v>235</v>
      </c>
      <c r="AG25" s="205"/>
      <c r="AH25" s="120">
        <v>1</v>
      </c>
      <c r="AI25" s="119">
        <f>AH25*参数调整!F17</f>
        <v>500</v>
      </c>
      <c r="AK25" s="232"/>
      <c r="AL25" s="220"/>
      <c r="AM25" s="243"/>
      <c r="AN25" s="147" t="s">
        <v>285</v>
      </c>
      <c r="AO25" s="126"/>
      <c r="AP25" s="147">
        <f>AO25*参数调整!H23</f>
        <v>0</v>
      </c>
      <c r="AQ25" s="129"/>
      <c r="AR25" s="129"/>
    </row>
    <row r="26" spans="1:44" ht="13.8" customHeight="1" x14ac:dyDescent="0.25">
      <c r="S26" s="119">
        <f>J22*40</f>
        <v>1160</v>
      </c>
      <c r="T26" s="119">
        <f>J22*40</f>
        <v>1160</v>
      </c>
      <c r="U26" s="119">
        <f>J22*40</f>
        <v>1160</v>
      </c>
      <c r="V26" s="138">
        <v>6589.5861792214282</v>
      </c>
      <c r="AF26" s="203" t="s">
        <v>236</v>
      </c>
      <c r="AG26" s="204"/>
      <c r="AH26" s="205"/>
      <c r="AI26" s="119">
        <f>SUM(AA3:AA6)</f>
        <v>57311</v>
      </c>
      <c r="AK26" s="232"/>
      <c r="AL26" s="208"/>
      <c r="AM26" s="209"/>
      <c r="AN26" s="147" t="s">
        <v>286</v>
      </c>
      <c r="AO26" s="126"/>
      <c r="AP26" s="147">
        <f>AO26*参数调整!J23</f>
        <v>0</v>
      </c>
      <c r="AQ26" s="129"/>
      <c r="AR26" s="129"/>
    </row>
    <row r="27" spans="1:44" ht="13.8" customHeight="1" x14ac:dyDescent="0.25">
      <c r="A27" s="157"/>
      <c r="B27" s="157"/>
      <c r="C27" s="157"/>
      <c r="D27" s="157"/>
      <c r="E27" s="157"/>
      <c r="F27" s="157"/>
      <c r="G27" s="157"/>
      <c r="S27" s="119">
        <f>J22*45</f>
        <v>1305</v>
      </c>
      <c r="T27" s="119">
        <f>J22*50</f>
        <v>1450</v>
      </c>
      <c r="U27" s="119">
        <f>J22*45</f>
        <v>1305</v>
      </c>
      <c r="V27" s="138">
        <v>1645.5848581327728</v>
      </c>
      <c r="AF27" s="203" t="s">
        <v>237</v>
      </c>
      <c r="AG27" s="204"/>
      <c r="AH27" s="205"/>
      <c r="AI27" s="119">
        <f>G18</f>
        <v>38716.47</v>
      </c>
      <c r="AK27" s="232"/>
      <c r="AL27" s="203" t="s">
        <v>287</v>
      </c>
      <c r="AM27" s="204"/>
      <c r="AN27" s="205"/>
      <c r="AO27" s="122">
        <f>AO19</f>
        <v>1</v>
      </c>
      <c r="AP27" s="147">
        <f>AO27*参数调整!J17*(1+参数调整!B12+参数调整!B13+参数调整!B14+参数调整!B15+参数调整!B16)</f>
        <v>5383.9999999999991</v>
      </c>
      <c r="AQ27" s="129"/>
      <c r="AR27" s="129"/>
    </row>
    <row r="28" spans="1:44" ht="13.8" customHeight="1" x14ac:dyDescent="0.3">
      <c r="A28" s="158"/>
      <c r="B28" s="158"/>
      <c r="C28" s="159"/>
      <c r="D28" s="159"/>
      <c r="E28" s="159"/>
      <c r="F28" s="159"/>
      <c r="G28" s="160" t="s">
        <v>314</v>
      </c>
      <c r="AF28" s="203" t="s">
        <v>238</v>
      </c>
      <c r="AG28" s="204"/>
      <c r="AH28" s="205"/>
      <c r="AI28" s="140">
        <f>AI3-SUM(AI4:AI27)</f>
        <v>-160127.46999999997</v>
      </c>
      <c r="AJ28" s="141">
        <f>AI28/(1-参数调整!B18)</f>
        <v>-168555.23157894734</v>
      </c>
      <c r="AK28" s="232"/>
      <c r="AL28" s="215" t="s">
        <v>288</v>
      </c>
      <c r="AM28" s="245" t="s">
        <v>289</v>
      </c>
      <c r="AN28" s="239" t="s">
        <v>196</v>
      </c>
      <c r="AO28" s="229"/>
      <c r="AP28" s="215">
        <f>AO28*参数调整!$B$30*参数调整!F11</f>
        <v>0</v>
      </c>
      <c r="AQ28" s="129"/>
      <c r="AR28" s="129"/>
    </row>
    <row r="29" spans="1:44" ht="46.8" x14ac:dyDescent="0.3">
      <c r="A29" s="252" t="s">
        <v>177</v>
      </c>
      <c r="B29" s="160" t="s">
        <v>315</v>
      </c>
      <c r="C29" s="161"/>
      <c r="D29" s="161"/>
      <c r="E29" s="161"/>
      <c r="F29" s="161"/>
      <c r="G29" s="162">
        <v>29</v>
      </c>
      <c r="H29" s="163" t="s">
        <v>316</v>
      </c>
      <c r="AF29" s="236" t="s">
        <v>239</v>
      </c>
      <c r="AG29" s="237"/>
      <c r="AH29" s="238"/>
      <c r="AI29" s="126"/>
      <c r="AK29" s="232"/>
      <c r="AL29" s="216"/>
      <c r="AM29" s="246"/>
      <c r="AN29" s="240"/>
      <c r="AO29" s="230"/>
      <c r="AP29" s="217"/>
      <c r="AQ29" s="129"/>
      <c r="AR29" s="129"/>
    </row>
    <row r="30" spans="1:44" ht="31.2" x14ac:dyDescent="0.3">
      <c r="A30" s="252"/>
      <c r="B30" s="160" t="s">
        <v>317</v>
      </c>
      <c r="C30" s="161"/>
      <c r="D30" s="161"/>
      <c r="E30" s="161"/>
      <c r="F30" s="161"/>
      <c r="G30" s="164">
        <v>29</v>
      </c>
      <c r="H30" s="165" t="s">
        <v>318</v>
      </c>
      <c r="R30" s="171" t="s">
        <v>337</v>
      </c>
      <c r="V30" s="172" t="s">
        <v>338</v>
      </c>
      <c r="AF30" s="203" t="s">
        <v>290</v>
      </c>
      <c r="AG30" s="204"/>
      <c r="AH30" s="205"/>
      <c r="AI30" s="126"/>
      <c r="AK30" s="232"/>
      <c r="AL30" s="216"/>
      <c r="AM30" s="246"/>
      <c r="AN30" s="239" t="s">
        <v>197</v>
      </c>
      <c r="AO30" s="229"/>
      <c r="AP30" s="215">
        <f>AO30*参数调整!$B$30*参数调整!F12</f>
        <v>0</v>
      </c>
      <c r="AQ30" s="129"/>
      <c r="AR30" s="129"/>
    </row>
    <row r="31" spans="1:44" ht="78" x14ac:dyDescent="0.3">
      <c r="A31" s="252" t="s">
        <v>319</v>
      </c>
      <c r="B31" s="160" t="s">
        <v>315</v>
      </c>
      <c r="C31" s="161"/>
      <c r="D31" s="161"/>
      <c r="E31" s="161"/>
      <c r="F31" s="161"/>
      <c r="G31" s="164">
        <v>11</v>
      </c>
      <c r="H31" s="165" t="s">
        <v>320</v>
      </c>
      <c r="Q31" s="172">
        <f t="shared" ref="Q31:Q42" si="10">D10</f>
        <v>76</v>
      </c>
      <c r="R31" s="173" t="e">
        <f>ROUNDUP(IF(D10="S",P10*$R$18/($R$18+$S$18+$T$18),IF(D10="B",P10*$R$19/($R$19+$S$19+$T$19),IF(D10="Q",P10*$R$20/($R$20+$S$20+$T$20),P10*$R$21/($R$21+$S$21+$T$21)))),1)</f>
        <v>#VALUE!</v>
      </c>
      <c r="S31" s="174" t="e">
        <f>ROUNDUP(IF(D10="S",P10*$S$18/($R$18+$S$18+$T$18),IF(D10="B",P10*$S$19/($R$19+$S$19+$T$19),IF(D10="Q",P10*$S$20/($R$20+$S$20+$T$20),P10*$S$21/($R$21+$S$21+$T$21)))),1)</f>
        <v>#VALUE!</v>
      </c>
      <c r="T31" s="174" t="e">
        <f>ROUNDUP(IF(D10="S",P10*$T$18/($R$18+$S$18+$T$18),IF(D10="B",P10*$T$19/($R$19+$S$19+$T$19),IF(D10="Q",P10*$T$20/($R$20+$S$20+$T$20),P10*$T$21/($R$21+$S$21+$T$21)))),1)</f>
        <v>#VALUE!</v>
      </c>
      <c r="U31" s="172" t="e">
        <f>P10-TRUNC(R31)-TRUNC(S31)-TRUNC(T31)</f>
        <v>#VALUE!</v>
      </c>
      <c r="V31" s="175"/>
      <c r="AF31" s="227" t="s">
        <v>238</v>
      </c>
      <c r="AG31" s="227"/>
      <c r="AH31" s="227"/>
      <c r="AI31" s="142">
        <f>AI28+AI29*(1-参数调整!B18)+AI30*(1-参数调整!B23)</f>
        <v>-160127.46999999997</v>
      </c>
      <c r="AK31" s="232"/>
      <c r="AL31" s="216"/>
      <c r="AM31" s="246"/>
      <c r="AN31" s="240"/>
      <c r="AO31" s="230"/>
      <c r="AP31" s="217"/>
      <c r="AQ31" s="129"/>
      <c r="AR31" s="129"/>
    </row>
    <row r="32" spans="1:44" ht="15.6" x14ac:dyDescent="0.3">
      <c r="A32" s="252"/>
      <c r="B32" s="160" t="s">
        <v>321</v>
      </c>
      <c r="C32" s="161"/>
      <c r="D32" s="161"/>
      <c r="E32" s="161"/>
      <c r="F32" s="161"/>
      <c r="G32" s="166">
        <f>H32-G31-G33</f>
        <v>54</v>
      </c>
      <c r="H32" s="167">
        <v>67</v>
      </c>
      <c r="Q32" s="172">
        <f t="shared" si="10"/>
        <v>110</v>
      </c>
      <c r="R32" s="173" t="e">
        <f t="shared" ref="R32:R41" si="11">ROUNDUP(IF(D11="S",P11*$R$18/($R$18+$S$18+$T$18),IF(D11="B",P11*$R$19/($R$19+$S$19+$T$19),IF(D11="Q",P11*$R$20/($R$20+$S$20+$T$20),P11*$R$21/($R$21+$S$21+$T$21)))),1)</f>
        <v>#VALUE!</v>
      </c>
      <c r="S32" s="174" t="e">
        <f t="shared" ref="S32" si="12">ROUNDUP(IF(D11="S",P11*$S$18/($R$18+$S$18+$T$18),IF(D11="B",P11*$S$19/($R$19+$S$19+$T$19),IF(D11="Q",P11*$S$20/($R$20+$S$20+$T$20),P11*$S$21/($R$21+$S$21+$T$21)))),1)</f>
        <v>#VALUE!</v>
      </c>
      <c r="T32" s="174" t="e">
        <f t="shared" ref="T32:T42" si="13">ROUNDUP(IF(D11="S",P11*$T$18/($R$18+$S$18+$T$18),IF(D11="B",P11*$T$19/($R$19+$S$19+$T$19),IF(D11="Q",P11*$T$20/($R$20+$S$20+$T$20),P11*$T$21/($R$21+$S$21+$T$21)))),1)</f>
        <v>#VALUE!</v>
      </c>
      <c r="U32" s="172" t="e">
        <f t="shared" ref="U32:U42" si="14">P11-TRUNC(R32)-TRUNC(S32)-TRUNC(T32)</f>
        <v>#VALUE!</v>
      </c>
      <c r="V32" s="175"/>
      <c r="AK32" s="232"/>
      <c r="AL32" s="216"/>
      <c r="AM32" s="246"/>
      <c r="AN32" s="239" t="s">
        <v>198</v>
      </c>
      <c r="AO32" s="229"/>
      <c r="AP32" s="215">
        <f>AO32*参数调整!$B$30*参数调整!F13</f>
        <v>0</v>
      </c>
      <c r="AQ32" s="129"/>
      <c r="AR32" s="129"/>
    </row>
    <row r="33" spans="1:44" ht="15.6" x14ac:dyDescent="0.3">
      <c r="A33" s="252"/>
      <c r="B33" s="160">
        <v>113</v>
      </c>
      <c r="C33" s="161"/>
      <c r="D33" s="161"/>
      <c r="E33" s="161"/>
      <c r="F33" s="161"/>
      <c r="G33" s="164">
        <v>2</v>
      </c>
      <c r="H33" s="160" t="s">
        <v>322</v>
      </c>
      <c r="Q33" s="172">
        <f t="shared" si="10"/>
        <v>160</v>
      </c>
      <c r="R33" s="173" t="e">
        <f t="shared" si="11"/>
        <v>#VALUE!</v>
      </c>
      <c r="S33" s="174" t="e">
        <f>ROUNDUP(IF(D12="S",P12*$S$18/($R$18+$S$18+$T$18),IF(D12="B",P12*$S$19/($R$19+$S$19+$T$19),IF(D12="Q",P12*$S$20/($R$20+$S$20+$T$20),P12*$S$21/($R$21+$S$21+$T$21)))),1)</f>
        <v>#VALUE!</v>
      </c>
      <c r="T33" s="174" t="e">
        <f t="shared" si="13"/>
        <v>#VALUE!</v>
      </c>
      <c r="U33" s="172" t="e">
        <f t="shared" si="14"/>
        <v>#VALUE!</v>
      </c>
      <c r="V33" s="175"/>
      <c r="AK33" s="232"/>
      <c r="AL33" s="216"/>
      <c r="AM33" s="246"/>
      <c r="AN33" s="240"/>
      <c r="AO33" s="230"/>
      <c r="AP33" s="217"/>
      <c r="AQ33" s="129"/>
      <c r="AR33" s="129"/>
    </row>
    <row r="34" spans="1:44" ht="46.8" x14ac:dyDescent="0.3">
      <c r="A34" s="252" t="s">
        <v>323</v>
      </c>
      <c r="B34" s="160">
        <v>212</v>
      </c>
      <c r="C34" s="161"/>
      <c r="D34" s="161"/>
      <c r="E34" s="161"/>
      <c r="F34" s="161"/>
      <c r="G34" s="164">
        <v>29</v>
      </c>
      <c r="H34" s="165" t="s">
        <v>324</v>
      </c>
      <c r="Q34" s="172">
        <f t="shared" si="10"/>
        <v>50</v>
      </c>
      <c r="R34" s="174" t="e">
        <f t="shared" si="11"/>
        <v>#VALUE!</v>
      </c>
      <c r="S34" s="174" t="e">
        <f t="shared" ref="S34:S42" si="15">ROUNDUP(IF(D13="S",P13*$S$18/($R$18+$S$18+$T$18),IF(D13="B",P13*$S$19/($R$19+$S$19+$T$19),IF(D13="Q",P13*$S$20/($R$20+$S$20+$T$20),P13*$S$21/($R$21+$S$21+$T$21)))),1)</f>
        <v>#VALUE!</v>
      </c>
      <c r="T34" s="174" t="e">
        <f t="shared" si="13"/>
        <v>#VALUE!</v>
      </c>
      <c r="U34" s="172" t="e">
        <f t="shared" si="14"/>
        <v>#VALUE!</v>
      </c>
      <c r="V34" s="175"/>
      <c r="AK34" s="232"/>
      <c r="AL34" s="216"/>
      <c r="AM34" s="246"/>
      <c r="AN34" s="239" t="s">
        <v>199</v>
      </c>
      <c r="AO34" s="229"/>
      <c r="AP34" s="215">
        <f>AO34*参数调整!$B$30*参数调整!F14</f>
        <v>0</v>
      </c>
      <c r="AQ34" s="129"/>
      <c r="AR34" s="129"/>
    </row>
    <row r="35" spans="1:44" ht="15.6" x14ac:dyDescent="0.3">
      <c r="A35" s="252"/>
      <c r="B35" s="160">
        <v>1121</v>
      </c>
      <c r="C35" s="161"/>
      <c r="D35" s="161"/>
      <c r="E35" s="161"/>
      <c r="F35" s="161"/>
      <c r="G35" s="166">
        <f>H35-G34-G308</f>
        <v>39</v>
      </c>
      <c r="H35" s="167">
        <v>68</v>
      </c>
      <c r="Q35" s="172">
        <f t="shared" si="10"/>
        <v>50</v>
      </c>
      <c r="R35" s="174" t="e">
        <f t="shared" si="11"/>
        <v>#VALUE!</v>
      </c>
      <c r="S35" s="173" t="e">
        <f t="shared" si="15"/>
        <v>#VALUE!</v>
      </c>
      <c r="T35" s="174" t="e">
        <f t="shared" si="13"/>
        <v>#VALUE!</v>
      </c>
      <c r="U35" s="172" t="e">
        <f t="shared" si="14"/>
        <v>#VALUE!</v>
      </c>
      <c r="V35" s="175"/>
      <c r="AK35" s="232"/>
      <c r="AL35" s="217"/>
      <c r="AM35" s="247"/>
      <c r="AN35" s="240"/>
      <c r="AO35" s="230"/>
      <c r="AP35" s="217"/>
      <c r="AQ35" s="147" t="s">
        <v>291</v>
      </c>
      <c r="AR35" s="147" t="s">
        <v>292</v>
      </c>
    </row>
    <row r="36" spans="1:44" ht="15.6" x14ac:dyDescent="0.3">
      <c r="A36" s="252"/>
      <c r="B36" s="160">
        <v>112</v>
      </c>
      <c r="C36" s="161"/>
      <c r="D36" s="161"/>
      <c r="E36" s="161"/>
      <c r="F36" s="161"/>
      <c r="G36" s="164">
        <v>4</v>
      </c>
      <c r="H36" s="160" t="s">
        <v>325</v>
      </c>
      <c r="Q36" s="172">
        <f t="shared" si="10"/>
        <v>80</v>
      </c>
      <c r="R36" s="173" t="e">
        <f t="shared" si="11"/>
        <v>#VALUE!</v>
      </c>
      <c r="S36" s="174" t="e">
        <f t="shared" si="15"/>
        <v>#VALUE!</v>
      </c>
      <c r="T36" s="174" t="e">
        <f t="shared" si="13"/>
        <v>#VALUE!</v>
      </c>
      <c r="U36" s="172" t="e">
        <f t="shared" si="14"/>
        <v>#VALUE!</v>
      </c>
      <c r="V36" s="175"/>
      <c r="AK36" s="233"/>
      <c r="AL36" s="203" t="s">
        <v>296</v>
      </c>
      <c r="AM36" s="204"/>
      <c r="AN36" s="204"/>
      <c r="AO36" s="205"/>
      <c r="AP36" s="143"/>
      <c r="AQ36" s="126"/>
      <c r="AR36" s="126"/>
    </row>
    <row r="37" spans="1:44" ht="15.6" x14ac:dyDescent="0.3">
      <c r="A37" s="252" t="s">
        <v>180</v>
      </c>
      <c r="B37" s="160" t="s">
        <v>326</v>
      </c>
      <c r="C37" s="161"/>
      <c r="D37" s="161"/>
      <c r="E37" s="161"/>
      <c r="F37" s="161"/>
      <c r="G37" s="166">
        <f>H37-G38</f>
        <v>49</v>
      </c>
      <c r="H37" s="167">
        <v>50</v>
      </c>
      <c r="Q37" s="172">
        <f t="shared" si="10"/>
        <v>90</v>
      </c>
      <c r="R37" s="174" t="e">
        <f t="shared" si="11"/>
        <v>#VALUE!</v>
      </c>
      <c r="S37" s="174" t="e">
        <f t="shared" si="15"/>
        <v>#VALUE!</v>
      </c>
      <c r="T37" s="174" t="e">
        <f t="shared" si="13"/>
        <v>#VALUE!</v>
      </c>
      <c r="U37" s="172" t="e">
        <f t="shared" si="14"/>
        <v>#VALUE!</v>
      </c>
      <c r="V37" s="175"/>
      <c r="AK37" s="249" t="s">
        <v>297</v>
      </c>
      <c r="AL37" s="203" t="s">
        <v>298</v>
      </c>
      <c r="AM37" s="204"/>
      <c r="AN37" s="204"/>
      <c r="AO37" s="205"/>
      <c r="AP37" s="122">
        <f>AQ3-AQ36</f>
        <v>0</v>
      </c>
      <c r="AQ37" s="129"/>
      <c r="AR37" s="129"/>
    </row>
    <row r="38" spans="1:44" ht="13.8" customHeight="1" x14ac:dyDescent="0.3">
      <c r="A38" s="252"/>
      <c r="B38" s="160">
        <v>111</v>
      </c>
      <c r="C38" s="161"/>
      <c r="D38" s="161"/>
      <c r="E38" s="161"/>
      <c r="F38" s="161"/>
      <c r="G38" s="164">
        <v>1</v>
      </c>
      <c r="H38" s="160" t="s">
        <v>327</v>
      </c>
      <c r="Q38" s="172">
        <f t="shared" si="10"/>
        <v>0</v>
      </c>
      <c r="R38" s="174" t="e">
        <f t="shared" si="11"/>
        <v>#VALUE!</v>
      </c>
      <c r="S38" s="173" t="e">
        <f t="shared" si="15"/>
        <v>#VALUE!</v>
      </c>
      <c r="T38" s="174" t="e">
        <f t="shared" si="13"/>
        <v>#VALUE!</v>
      </c>
      <c r="U38" s="172" t="e">
        <f t="shared" si="14"/>
        <v>#VALUE!</v>
      </c>
      <c r="V38" s="175"/>
      <c r="AK38" s="250"/>
      <c r="AL38" s="203" t="s">
        <v>299</v>
      </c>
      <c r="AM38" s="204"/>
      <c r="AN38" s="204"/>
      <c r="AO38" s="205"/>
      <c r="AP38" s="122">
        <f>SUMPRODUCT(E3:E12,F3:F12)+SUMPRODUCT(E13:E16,F13:F16)*1.5</f>
        <v>87312.42</v>
      </c>
      <c r="AQ38" s="129"/>
      <c r="AR38" s="129"/>
    </row>
    <row r="39" spans="1:44" ht="13.8" customHeight="1" x14ac:dyDescent="0.25">
      <c r="D39" s="148">
        <f>IF(H12&lt;=INDEX(参数调整!$C$63:'参数调整'!$D$68,1,1),C12,IF(H12&lt;=INDEX(参数调整!$C$63:'参数调整'!$D$68,2,1),H12*INDEX(参数调整!$C$63:'参数调整'!$D$68,2,2),IF(H12&lt;=INDEX(参数调整!$C$63:'参数调整'!$D$68,3,1),H12*INDEX(参数调整!$C$63:'参数调整'!$D$68,3,2),IF(H12&lt;=INDEX(参数调整!$C$63:'参数调整'!$D$68,4,1),H12*INDEX(参数调整!$C$63:'参数调整'!$D$68,4,2),IF(H12&lt;=INDEX(参数调整!$C$63:'参数调整'!$D$68,5,1),H12*INDEX(参数调整!$C$63:'参数调整'!$D$68,5,2),H12*INDEX(参数调整!$C$63:'参数调整'!$D$68,6,2))))))</f>
        <v>160</v>
      </c>
      <c r="E39" s="129">
        <v>0</v>
      </c>
      <c r="F39" s="129">
        <f t="shared" ref="F39:F43" si="16">G12-B12</f>
        <v>0</v>
      </c>
      <c r="Q39" s="172">
        <f t="shared" si="10"/>
        <v>0</v>
      </c>
      <c r="R39" s="174" t="e">
        <f t="shared" si="11"/>
        <v>#VALUE!</v>
      </c>
      <c r="S39" s="174" t="e">
        <f t="shared" si="15"/>
        <v>#VALUE!</v>
      </c>
      <c r="T39" s="174" t="e">
        <f t="shared" si="13"/>
        <v>#VALUE!</v>
      </c>
      <c r="U39" s="172" t="e">
        <f t="shared" si="14"/>
        <v>#VALUE!</v>
      </c>
      <c r="V39" s="175"/>
      <c r="AK39" s="250"/>
      <c r="AL39" s="203" t="s">
        <v>300</v>
      </c>
      <c r="AM39" s="204"/>
      <c r="AN39" s="204"/>
      <c r="AO39" s="205"/>
      <c r="AP39" s="122">
        <f>SUMPRODUCT(H3:H16,D30:D43)*(1+参数调整!$B$6)</f>
        <v>0</v>
      </c>
      <c r="AQ39" s="129"/>
      <c r="AR39" s="129"/>
    </row>
    <row r="40" spans="1:44" ht="13.8" customHeight="1" x14ac:dyDescent="0.25">
      <c r="D40" s="148">
        <f>IF(H13&lt;=INDEX(参数调整!$C$63:'参数调整'!$D$68,1,1),C13,IF(H13&lt;=INDEX(参数调整!$C$63:'参数调整'!$D$68,2,1),H13*INDEX(参数调整!$C$63:'参数调整'!$D$68,2,2),IF(H13&lt;=INDEX(参数调整!$C$63:'参数调整'!$D$68,3,1),H13*INDEX(参数调整!$C$63:'参数调整'!$D$68,3,2),IF(H13&lt;=INDEX(参数调整!$C$63:'参数调整'!$D$68,4,1),H13*INDEX(参数调整!$C$63:'参数调整'!$D$68,4,2),IF(H13&lt;=INDEX(参数调整!$C$63:'参数调整'!$D$68,5,1),H13*INDEX(参数调整!$C$63:'参数调整'!$D$68,5,2),H13*INDEX(参数调整!$C$63:'参数调整'!$D$68,6,2))))))</f>
        <v>50</v>
      </c>
      <c r="E40" s="129">
        <v>0</v>
      </c>
      <c r="F40" s="129">
        <f t="shared" si="16"/>
        <v>0</v>
      </c>
      <c r="Q40" s="172">
        <f t="shared" si="10"/>
        <v>0</v>
      </c>
      <c r="R40" s="174" t="e">
        <f t="shared" si="11"/>
        <v>#VALUE!</v>
      </c>
      <c r="S40" s="174" t="e">
        <f t="shared" si="15"/>
        <v>#VALUE!</v>
      </c>
      <c r="T40" s="174" t="e">
        <f t="shared" si="13"/>
        <v>#VALUE!</v>
      </c>
      <c r="U40" s="172" t="e">
        <f t="shared" si="14"/>
        <v>#VALUE!</v>
      </c>
      <c r="V40" s="175"/>
      <c r="AK40" s="250"/>
      <c r="AL40" s="203" t="s">
        <v>301</v>
      </c>
      <c r="AM40" s="204"/>
      <c r="AN40" s="204"/>
      <c r="AO40" s="205"/>
      <c r="AP40" s="122">
        <v>10000</v>
      </c>
      <c r="AQ40" s="129"/>
      <c r="AR40" s="129"/>
    </row>
    <row r="41" spans="1:44" ht="13.8" customHeight="1" x14ac:dyDescent="0.25">
      <c r="D41" s="148">
        <f>IF(H14&lt;=INDEX(参数调整!$C$63:'参数调整'!$D$68,1,1),C14,IF(H14&lt;=INDEX(参数调整!$C$63:'参数调整'!$D$68,2,1),H14*INDEX(参数调整!$C$63:'参数调整'!$D$68,2,2),IF(H14&lt;=INDEX(参数调整!$C$63:'参数调整'!$D$68,3,1),H14*INDEX(参数调整!$C$63:'参数调整'!$D$68,3,2),IF(H14&lt;=INDEX(参数调整!$C$63:'参数调整'!$D$68,4,1),H14*INDEX(参数调整!$C$63:'参数调整'!$D$68,4,2),IF(H14&lt;=INDEX(参数调整!$C$63:'参数调整'!$D$68,5,1),H14*INDEX(参数调整!$C$63:'参数调整'!$D$68,5,2),H14*INDEX(参数调整!$C$63:'参数调整'!$D$68,6,2))))))</f>
        <v>50</v>
      </c>
      <c r="E41" s="129">
        <v>0</v>
      </c>
      <c r="F41" s="129">
        <f t="shared" si="16"/>
        <v>0</v>
      </c>
      <c r="Q41" s="172">
        <f t="shared" si="10"/>
        <v>0</v>
      </c>
      <c r="R41" s="174" t="e">
        <f t="shared" si="11"/>
        <v>#VALUE!</v>
      </c>
      <c r="S41" s="174" t="e">
        <f t="shared" si="15"/>
        <v>#VALUE!</v>
      </c>
      <c r="T41" s="174" t="e">
        <f t="shared" si="13"/>
        <v>#VALUE!</v>
      </c>
      <c r="U41" s="172" t="e">
        <f t="shared" si="14"/>
        <v>#VALUE!</v>
      </c>
      <c r="V41" s="175"/>
      <c r="AK41" s="250"/>
      <c r="AL41" s="203" t="s">
        <v>302</v>
      </c>
      <c r="AM41" s="204"/>
      <c r="AN41" s="204"/>
      <c r="AO41" s="205"/>
      <c r="AP41" s="122">
        <f>(AM2+AQ3-AP2-SUMPRODUCT(第三季度!E3:E12,第三季度!F3:F12)-SUMPRODUCT(第三季度!E13:E16,第三季度!F13:F16)*1.5-第三季度!E5*第三季度!F5*0.5)*0.145299145</f>
        <v>-13247.419972725898</v>
      </c>
      <c r="AQ41" s="129"/>
      <c r="AR41" s="129"/>
    </row>
    <row r="42" spans="1:44" ht="13.8" customHeight="1" x14ac:dyDescent="0.25">
      <c r="D42" s="148">
        <f>IF(H15&lt;=INDEX(参数调整!$C$63:'参数调整'!$D$68,1,1),C15,IF(H15&lt;=INDEX(参数调整!$C$63:'参数调整'!$D$68,2,1),H15*INDEX(参数调整!$C$63:'参数调整'!$D$68,2,2),IF(H15&lt;=INDEX(参数调整!$C$63:'参数调整'!$D$68,3,1),H15*INDEX(参数调整!$C$63:'参数调整'!$D$68,3,2),IF(H15&lt;=INDEX(参数调整!$C$63:'参数调整'!$D$68,4,1),H15*INDEX(参数调整!$C$63:'参数调整'!$D$68,4,2),IF(H15&lt;=INDEX(参数调整!$C$63:'参数调整'!$D$68,5,1),H15*INDEX(参数调整!$C$63:'参数调整'!$D$68,5,2),H15*INDEX(参数调整!$C$63:'参数调整'!$D$68,6,2))))))</f>
        <v>80</v>
      </c>
      <c r="E42" s="129">
        <v>0</v>
      </c>
      <c r="F42" s="129">
        <f t="shared" si="16"/>
        <v>0</v>
      </c>
      <c r="Q42" s="172">
        <f t="shared" si="10"/>
        <v>0</v>
      </c>
      <c r="R42" s="174" t="e">
        <f>ROUNDUP(IF(D21="S",P21*$R$18/($R$18+$S$18+$T$18),IF(D21="B",P21*$R$19/($R$19+$S$19+$T$19),IF(D21="Q",P21*$R$20/($R$20+$S$20+$T$20),P21*$R$21/($R$21+$S$21+$T$21)))),1)</f>
        <v>#VALUE!</v>
      </c>
      <c r="S42" s="174" t="e">
        <f t="shared" si="15"/>
        <v>#VALUE!</v>
      </c>
      <c r="T42" s="176" t="e">
        <f t="shared" si="13"/>
        <v>#VALUE!</v>
      </c>
      <c r="U42" s="177" t="e">
        <f t="shared" si="14"/>
        <v>#VALUE!</v>
      </c>
      <c r="V42" s="87"/>
      <c r="AK42" s="250"/>
      <c r="AL42" s="203" t="s">
        <v>303</v>
      </c>
      <c r="AM42" s="204"/>
      <c r="AN42" s="204"/>
      <c r="AO42" s="205"/>
      <c r="AP42" s="122">
        <f>AP41*SUM(参数调整!B7:B9)</f>
        <v>-1589.690396727108</v>
      </c>
      <c r="AQ42" s="129"/>
      <c r="AR42" s="129"/>
    </row>
    <row r="43" spans="1:44" ht="13.8" customHeight="1" x14ac:dyDescent="0.25">
      <c r="D43" s="148">
        <f>IF(H16&lt;=INDEX(参数调整!$C$63:'参数调整'!$D$68,1,1),C16,IF(H16&lt;=INDEX(参数调整!$C$63:'参数调整'!$D$68,2,1),H16*INDEX(参数调整!$C$63:'参数调整'!$D$68,2,2),IF(H16&lt;=INDEX(参数调整!$C$63:'参数调整'!$D$68,3,1),H16*INDEX(参数调整!$C$63:'参数调整'!$D$68,3,2),IF(H16&lt;=INDEX(参数调整!$C$63:'参数调整'!$D$68,4,1),H16*INDEX(参数调整!$C$63:'参数调整'!$D$68,4,2),IF(H16&lt;=INDEX(参数调整!$C$63:'参数调整'!$D$68,5,1),H16*INDEX(参数调整!$C$63:'参数调整'!$D$68,5,2),H16*INDEX(参数调整!$C$63:'参数调整'!$D$68,6,2))))))</f>
        <v>90</v>
      </c>
      <c r="E43" s="129">
        <v>0</v>
      </c>
      <c r="F43" s="129">
        <f t="shared" si="16"/>
        <v>0</v>
      </c>
      <c r="AK43" s="250"/>
      <c r="AL43" s="203" t="s">
        <v>304</v>
      </c>
      <c r="AM43" s="204"/>
      <c r="AN43" s="204"/>
      <c r="AO43" s="205"/>
      <c r="AP43" s="122">
        <v>0</v>
      </c>
      <c r="AQ43" s="129"/>
      <c r="AR43" s="129"/>
    </row>
    <row r="44" spans="1:44" ht="13.8" customHeight="1" x14ac:dyDescent="0.25">
      <c r="C44" s="91" t="s">
        <v>305</v>
      </c>
      <c r="F44" s="129">
        <f>SUMPRODUCT(D3:D16,G3:G16)</f>
        <v>100817</v>
      </c>
      <c r="AK44" s="251"/>
      <c r="AL44" s="203" t="s">
        <v>296</v>
      </c>
      <c r="AM44" s="204"/>
      <c r="AN44" s="204"/>
      <c r="AO44" s="205"/>
      <c r="AP44" s="143"/>
      <c r="AQ44" s="129"/>
      <c r="AR44" s="129"/>
    </row>
    <row r="45" spans="1:44" ht="13.8" customHeight="1" x14ac:dyDescent="0.25">
      <c r="Q45" s="168"/>
      <c r="R45" s="168"/>
      <c r="S45" s="179" t="s">
        <v>328</v>
      </c>
      <c r="T45" s="179"/>
      <c r="U45" s="179"/>
      <c r="V45" s="169"/>
      <c r="W45" s="170"/>
      <c r="X45" s="170"/>
      <c r="Y45" s="170"/>
      <c r="Z45" s="170"/>
      <c r="AA45" s="170"/>
      <c r="AB45" s="170"/>
    </row>
    <row r="46" spans="1:44" ht="13.8" customHeight="1" x14ac:dyDescent="0.25">
      <c r="Q46" s="168"/>
      <c r="R46" s="152"/>
      <c r="S46" s="152" t="s">
        <v>329</v>
      </c>
      <c r="T46" s="152" t="s">
        <v>330</v>
      </c>
      <c r="U46" s="152" t="s">
        <v>331</v>
      </c>
      <c r="V46" s="147"/>
      <c r="W46" s="178"/>
      <c r="X46" s="178"/>
      <c r="Y46" s="178"/>
      <c r="Z46" s="178"/>
      <c r="AA46" s="178"/>
      <c r="AB46" s="178"/>
    </row>
    <row r="47" spans="1:44" ht="13.8" customHeight="1" x14ac:dyDescent="0.25">
      <c r="Q47" s="168"/>
      <c r="R47" s="152" t="s">
        <v>332</v>
      </c>
      <c r="S47" s="126">
        <v>1</v>
      </c>
      <c r="T47" s="126">
        <v>1</v>
      </c>
      <c r="U47" s="126">
        <v>1</v>
      </c>
      <c r="V47" s="147"/>
      <c r="W47" s="152"/>
      <c r="X47" s="152"/>
      <c r="Y47" s="122" t="s">
        <v>333</v>
      </c>
      <c r="Z47" s="122" t="s">
        <v>334</v>
      </c>
      <c r="AA47" s="122" t="s">
        <v>335</v>
      </c>
      <c r="AB47" s="122" t="s">
        <v>336</v>
      </c>
    </row>
    <row r="48" spans="1:44" ht="13.8" customHeight="1" x14ac:dyDescent="0.25">
      <c r="Q48" s="168"/>
      <c r="R48" s="168"/>
      <c r="S48" s="168"/>
      <c r="T48" s="168"/>
      <c r="U48" s="168"/>
      <c r="V48" s="86"/>
      <c r="W48" s="152"/>
      <c r="X48" s="152"/>
      <c r="Y48" s="152"/>
      <c r="Z48" s="152"/>
      <c r="AA48" s="152"/>
      <c r="AB48" s="152"/>
    </row>
    <row r="49" spans="10:28" ht="13.8" customHeight="1" x14ac:dyDescent="0.25">
      <c r="Q49" s="168"/>
      <c r="R49" s="168"/>
      <c r="S49" s="168"/>
      <c r="T49" s="168"/>
      <c r="U49" s="168"/>
      <c r="V49" s="86"/>
      <c r="W49" s="152"/>
      <c r="X49" s="152"/>
      <c r="Y49" s="152"/>
      <c r="Z49" s="152"/>
      <c r="AA49" s="152"/>
      <c r="AB49" s="152"/>
    </row>
    <row r="50" spans="10:28" ht="13.8" customHeight="1" x14ac:dyDescent="0.25">
      <c r="Q50" s="168"/>
      <c r="R50" s="168"/>
      <c r="S50" s="168"/>
      <c r="T50" s="168"/>
      <c r="U50" s="168"/>
      <c r="V50" s="86"/>
      <c r="W50" s="152"/>
      <c r="X50" s="152"/>
      <c r="Y50" s="152"/>
      <c r="Z50" s="152"/>
      <c r="AA50" s="152"/>
      <c r="AB50" s="152"/>
    </row>
    <row r="51" spans="10:28" ht="13.8" customHeight="1" x14ac:dyDescent="0.25">
      <c r="Q51" s="168"/>
      <c r="R51" s="168"/>
      <c r="S51" s="168"/>
      <c r="T51" s="168"/>
      <c r="U51" s="168"/>
      <c r="V51" s="86"/>
      <c r="W51" s="152"/>
      <c r="X51" s="152"/>
      <c r="Y51" s="152"/>
      <c r="Z51" s="152"/>
      <c r="AA51" s="152"/>
      <c r="AB51" s="152"/>
    </row>
    <row r="52" spans="10:28" ht="13.8" customHeight="1" x14ac:dyDescent="0.25">
      <c r="Q52" s="168"/>
      <c r="R52" s="168"/>
      <c r="S52" s="168"/>
      <c r="T52" s="168"/>
      <c r="U52" s="168"/>
      <c r="V52" s="86"/>
      <c r="W52" s="152"/>
      <c r="X52" s="152"/>
      <c r="Y52" s="152"/>
      <c r="Z52" s="152"/>
      <c r="AA52" s="152"/>
      <c r="AB52" s="152"/>
    </row>
    <row r="53" spans="10:28" ht="13.8" customHeight="1" x14ac:dyDescent="0.25">
      <c r="Q53" s="168"/>
      <c r="R53" s="168"/>
      <c r="S53" s="168"/>
      <c r="T53" s="168"/>
      <c r="U53" s="168"/>
      <c r="V53" s="86"/>
      <c r="W53" s="152"/>
      <c r="X53" s="152"/>
      <c r="Y53" s="152"/>
      <c r="Z53" s="152"/>
      <c r="AA53" s="152"/>
      <c r="AB53" s="152"/>
    </row>
    <row r="54" spans="10:28" ht="13.8" customHeight="1" x14ac:dyDescent="0.25">
      <c r="Q54" s="168"/>
      <c r="R54" s="168"/>
      <c r="S54" s="168"/>
      <c r="T54" s="168"/>
      <c r="U54" s="168"/>
      <c r="V54" s="86"/>
      <c r="W54" s="152"/>
      <c r="X54" s="152"/>
      <c r="Y54" s="152"/>
      <c r="Z54" s="152"/>
      <c r="AA54" s="152"/>
      <c r="AB54" s="152"/>
    </row>
    <row r="55" spans="10:28" ht="13.8" customHeight="1" x14ac:dyDescent="0.25">
      <c r="Q55" s="168"/>
      <c r="R55" s="168"/>
      <c r="S55" s="168"/>
      <c r="T55" s="168"/>
      <c r="U55" s="168"/>
      <c r="V55" s="169"/>
      <c r="W55" s="152"/>
      <c r="X55" s="152"/>
      <c r="Y55" s="152"/>
      <c r="Z55" s="152"/>
      <c r="AA55" s="152"/>
      <c r="AB55" s="152"/>
    </row>
    <row r="56" spans="10:28" ht="13.8" customHeight="1" x14ac:dyDescent="0.25">
      <c r="Q56" s="168"/>
      <c r="R56" s="168"/>
      <c r="S56" s="168"/>
      <c r="T56" s="168"/>
      <c r="U56" s="168"/>
      <c r="V56" s="169"/>
      <c r="W56" s="152"/>
      <c r="X56" s="152"/>
      <c r="Y56" s="152"/>
      <c r="Z56" s="152"/>
      <c r="AA56" s="152"/>
      <c r="AB56" s="152"/>
    </row>
    <row r="57" spans="10:28" ht="13.8" customHeight="1" x14ac:dyDescent="0.25">
      <c r="Q57" s="168"/>
      <c r="R57" s="168"/>
      <c r="S57" s="168"/>
      <c r="T57" s="168"/>
      <c r="U57" s="168"/>
      <c r="V57" s="169"/>
      <c r="W57" s="152"/>
      <c r="X57" s="152"/>
      <c r="Y57" s="152"/>
      <c r="Z57" s="152"/>
      <c r="AA57" s="152"/>
      <c r="AB57" s="152"/>
    </row>
    <row r="58" spans="10:28" ht="13.8" customHeight="1" x14ac:dyDescent="0.25">
      <c r="Q58" s="168"/>
      <c r="R58" s="168"/>
      <c r="S58" s="168"/>
      <c r="T58" s="168"/>
      <c r="U58" s="168"/>
      <c r="V58" s="170"/>
      <c r="W58" s="152"/>
      <c r="X58" s="152"/>
      <c r="Y58" s="152"/>
      <c r="Z58" s="152"/>
      <c r="AA58" s="152"/>
      <c r="AB58" s="152"/>
    </row>
    <row r="59" spans="10:28" ht="13.8" customHeight="1" x14ac:dyDescent="0.25">
      <c r="Q59" s="168"/>
      <c r="R59" s="168"/>
      <c r="S59" s="168"/>
      <c r="T59" s="168"/>
      <c r="U59" s="168"/>
      <c r="V59" s="170"/>
      <c r="W59" s="152"/>
      <c r="X59" s="152"/>
      <c r="Y59" s="152"/>
      <c r="Z59" s="152"/>
      <c r="AA59" s="152"/>
      <c r="AB59" s="152"/>
    </row>
    <row r="60" spans="10:28" ht="13.8" customHeight="1" x14ac:dyDescent="0.25"/>
    <row r="61" spans="10:28" ht="13.8" customHeight="1" x14ac:dyDescent="0.25">
      <c r="Q61"/>
    </row>
    <row r="62" spans="10:28" ht="13.8" customHeight="1" x14ac:dyDescent="0.25">
      <c r="J62"/>
      <c r="P62"/>
      <c r="Q62" s="119" t="s">
        <v>339</v>
      </c>
      <c r="R62" s="119" t="s">
        <v>340</v>
      </c>
      <c r="S62" s="119" t="s">
        <v>341</v>
      </c>
      <c r="T62" s="119" t="s">
        <v>342</v>
      </c>
      <c r="U62" s="119" t="s">
        <v>343</v>
      </c>
      <c r="V62" s="119" t="s">
        <v>344</v>
      </c>
      <c r="W62" s="119" t="s">
        <v>208</v>
      </c>
      <c r="X62" s="119" t="s">
        <v>312</v>
      </c>
      <c r="Y62" s="119" t="s">
        <v>345</v>
      </c>
      <c r="Z62" s="135" t="s">
        <v>270</v>
      </c>
      <c r="AA62" s="126"/>
    </row>
    <row r="63" spans="10:28" ht="13.8" customHeight="1" x14ac:dyDescent="0.25">
      <c r="J63" s="119">
        <f t="shared" ref="J63:J74" si="17">J37</f>
        <v>0</v>
      </c>
      <c r="K63" s="119">
        <v>0</v>
      </c>
      <c r="L63" s="119"/>
      <c r="M63" s="119"/>
      <c r="N63" s="119"/>
      <c r="O63" s="119"/>
      <c r="P63" s="119"/>
      <c r="Q63" s="126">
        <v>0</v>
      </c>
      <c r="R63" s="119">
        <v>0</v>
      </c>
      <c r="S63">
        <v>0</v>
      </c>
      <c r="T63" s="126"/>
      <c r="U63" s="119">
        <f>R63+S63-T63</f>
        <v>0</v>
      </c>
      <c r="V63" s="119" t="e">
        <v>#DIV/0!</v>
      </c>
      <c r="W63" s="126"/>
      <c r="X63">
        <v>0.10730736800000001</v>
      </c>
      <c r="Y63" s="119" t="e">
        <f>U63+V63</f>
        <v>#DIV/0!</v>
      </c>
      <c r="Z63" s="138">
        <v>5298.3145444946713</v>
      </c>
      <c r="AA63" s="126"/>
    </row>
    <row r="64" spans="10:28" ht="13.8" customHeight="1" x14ac:dyDescent="0.25">
      <c r="J64" s="119">
        <f t="shared" si="17"/>
        <v>0</v>
      </c>
      <c r="K64" s="119">
        <v>0</v>
      </c>
      <c r="L64" s="119"/>
      <c r="M64" s="119"/>
      <c r="N64" s="119"/>
      <c r="O64" s="119"/>
      <c r="P64" s="119"/>
      <c r="Q64" s="126">
        <v>0</v>
      </c>
      <c r="R64" s="119">
        <v>0</v>
      </c>
      <c r="S64">
        <v>0</v>
      </c>
      <c r="T64" s="126"/>
      <c r="U64" s="119">
        <f t="shared" ref="U64:U74" si="18">R64+S64-T64</f>
        <v>0</v>
      </c>
      <c r="V64" s="119" t="e">
        <v>#DIV/0!</v>
      </c>
      <c r="W64" s="126"/>
      <c r="X64">
        <v>0</v>
      </c>
      <c r="Y64" s="119" t="e">
        <f t="shared" ref="Y64:Y74" si="19">U64+V64</f>
        <v>#DIV/0!</v>
      </c>
      <c r="Z64" s="138">
        <v>8126.1903625041605</v>
      </c>
      <c r="AA64" s="126"/>
    </row>
    <row r="65" spans="10:27" ht="13.8" customHeight="1" x14ac:dyDescent="0.25">
      <c r="J65" s="119">
        <f t="shared" si="17"/>
        <v>0</v>
      </c>
      <c r="K65" s="119">
        <v>0</v>
      </c>
      <c r="L65" s="119"/>
      <c r="M65" s="119"/>
      <c r="N65" s="119"/>
      <c r="O65" s="119"/>
      <c r="P65" s="119"/>
      <c r="Q65" s="126">
        <v>0</v>
      </c>
      <c r="R65" s="119">
        <v>0</v>
      </c>
      <c r="S65">
        <v>0</v>
      </c>
      <c r="T65" s="126"/>
      <c r="U65" s="119">
        <f t="shared" si="18"/>
        <v>0</v>
      </c>
      <c r="V65" s="119" t="e">
        <v>#DIV/0!</v>
      </c>
      <c r="W65" s="126"/>
      <c r="X65">
        <v>0</v>
      </c>
      <c r="Y65" s="119" t="e">
        <f t="shared" si="19"/>
        <v>#DIV/0!</v>
      </c>
      <c r="Z65" s="138">
        <v>4271.0157869757541</v>
      </c>
      <c r="AA65" s="126"/>
    </row>
    <row r="66" spans="10:27" ht="13.8" customHeight="1" x14ac:dyDescent="0.25">
      <c r="J66" s="119">
        <f t="shared" si="17"/>
        <v>0</v>
      </c>
      <c r="K66" s="119">
        <v>0</v>
      </c>
      <c r="L66" s="119"/>
      <c r="M66" s="119"/>
      <c r="N66" s="119"/>
      <c r="O66" s="119"/>
      <c r="P66" s="119"/>
      <c r="Q66" s="126">
        <v>0</v>
      </c>
      <c r="R66" s="119">
        <v>0</v>
      </c>
      <c r="S66">
        <v>0</v>
      </c>
      <c r="T66" s="126"/>
      <c r="U66" s="119">
        <f t="shared" si="18"/>
        <v>0</v>
      </c>
      <c r="V66" s="119" t="e">
        <v>#DIV/0!</v>
      </c>
      <c r="W66" s="126"/>
      <c r="X66">
        <v>0</v>
      </c>
      <c r="Y66" s="119" t="e">
        <f t="shared" si="19"/>
        <v>#DIV/0!</v>
      </c>
      <c r="Z66" s="138">
        <v>757.50665067089903</v>
      </c>
      <c r="AA66" s="126"/>
    </row>
    <row r="67" spans="10:27" ht="13.8" customHeight="1" x14ac:dyDescent="0.25">
      <c r="J67" s="119">
        <f t="shared" si="17"/>
        <v>0</v>
      </c>
      <c r="K67" s="119">
        <v>0</v>
      </c>
      <c r="L67" s="119"/>
      <c r="M67" s="119"/>
      <c r="N67" s="119"/>
      <c r="O67" s="119"/>
      <c r="P67" s="119"/>
      <c r="R67" s="119">
        <v>0</v>
      </c>
      <c r="S67" t="e">
        <v>#VALUE!</v>
      </c>
      <c r="T67" s="126"/>
      <c r="U67" s="119" t="e">
        <f t="shared" si="18"/>
        <v>#VALUE!</v>
      </c>
      <c r="V67" s="119" t="e">
        <v>#DIV/0!</v>
      </c>
      <c r="W67"/>
      <c r="X67"/>
      <c r="Y67" s="119" t="e">
        <f t="shared" si="19"/>
        <v>#VALUE!</v>
      </c>
      <c r="Z67"/>
      <c r="AA67" s="126"/>
    </row>
    <row r="68" spans="10:27" ht="20.399999999999999" customHeight="1" x14ac:dyDescent="0.25">
      <c r="J68" s="119">
        <f t="shared" si="17"/>
        <v>0</v>
      </c>
      <c r="K68" s="119">
        <v>0</v>
      </c>
      <c r="L68" s="119"/>
      <c r="M68" s="119"/>
      <c r="N68" s="119"/>
      <c r="O68" s="119"/>
      <c r="P68" s="119"/>
      <c r="R68" s="119">
        <v>0</v>
      </c>
      <c r="S68" t="e">
        <v>#VALUE!</v>
      </c>
      <c r="T68" s="126"/>
      <c r="U68" s="119" t="e">
        <f t="shared" si="18"/>
        <v>#VALUE!</v>
      </c>
      <c r="V68" s="119" t="e">
        <v>#DIV/0!</v>
      </c>
      <c r="W68"/>
      <c r="X68"/>
      <c r="Y68" s="119" t="e">
        <f t="shared" si="19"/>
        <v>#VALUE!</v>
      </c>
      <c r="Z68"/>
      <c r="AA68" s="126"/>
    </row>
    <row r="69" spans="10:27" ht="20.399999999999999" customHeight="1" x14ac:dyDescent="0.25">
      <c r="J69" s="119">
        <f t="shared" si="17"/>
        <v>0</v>
      </c>
      <c r="K69" s="119">
        <v>0</v>
      </c>
      <c r="L69" s="119"/>
      <c r="M69" s="119"/>
      <c r="N69" s="119"/>
      <c r="O69" s="119"/>
      <c r="P69" s="119"/>
      <c r="R69" s="119">
        <v>0</v>
      </c>
      <c r="S69" t="e">
        <v>#VALUE!</v>
      </c>
      <c r="T69" s="126"/>
      <c r="U69" s="119" t="e">
        <f t="shared" si="18"/>
        <v>#VALUE!</v>
      </c>
      <c r="V69" s="119" t="e">
        <v>#DIV/0!</v>
      </c>
      <c r="W69"/>
      <c r="X69"/>
      <c r="Y69" s="119" t="e">
        <f t="shared" si="19"/>
        <v>#VALUE!</v>
      </c>
      <c r="Z69"/>
      <c r="AA69" s="126"/>
    </row>
    <row r="70" spans="10:27" ht="20.399999999999999" customHeight="1" x14ac:dyDescent="0.25">
      <c r="J70" s="119">
        <f t="shared" si="17"/>
        <v>0</v>
      </c>
      <c r="K70" s="119">
        <v>0</v>
      </c>
      <c r="L70" s="119"/>
      <c r="M70" s="119"/>
      <c r="N70" s="119"/>
      <c r="O70" s="119"/>
      <c r="P70" s="119"/>
      <c r="R70" s="119">
        <v>0</v>
      </c>
      <c r="S70" t="e">
        <v>#VALUE!</v>
      </c>
      <c r="T70" s="126"/>
      <c r="U70" s="119" t="e">
        <f t="shared" si="18"/>
        <v>#VALUE!</v>
      </c>
      <c r="V70" s="119" t="e">
        <v>#DIV/0!</v>
      </c>
      <c r="W70"/>
      <c r="X70"/>
      <c r="Y70" s="119" t="e">
        <f t="shared" si="19"/>
        <v>#VALUE!</v>
      </c>
      <c r="Z70"/>
      <c r="AA70" s="126"/>
    </row>
    <row r="71" spans="10:27" ht="20.399999999999999" customHeight="1" x14ac:dyDescent="0.25">
      <c r="J71" s="119">
        <v>0</v>
      </c>
      <c r="K71" s="119">
        <v>0</v>
      </c>
      <c r="L71" s="119"/>
      <c r="M71" s="119"/>
      <c r="N71" s="119"/>
      <c r="O71" s="119"/>
      <c r="P71" s="119"/>
      <c r="R71" s="119">
        <v>0</v>
      </c>
      <c r="S71" t="e">
        <v>#VALUE!</v>
      </c>
      <c r="T71" s="126"/>
      <c r="U71" s="119" t="e">
        <f t="shared" si="18"/>
        <v>#VALUE!</v>
      </c>
      <c r="V71" s="119" t="e">
        <v>#DIV/0!</v>
      </c>
      <c r="Y71" s="119" t="e">
        <f t="shared" si="19"/>
        <v>#VALUE!</v>
      </c>
      <c r="AA71" s="126"/>
    </row>
    <row r="72" spans="10:27" ht="20.399999999999999" customHeight="1" x14ac:dyDescent="0.25">
      <c r="J72" s="119">
        <f t="shared" si="17"/>
        <v>0</v>
      </c>
      <c r="K72" s="119">
        <v>0</v>
      </c>
      <c r="L72" s="119"/>
      <c r="M72" s="119"/>
      <c r="N72" s="119"/>
      <c r="O72" s="119"/>
      <c r="P72" s="119"/>
      <c r="R72" s="119">
        <v>0</v>
      </c>
      <c r="S72" t="e">
        <v>#VALUE!</v>
      </c>
      <c r="T72" s="126"/>
      <c r="U72" s="119" t="e">
        <f t="shared" si="18"/>
        <v>#VALUE!</v>
      </c>
      <c r="V72" s="119" t="e">
        <v>#DIV/0!</v>
      </c>
      <c r="Y72" s="119" t="e">
        <f t="shared" si="19"/>
        <v>#VALUE!</v>
      </c>
      <c r="AA72" s="126"/>
    </row>
    <row r="73" spans="10:27" ht="20.399999999999999" customHeight="1" x14ac:dyDescent="0.25">
      <c r="J73" s="119">
        <f t="shared" si="17"/>
        <v>0</v>
      </c>
      <c r="K73" s="119">
        <v>0</v>
      </c>
      <c r="L73" s="119"/>
      <c r="M73" s="119"/>
      <c r="N73" s="119"/>
      <c r="O73" s="119"/>
      <c r="P73" s="119"/>
      <c r="R73" s="119">
        <v>0</v>
      </c>
      <c r="S73" t="e">
        <v>#VALUE!</v>
      </c>
      <c r="T73" s="126"/>
      <c r="U73" s="119" t="e">
        <f t="shared" si="18"/>
        <v>#VALUE!</v>
      </c>
      <c r="V73" s="119" t="e">
        <v>#DIV/0!</v>
      </c>
      <c r="Y73" s="119" t="e">
        <f t="shared" si="19"/>
        <v>#VALUE!</v>
      </c>
      <c r="AA73" s="126"/>
    </row>
    <row r="74" spans="10:27" x14ac:dyDescent="0.25">
      <c r="J74" s="119">
        <f t="shared" si="17"/>
        <v>0</v>
      </c>
      <c r="K74" s="119">
        <v>0</v>
      </c>
      <c r="L74" s="119"/>
      <c r="M74" s="119"/>
      <c r="N74" s="119"/>
      <c r="O74" s="119"/>
      <c r="P74" s="119"/>
      <c r="R74" s="119">
        <v>0</v>
      </c>
      <c r="S74">
        <v>-0.1</v>
      </c>
      <c r="T74" s="126"/>
      <c r="U74" s="119">
        <f t="shared" si="18"/>
        <v>-0.1</v>
      </c>
      <c r="V74" s="119" t="e">
        <v>#DIV/0!</v>
      </c>
      <c r="Y74" s="119" t="e">
        <f t="shared" si="19"/>
        <v>#DIV/0!</v>
      </c>
    </row>
  </sheetData>
  <mergeCells count="79">
    <mergeCell ref="G1:G2"/>
    <mergeCell ref="B1:B2"/>
    <mergeCell ref="C1:C2"/>
    <mergeCell ref="D1:D2"/>
    <mergeCell ref="E1:E2"/>
    <mergeCell ref="F1:F2"/>
    <mergeCell ref="H1:H2"/>
    <mergeCell ref="R1:U1"/>
    <mergeCell ref="AF2:AI2"/>
    <mergeCell ref="AK2:AL3"/>
    <mergeCell ref="AM2:AM3"/>
    <mergeCell ref="AQ4:AR4"/>
    <mergeCell ref="AL5:AL16"/>
    <mergeCell ref="AM5:AM8"/>
    <mergeCell ref="AQ5:AR6"/>
    <mergeCell ref="AF7:AF9"/>
    <mergeCell ref="AP2:AP3"/>
    <mergeCell ref="AF3:AH3"/>
    <mergeCell ref="AF4:AF6"/>
    <mergeCell ref="AK4:AK36"/>
    <mergeCell ref="AL4:AN4"/>
    <mergeCell ref="AN2:AO3"/>
    <mergeCell ref="AI7:AI9"/>
    <mergeCell ref="AM9:AM11"/>
    <mergeCell ref="AF10:AF13"/>
    <mergeCell ref="AM12:AN12"/>
    <mergeCell ref="AM13:AM16"/>
    <mergeCell ref="AF14:AG14"/>
    <mergeCell ref="AF15:AG15"/>
    <mergeCell ref="AF16:AF21"/>
    <mergeCell ref="AP28:AP29"/>
    <mergeCell ref="AP32:AP33"/>
    <mergeCell ref="J17:K17"/>
    <mergeCell ref="AL17:AN17"/>
    <mergeCell ref="A18:B18"/>
    <mergeCell ref="J18:K20"/>
    <mergeCell ref="AL18:AM19"/>
    <mergeCell ref="AL20:AM23"/>
    <mergeCell ref="J21:K21"/>
    <mergeCell ref="J22:K24"/>
    <mergeCell ref="AF22:AG22"/>
    <mergeCell ref="S23:U23"/>
    <mergeCell ref="AF23:AG23"/>
    <mergeCell ref="AF24:AG24"/>
    <mergeCell ref="AL24:AM26"/>
    <mergeCell ref="AF25:AG25"/>
    <mergeCell ref="AF26:AH26"/>
    <mergeCell ref="AF27:AH27"/>
    <mergeCell ref="AL27:AN27"/>
    <mergeCell ref="AF28:AH28"/>
    <mergeCell ref="AL28:AL35"/>
    <mergeCell ref="AM28:AM35"/>
    <mergeCell ref="AN28:AN29"/>
    <mergeCell ref="AO28:AO29"/>
    <mergeCell ref="AP30:AP31"/>
    <mergeCell ref="A31:A33"/>
    <mergeCell ref="AF31:AH31"/>
    <mergeCell ref="AN32:AN33"/>
    <mergeCell ref="AO32:AO33"/>
    <mergeCell ref="A29:A30"/>
    <mergeCell ref="AF29:AH29"/>
    <mergeCell ref="AF30:AH30"/>
    <mergeCell ref="AN30:AN31"/>
    <mergeCell ref="AO30:AO31"/>
    <mergeCell ref="A37:A38"/>
    <mergeCell ref="AK37:AK44"/>
    <mergeCell ref="AL37:AO37"/>
    <mergeCell ref="AL38:AO38"/>
    <mergeCell ref="AL39:AO39"/>
    <mergeCell ref="AL40:AO40"/>
    <mergeCell ref="AL41:AO41"/>
    <mergeCell ref="AL42:AO42"/>
    <mergeCell ref="AL43:AO43"/>
    <mergeCell ref="AL44:AO44"/>
    <mergeCell ref="A34:A36"/>
    <mergeCell ref="AN34:AN35"/>
    <mergeCell ref="AO34:AO35"/>
    <mergeCell ref="AP34:AP35"/>
    <mergeCell ref="AL36:AO36"/>
  </mergeCells>
  <phoneticPr fontId="3" type="noConversion"/>
  <dataValidations count="3">
    <dataValidation type="list" allowBlank="1" showInputMessage="1" showErrorMessage="1" sqref="AG10:AG13" xr:uid="{E3C13B64-921D-4F00-A62C-74FD0D5DBC11}">
      <formula1>"手工线,半自动线,全自动线,柔性线"</formula1>
    </dataValidation>
    <dataValidation type="list" allowBlank="1" showInputMessage="1" showErrorMessage="1" sqref="AG4:AG6" xr:uid="{5170A570-BE77-4121-A982-73997BB10D4B}">
      <formula1>"购买小厂房,购买中厂房,购买大厂房"</formula1>
    </dataValidation>
    <dataValidation type="list" allowBlank="1" showInputMessage="1" showErrorMessage="1" sqref="AG7:AG9" xr:uid="{31D35337-B4E5-4BDB-8F87-367493EAF016}">
      <formula1>"租用小厂房,租用中厂房,租用大厂房"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B10A-4902-4E96-A75D-07A696FAF7C9}">
  <dimension ref="A1:AX73"/>
  <sheetViews>
    <sheetView topLeftCell="A31" zoomScale="70" zoomScaleNormal="70" workbookViewId="0">
      <selection activeCell="T68" sqref="T68"/>
    </sheetView>
  </sheetViews>
  <sheetFormatPr defaultRowHeight="13.8" x14ac:dyDescent="0.25"/>
  <cols>
    <col min="1" max="1" width="16.6640625" style="91" customWidth="1"/>
    <col min="2" max="2" width="16.109375" style="91" bestFit="1" customWidth="1"/>
    <col min="3" max="5" width="8.88671875" style="91" hidden="1" customWidth="1"/>
    <col min="6" max="6" width="11.6640625" style="91" hidden="1" customWidth="1"/>
    <col min="7" max="7" width="15.109375" style="91" bestFit="1" customWidth="1"/>
    <col min="8" max="8" width="10.6640625" style="91" bestFit="1" customWidth="1"/>
    <col min="9" max="11" width="8.88671875" style="91"/>
    <col min="12" max="12" width="12.44140625" style="91" hidden="1" customWidth="1"/>
    <col min="13" max="13" width="11.77734375" style="91" hidden="1" customWidth="1"/>
    <col min="14" max="14" width="11.21875" style="91" hidden="1" customWidth="1"/>
    <col min="15" max="15" width="14.33203125" style="91" hidden="1" customWidth="1"/>
    <col min="16" max="16" width="9.44140625" style="91" hidden="1" customWidth="1"/>
    <col min="17" max="17" width="13.44140625" style="91" customWidth="1"/>
    <col min="18" max="18" width="12.44140625" style="91" customWidth="1"/>
    <col min="19" max="19" width="11.77734375" style="91" customWidth="1"/>
    <col min="20" max="20" width="11.21875" style="91" customWidth="1"/>
    <col min="21" max="21" width="14.33203125" style="91" customWidth="1"/>
    <col min="22" max="22" width="9.44140625" style="91" bestFit="1" customWidth="1"/>
    <col min="23" max="23" width="8.88671875" style="91"/>
    <col min="24" max="24" width="11.109375" style="91" customWidth="1"/>
    <col min="25" max="25" width="8.88671875" style="91"/>
    <col min="26" max="26" width="11.109375" style="91" customWidth="1"/>
    <col min="27" max="27" width="12.6640625" style="91" customWidth="1"/>
    <col min="28" max="29" width="8.88671875" style="91"/>
    <col min="30" max="31" width="0" style="91" hidden="1" customWidth="1"/>
    <col min="32" max="32" width="11.109375" style="91" customWidth="1"/>
    <col min="33" max="33" width="11.44140625" style="91" customWidth="1"/>
    <col min="34" max="34" width="14.44140625" style="91" customWidth="1"/>
    <col min="35" max="35" width="18.6640625" style="91" customWidth="1"/>
    <col min="36" max="36" width="11.21875" style="91" customWidth="1"/>
    <col min="37" max="37" width="14.109375" style="91" customWidth="1"/>
    <col min="38" max="38" width="19.5546875" style="91" customWidth="1"/>
    <col min="39" max="39" width="17.21875" style="91" customWidth="1"/>
    <col min="40" max="41" width="8.88671875" style="91"/>
    <col min="42" max="42" width="12.109375" style="91" customWidth="1"/>
    <col min="43" max="43" width="17.109375" style="91" bestFit="1" customWidth="1"/>
    <col min="44" max="44" width="25.5546875" style="91" customWidth="1"/>
    <col min="45" max="16384" width="8.88671875" style="91"/>
  </cols>
  <sheetData>
    <row r="1" spans="1:50" x14ac:dyDescent="0.25">
      <c r="A1"/>
      <c r="B1" s="215" t="s">
        <v>200</v>
      </c>
      <c r="C1" s="215" t="s">
        <v>202</v>
      </c>
      <c r="D1" s="221" t="s">
        <v>203</v>
      </c>
      <c r="E1" s="222" t="s">
        <v>204</v>
      </c>
      <c r="F1" s="222" t="s">
        <v>306</v>
      </c>
      <c r="G1" s="223" t="s">
        <v>201</v>
      </c>
      <c r="H1" s="225" t="s">
        <v>205</v>
      </c>
      <c r="R1" s="202"/>
      <c r="S1" s="202"/>
      <c r="T1" s="202"/>
      <c r="U1" s="202"/>
    </row>
    <row r="2" spans="1:50" x14ac:dyDescent="0.25">
      <c r="A2"/>
      <c r="B2" s="220"/>
      <c r="C2" s="220"/>
      <c r="D2" s="221"/>
      <c r="E2" s="222"/>
      <c r="F2" s="222"/>
      <c r="G2" s="224"/>
      <c r="H2" s="225"/>
      <c r="J2" s="119" t="s">
        <v>209</v>
      </c>
      <c r="K2" s="119" t="s">
        <v>210</v>
      </c>
      <c r="L2" s="119"/>
      <c r="M2" s="119"/>
      <c r="N2" s="119"/>
      <c r="O2" s="119"/>
      <c r="P2" s="119"/>
      <c r="Q2" s="119" t="s">
        <v>308</v>
      </c>
      <c r="R2" s="119" t="s">
        <v>211</v>
      </c>
      <c r="S2" s="119" t="s">
        <v>240</v>
      </c>
      <c r="T2" s="119" t="s">
        <v>241</v>
      </c>
      <c r="U2" s="119" t="s">
        <v>242</v>
      </c>
      <c r="V2" s="119" t="s">
        <v>212</v>
      </c>
      <c r="W2" s="118" t="s">
        <v>243</v>
      </c>
      <c r="X2" s="119" t="s">
        <v>213</v>
      </c>
      <c r="Y2" s="119" t="s">
        <v>312</v>
      </c>
      <c r="Z2" s="122" t="s">
        <v>244</v>
      </c>
      <c r="AA2" s="119" t="s">
        <v>245</v>
      </c>
      <c r="AF2" s="203" t="s">
        <v>214</v>
      </c>
      <c r="AG2" s="204"/>
      <c r="AH2" s="204"/>
      <c r="AI2" s="205"/>
      <c r="AK2" s="206" t="s">
        <v>246</v>
      </c>
      <c r="AL2" s="207"/>
      <c r="AM2" s="229">
        <v>0</v>
      </c>
      <c r="AN2" s="206" t="s">
        <v>247</v>
      </c>
      <c r="AO2" s="207"/>
      <c r="AP2" s="229">
        <v>0</v>
      </c>
      <c r="AQ2" s="147" t="s">
        <v>248</v>
      </c>
      <c r="AR2" s="147" t="s">
        <v>249</v>
      </c>
    </row>
    <row r="3" spans="1:50" ht="21" customHeight="1" x14ac:dyDescent="0.25">
      <c r="A3" s="144" t="str">
        <f>参数调整!A45</f>
        <v>高亮LED</v>
      </c>
      <c r="B3" s="106">
        <f>SUMIF($L$3:$L$14,1,$R$3:$R$14)+SUMIF($L$3:$L$14,1,$S$3:$S$14)+SUMIF($L$3:$L$14,1,$T$3:$T$14)+SUMIF($L$3:$L$14,1,$U$3:$U$14)</f>
        <v>520</v>
      </c>
      <c r="C3" s="107">
        <f>参数调整!B45</f>
        <v>40</v>
      </c>
      <c r="D3" s="107">
        <f>IF(G3&lt;=INDEX(参数调整!$C$63:'参数调整'!$D$68,1,1),C3,IF(G3&lt;=INDEX(参数调整!$C$63:'参数调整'!$D$68,2,1),C3*INDEX(参数调整!$C$63:'参数调整'!$D$68,2,2),IF(G3&lt;=INDEX(参数调整!$C$63:'参数调整'!$D$68,3,1),C3*INDEX(参数调整!$C$63:'参数调整'!$D$68,3,2),IF(G3&lt;=INDEX(参数调整!$C$63:'参数调整'!$D$68,4,1),C3*INDEX(参数调整!$C$63:'参数调整'!$D$68,4,2),IF(G3&lt;=INDEX(参数调整!$C$63:'参数调整'!$D$68,5,1),C3*INDEX(参数调整!$C$63:'参数调整'!$D$68,5,2),C3*INDEX(参数调整!$C$63:'参数调整'!$D$68,6,2))))))</f>
        <v>36</v>
      </c>
      <c r="E3" s="107">
        <f>参数调整!I45</f>
        <v>1</v>
      </c>
      <c r="F3" s="107">
        <f>D3*G3*(参数调整!$B$6+1)</f>
        <v>21902.399999999998</v>
      </c>
      <c r="G3" s="108">
        <f>IF(B3-E30&lt;=0,0,B3-E30)</f>
        <v>520</v>
      </c>
      <c r="H3" s="109"/>
      <c r="J3" s="119" t="str">
        <f>第一季度!J3</f>
        <v>S</v>
      </c>
      <c r="K3" s="119">
        <f>第一季度!K3</f>
        <v>113</v>
      </c>
      <c r="L3" s="125" t="str">
        <f>LEFT(K3,1)</f>
        <v>1</v>
      </c>
      <c r="M3" s="125" t="str">
        <f>MID(K3,2,1)</f>
        <v>1</v>
      </c>
      <c r="N3" s="125" t="str">
        <f>MID(K3,3,1)</f>
        <v>3</v>
      </c>
      <c r="O3" s="125" t="str">
        <f>MID(K3,4,1)</f>
        <v/>
      </c>
      <c r="P3" s="125" t="str">
        <f>MID(K3,5,1)</f>
        <v/>
      </c>
      <c r="Q3" s="126">
        <v>4</v>
      </c>
      <c r="R3" s="126"/>
      <c r="S3" s="126"/>
      <c r="T3" s="126"/>
      <c r="U3" s="126">
        <v>48</v>
      </c>
      <c r="V3" s="127">
        <f>ROUND(R3*0.75+S3*0.8+T3*0.85+U3*0.9+Q3,0)</f>
        <v>47</v>
      </c>
      <c r="W3" s="127">
        <f>IF(J3="S",$S$19/$T$19*(参数调整!$G$11+参数调整!$I$11+参数调整!$J$11+参数调整!$K$11)/100+X3*参数调整!$H$11/100*$S$19/($U$19*$J$18),IF(J3="B",$S$20/$T$20*(参数调整!$G$12+参数调整!$I$12+参数调整!$J$12+参数调整!$K$12)/100+X3*参数调整!$H$12/100*$S$20/($U$20*$J$18),IF(J3="Q",$S$21/$T$21*(参数调整!$G$13+参数调整!$I$13+参数调整!$J$13+参数调整!$K$13)/100+X3*参数调整!$H$13/100*$S$21/($U$21*$J$18),$S$22/$T$22*(参数调整!$G$14+参数调整!$I$14+参数调整!$J$14+参数调整!$K$14)/100+X3*参数调整!$H$14/100*$S$22/($U$22*$J$18))))</f>
        <v>112.90114942528734</v>
      </c>
      <c r="X3" s="126">
        <v>18545</v>
      </c>
      <c r="Y3" s="126"/>
      <c r="Z3" s="122">
        <f>IF(J3="S",X3*参数调整!$H$11/($J$18*$U$19),IF(J3="B",X3*参数调整!$H$12/($J$18*$U$20),IF(J3="Q",X3*参数调整!$H$13/($J$18*$U$21),X3*参数调整!$H$14/($J$18*$U$22))))</f>
        <v>11.025564803804993</v>
      </c>
      <c r="AA3" s="122">
        <f>SUMIFS(X3:X14,J3:J14,"S")</f>
        <v>48353</v>
      </c>
      <c r="AF3" s="203" t="s">
        <v>215</v>
      </c>
      <c r="AG3" s="204"/>
      <c r="AH3" s="205"/>
      <c r="AI3" s="128">
        <f>参数调整!B1-参数调整!B2-参数调整!B3</f>
        <v>587000</v>
      </c>
      <c r="AK3" s="208"/>
      <c r="AL3" s="209"/>
      <c r="AM3" s="230"/>
      <c r="AN3" s="208"/>
      <c r="AO3" s="209"/>
      <c r="AP3" s="230"/>
      <c r="AQ3" s="126"/>
      <c r="AR3" s="126"/>
      <c r="AX3" s="129"/>
    </row>
    <row r="4" spans="1:50" ht="21" customHeight="1" x14ac:dyDescent="0.25">
      <c r="A4" s="144" t="str">
        <f>参数调整!A46</f>
        <v>TFT触摸屏</v>
      </c>
      <c r="B4" s="106">
        <f>SUMIF($L$3:$L$14,2,$R$3:$R$14)+SUMIF($L$3:$L$14,2,$S$3:$S$14)+SUMIF($L$3:$L$14,2,$T$3:$T$14)+SUMIF($L$3:$L$14,2,$U$3:$U$14)</f>
        <v>50</v>
      </c>
      <c r="C4" s="107">
        <f>参数调整!B46</f>
        <v>80</v>
      </c>
      <c r="D4" s="107">
        <f>IF(G4&lt;=INDEX(参数调整!$C$63:'参数调整'!$D$68,1,1),C4,IF(G4&lt;=INDEX(参数调整!$C$63:'参数调整'!$D$68,2,1),C4*INDEX(参数调整!$C$63:'参数调整'!$D$68,2,2),IF(G4&lt;=INDEX(参数调整!$C$63:'参数调整'!$D$68,3,1),C4*INDEX(参数调整!$C$63:'参数调整'!$D$68,3,2),IF(G4&lt;=INDEX(参数调整!$C$63:'参数调整'!$D$68,4,1),C4*INDEX(参数调整!$C$63:'参数调整'!$D$68,4,2),IF(G4&lt;=INDEX(参数调整!$C$63:'参数调整'!$D$68,5,1),C4*INDEX(参数调整!$C$63:'参数调整'!$D$68,5,2),C4*INDEX(参数调整!$C$63:'参数调整'!$D$68,6,2))))))</f>
        <v>80</v>
      </c>
      <c r="E4" s="107">
        <f>参数调整!I46</f>
        <v>1</v>
      </c>
      <c r="F4" s="107">
        <f>D4*G4*(参数调整!$B$6+1)</f>
        <v>4680</v>
      </c>
      <c r="G4" s="108">
        <f t="shared" ref="G4:G16" si="0">IF(B4-E31&lt;=0,0,B4-E31)</f>
        <v>50</v>
      </c>
      <c r="H4" s="109"/>
      <c r="J4" s="119" t="str">
        <f>第一季度!J4</f>
        <v>S</v>
      </c>
      <c r="K4" s="119">
        <f>第一季度!K4</f>
        <v>3333</v>
      </c>
      <c r="L4" s="125" t="str">
        <f t="shared" ref="L4:L14" si="1">LEFT(K4,1)</f>
        <v>3</v>
      </c>
      <c r="M4" s="125" t="str">
        <f t="shared" ref="M4:M14" si="2">MID(K4,2,1)</f>
        <v>3</v>
      </c>
      <c r="N4" s="125" t="str">
        <f t="shared" ref="N4:N14" si="3">MID(K4,3,1)</f>
        <v>3</v>
      </c>
      <c r="O4" s="125" t="str">
        <f t="shared" ref="O4:O14" si="4">MID(K4,4,1)</f>
        <v>3</v>
      </c>
      <c r="P4" s="125" t="str">
        <f t="shared" ref="P4:P14" si="5">MID(K4,5,1)</f>
        <v/>
      </c>
      <c r="Q4" s="126"/>
      <c r="R4" s="126"/>
      <c r="S4" s="126"/>
      <c r="T4" s="126"/>
      <c r="U4" s="126">
        <v>60</v>
      </c>
      <c r="V4" s="127">
        <f t="shared" ref="V4:V14" si="6">ROUND(R4*0.75+S4*0.8+T4*0.85+U4*0.9+Q4,0)</f>
        <v>54</v>
      </c>
      <c r="W4" s="127">
        <f>IF(J4="S",$S$19/$T$19*(参数调整!$G$11+参数调整!$I$11+参数调整!$J$11+参数调整!$K$11)/100+X4*参数调整!$H$11/100*$S$19/($U$19*$J$18),IF(J4="B",$S$20/$T$20*(参数调整!$G$12+参数调整!$I$12+参数调整!$J$12+参数调整!$K$12)/100+X4*参数调整!$H$12/100*$S$20/($U$20*$J$18),IF(J4="Q",$S$21/$T$21*(参数调整!$G$13+参数调整!$I$13+参数调整!$J$13+参数调整!$K$13)/100+X4*参数调整!$H$13/100*$S$21/($U$21*$J$18),$S$22/$T$22*(参数调整!$G$14+参数调整!$I$14+参数调整!$J$14+参数调整!$K$14)/100+X4*参数调整!$H$14/100*$S$22/($U$22*$J$18))))</f>
        <v>0.9916666666666667</v>
      </c>
      <c r="X4" s="126"/>
      <c r="Y4" s="126"/>
      <c r="Z4" s="122">
        <f>IF(J4="S",X4*参数调整!$H$11/($J$18*$U$19),IF(J4="B",X4*参数调整!$H$12/($J$18*$U$20),IF(J4="Q",X4*参数调整!$H$13/($J$18*$U$21),X4*参数调整!$H$14/($J$18*$U$22))))</f>
        <v>0</v>
      </c>
      <c r="AA4" s="122">
        <f>SUMIFS(X3:X14,J3:J14,"B")</f>
        <v>6807</v>
      </c>
      <c r="AF4" s="215" t="s">
        <v>216</v>
      </c>
      <c r="AG4" s="147" t="s">
        <v>217</v>
      </c>
      <c r="AH4" s="120">
        <v>1</v>
      </c>
      <c r="AI4" s="119">
        <f>AH4*参数调整!J23</f>
        <v>50000</v>
      </c>
      <c r="AK4" s="231" t="s">
        <v>250</v>
      </c>
      <c r="AL4" s="203" t="s">
        <v>251</v>
      </c>
      <c r="AM4" s="204"/>
      <c r="AN4" s="205"/>
      <c r="AO4" s="147" t="s">
        <v>252</v>
      </c>
      <c r="AP4" s="147" t="s">
        <v>253</v>
      </c>
      <c r="AQ4" s="227" t="s">
        <v>254</v>
      </c>
      <c r="AR4" s="227"/>
      <c r="AX4" s="129"/>
    </row>
    <row r="5" spans="1:50" ht="21" customHeight="1" x14ac:dyDescent="0.25">
      <c r="A5" s="144" t="str">
        <f>参数调整!A47</f>
        <v>OLED显示屏</v>
      </c>
      <c r="B5" s="106">
        <f>SUMIF($L$3:$L$14,3,$R$3:$R$14)+SUMIF($L$3:$L$14,3,$S$3:$S$14)+SUMIF($L$3:$L$14,3,$T$3:$T$14)+SUMIF($L$3:$L$14,3,$U$3:$U$14)</f>
        <v>60</v>
      </c>
      <c r="C5" s="107">
        <f>参数调整!B47</f>
        <v>110</v>
      </c>
      <c r="D5" s="107">
        <f>IF(G5&lt;=INDEX(参数调整!$C$63:'参数调整'!$D$68,1,1),C5,IF(G5&lt;=INDEX(参数调整!$C$63:'参数调整'!$D$68,2,1),C5*INDEX(参数调整!$C$63:'参数调整'!$D$68,2,2),IF(G5&lt;=INDEX(参数调整!$C$63:'参数调整'!$D$68,3,1),C5*INDEX(参数调整!$C$63:'参数调整'!$D$68,3,2),IF(G5&lt;=INDEX(参数调整!$C$63:'参数调整'!$D$68,4,1),C5*INDEX(参数调整!$C$63:'参数调整'!$D$68,4,2),IF(G5&lt;=INDEX(参数调整!$C$63:'参数调整'!$D$68,5,1),C5*INDEX(参数调整!$C$63:'参数调整'!$D$68,5,2),C5*INDEX(参数调整!$C$63:'参数调整'!$D$68,6,2))))))</f>
        <v>110</v>
      </c>
      <c r="E5" s="107">
        <f>参数调整!I47</f>
        <v>1</v>
      </c>
      <c r="F5" s="107">
        <f>D5*G5*(参数调整!$B$6+1)</f>
        <v>7721.9999999999991</v>
      </c>
      <c r="G5" s="108">
        <f t="shared" si="0"/>
        <v>60</v>
      </c>
      <c r="H5" s="110"/>
      <c r="J5" s="119" t="str">
        <f>第一季度!J5</f>
        <v>S</v>
      </c>
      <c r="K5" s="119">
        <f>第一季度!K5</f>
        <v>13334</v>
      </c>
      <c r="L5" s="125" t="str">
        <f t="shared" si="1"/>
        <v>1</v>
      </c>
      <c r="M5" s="125" t="str">
        <f t="shared" si="2"/>
        <v>3</v>
      </c>
      <c r="N5" s="125" t="str">
        <f t="shared" si="3"/>
        <v>3</v>
      </c>
      <c r="O5" s="125" t="str">
        <f t="shared" si="4"/>
        <v>3</v>
      </c>
      <c r="P5" s="125" t="str">
        <f t="shared" si="5"/>
        <v>4</v>
      </c>
      <c r="Q5" s="126"/>
      <c r="R5" s="126"/>
      <c r="S5" s="126"/>
      <c r="T5" s="126"/>
      <c r="U5" s="126">
        <v>60</v>
      </c>
      <c r="V5" s="127">
        <f t="shared" si="6"/>
        <v>54</v>
      </c>
      <c r="W5" s="127">
        <f>IF(J5="S",$S$19/$T$19*(参数调整!$G$11+参数调整!$I$11+参数调整!$J$11+参数调整!$K$11)/100+X5*参数调整!$H$11/100*$S$19/($U$19*$J$18),IF(J5="B",$S$20/$T$20*(参数调整!$G$12+参数调整!$I$12+参数调整!$J$12+参数调整!$K$12)/100+X5*参数调整!$H$12/100*$S$20/($U$20*$J$18),IF(J5="Q",$S$21/$T$21*(参数调整!$G$13+参数调整!$I$13+参数调整!$J$13+参数调整!$K$13)/100+X5*参数调整!$H$13/100*$S$21/($U$21*$J$18),$S$22/$T$22*(参数调整!$G$14+参数调整!$I$14+参数调整!$J$14+参数调整!$K$14)/100+X5*参数调整!$H$14/100*$S$22/($U$22*$J$18))))</f>
        <v>180.86752873563219</v>
      </c>
      <c r="X5" s="126">
        <v>29808</v>
      </c>
      <c r="Y5" s="126"/>
      <c r="Z5" s="122">
        <f>IF(J5="S",X5*参数调整!$H$11/($J$18*$U$19),IF(J5="B",X5*参数调整!$H$12/($J$18*$U$20),IF(J5="Q",X5*参数调整!$H$13/($J$18*$U$21),X5*参数调整!$H$14/($J$18*$U$22))))</f>
        <v>17.721759809750296</v>
      </c>
      <c r="AA5" s="122">
        <f>SUMIFS(X3:X14,J3:J14,"Q")</f>
        <v>0</v>
      </c>
      <c r="AF5" s="216"/>
      <c r="AG5" s="147" t="s">
        <v>218</v>
      </c>
      <c r="AH5" s="120"/>
      <c r="AI5" s="119">
        <f>AH5*参数调整!H23</f>
        <v>0</v>
      </c>
      <c r="AK5" s="232"/>
      <c r="AL5" s="215" t="s">
        <v>255</v>
      </c>
      <c r="AM5" s="215" t="s">
        <v>219</v>
      </c>
      <c r="AN5" s="147" t="s">
        <v>167</v>
      </c>
      <c r="AO5" s="122">
        <f>SUM(R3:R14)</f>
        <v>0</v>
      </c>
      <c r="AP5" s="147">
        <f>AO5*参数调整!I$32</f>
        <v>0</v>
      </c>
      <c r="AQ5" s="228">
        <f>AP2+AQ36*(1-参数调整!B23)+AR36*(1-参数调整!B24)</f>
        <v>0</v>
      </c>
      <c r="AR5" s="228"/>
      <c r="AX5" s="129"/>
    </row>
    <row r="6" spans="1:50" ht="21" customHeight="1" x14ac:dyDescent="0.25">
      <c r="A6" s="144" t="str">
        <f>参数调整!A48</f>
        <v>塑胶</v>
      </c>
      <c r="B6" s="111">
        <f>SUMIF($M$3:$M$14,1,$R$3:$R$14)+SUMIF($M$3:$M$14,1,$S$3:$S$14)+SUMIF($M$3:$M$14,1,$T$3:$T$14)+SUMIF($M$3:$M$14,1,$U$3:$U$14)</f>
        <v>268</v>
      </c>
      <c r="C6" s="107">
        <f>参数调整!B48</f>
        <v>10</v>
      </c>
      <c r="D6" s="107">
        <f>IF(G6&lt;=INDEX(参数调整!$C$63:'参数调整'!$D$68,1,1),C6,IF(G6&lt;=INDEX(参数调整!$C$63:'参数调整'!$D$68,2,1),C6*INDEX(参数调整!$C$63:'参数调整'!$D$68,2,2),IF(G6&lt;=INDEX(参数调整!$C$63:'参数调整'!$D$68,3,1),C6*INDEX(参数调整!$C$63:'参数调整'!$D$68,3,2),IF(G6&lt;=INDEX(参数调整!$C$63:'参数调整'!$D$68,4,1),C6*INDEX(参数调整!$C$63:'参数调整'!$D$68,4,2),IF(G6&lt;=INDEX(参数调整!$C$63:'参数调整'!$D$68,5,1),C6*INDEX(参数调整!$C$63:'参数调整'!$D$68,5,2),C6*INDEX(参数调整!$C$63:'参数调整'!$D$68,6,2))))))</f>
        <v>9.5</v>
      </c>
      <c r="E6" s="107">
        <f>参数调整!I48</f>
        <v>0</v>
      </c>
      <c r="F6" s="107">
        <f>D6*G6*(参数调整!$B$6+1)</f>
        <v>2978.8199999999997</v>
      </c>
      <c r="G6" s="112">
        <f t="shared" si="0"/>
        <v>268</v>
      </c>
      <c r="H6" s="109"/>
      <c r="J6" s="119" t="str">
        <f>第一季度!J6</f>
        <v>B</v>
      </c>
      <c r="K6" s="119">
        <f>第一季度!K6</f>
        <v>1111</v>
      </c>
      <c r="L6" s="125" t="str">
        <f t="shared" si="1"/>
        <v>1</v>
      </c>
      <c r="M6" s="125" t="str">
        <f t="shared" si="2"/>
        <v>1</v>
      </c>
      <c r="N6" s="125" t="str">
        <f t="shared" si="3"/>
        <v>1</v>
      </c>
      <c r="O6" s="125" t="str">
        <f t="shared" si="4"/>
        <v>1</v>
      </c>
      <c r="P6" s="125" t="str">
        <f t="shared" si="5"/>
        <v/>
      </c>
      <c r="Q6" s="126">
        <v>5</v>
      </c>
      <c r="R6" s="126"/>
      <c r="S6" s="126"/>
      <c r="T6" s="126"/>
      <c r="U6" s="126">
        <v>84</v>
      </c>
      <c r="V6" s="127">
        <f t="shared" si="6"/>
        <v>81</v>
      </c>
      <c r="W6" s="127">
        <f>IF(J6="S",$S$19/$T$19*(参数调整!$G$11+参数调整!$I$11+参数调整!$J$11+参数调整!$K$11)/100+X6*参数调整!$H$11/100*$S$19/($U$19*$J$18),IF(J6="B",$S$20/$T$20*(参数调整!$G$12+参数调整!$I$12+参数调整!$J$12+参数调整!$K$12)/100+X6*参数调整!$H$12/100*$S$20/($U$20*$J$18),IF(J6="Q",$S$21/$T$21*(参数调整!$G$13+参数调整!$I$13+参数调整!$J$13+参数调整!$K$13)/100+X6*参数调整!$H$13/100*$S$21/($U$21*$J$18),$S$22/$T$22*(参数调整!$G$14+参数调整!$I$14+参数调整!$J$14+参数调整!$K$14)/100+X6*参数调整!$H$14/100*$S$22/($U$22*$J$18))))</f>
        <v>57.733004926108372</v>
      </c>
      <c r="X6" s="126">
        <v>6807</v>
      </c>
      <c r="Y6" s="126"/>
      <c r="Z6" s="122">
        <f>IF(J6="S",X6*参数调整!$H$11/($J$18*$U$19),IF(J6="B",X6*参数调整!$H$12/($J$18*$U$20),IF(J6="Q",X6*参数调整!$H$13/($J$18*$U$21),X6*参数调整!$H$14/($J$18*$U$22))))</f>
        <v>5.7813827076609474</v>
      </c>
      <c r="AA6" s="122">
        <f>SUMIFS(X3:X14,J3:J14,"L")</f>
        <v>2151</v>
      </c>
      <c r="AF6" s="217"/>
      <c r="AG6" s="147" t="s">
        <v>220</v>
      </c>
      <c r="AH6" s="120"/>
      <c r="AI6" s="119">
        <f>AH6*参数调整!F23</f>
        <v>0</v>
      </c>
      <c r="AK6" s="232"/>
      <c r="AL6" s="216"/>
      <c r="AM6" s="216"/>
      <c r="AN6" s="147" t="s">
        <v>256</v>
      </c>
      <c r="AO6" s="122">
        <f>SUM(U3:U14)</f>
        <v>630</v>
      </c>
      <c r="AP6" s="147">
        <f>AO6*参数调整!F32</f>
        <v>6300</v>
      </c>
      <c r="AQ6" s="228"/>
      <c r="AR6" s="228"/>
      <c r="AX6" s="129"/>
    </row>
    <row r="7" spans="1:50" ht="21" customHeight="1" x14ac:dyDescent="0.25">
      <c r="A7" s="144" t="str">
        <f>参数调整!A49</f>
        <v>金属</v>
      </c>
      <c r="B7" s="111">
        <f>SUMIF($M$3:$M$14,2,$R$3:$R$14)+SUMIF($M$3:$M$14,2,$S$3:$S$14)+SUMIF($M$3:$M$14,2,$T$3:$T$14)+SUMIF($M$3:$M$14,2,$U$3:$U$14)</f>
        <v>242</v>
      </c>
      <c r="C7" s="107">
        <f>参数调整!B49</f>
        <v>20</v>
      </c>
      <c r="D7" s="107">
        <f>IF(G7&lt;=INDEX(参数调整!$C$63:'参数调整'!$D$68,1,1),C7,IF(G7&lt;=INDEX(参数调整!$C$63:'参数调整'!$D$68,2,1),C7*INDEX(参数调整!$C$63:'参数调整'!$D$68,2,2),IF(G7&lt;=INDEX(参数调整!$C$63:'参数调整'!$D$68,3,1),C7*INDEX(参数调整!$C$63:'参数调整'!$D$68,3,2),IF(G7&lt;=INDEX(参数调整!$C$63:'参数调整'!$D$68,4,1),C7*INDEX(参数调整!$C$63:'参数调整'!$D$68,4,2),IF(G7&lt;=INDEX(参数调整!$C$63:'参数调整'!$D$68,5,1),C7*INDEX(参数调整!$C$63:'参数调整'!$D$68,5,2),C7*INDEX(参数调整!$C$63:'参数调整'!$D$68,6,2))))))</f>
        <v>19</v>
      </c>
      <c r="E7" s="107">
        <f>参数调整!I49</f>
        <v>1</v>
      </c>
      <c r="F7" s="107">
        <f>D7*G7*(参数调整!$B$6+1)</f>
        <v>5379.66</v>
      </c>
      <c r="G7" s="112">
        <f t="shared" si="0"/>
        <v>242</v>
      </c>
      <c r="H7" s="109"/>
      <c r="J7" s="119" t="str">
        <f>第一季度!J7</f>
        <v>Q</v>
      </c>
      <c r="K7" s="119">
        <f>第一季度!K7</f>
        <v>212</v>
      </c>
      <c r="L7" s="125" t="str">
        <f t="shared" si="1"/>
        <v>2</v>
      </c>
      <c r="M7" s="125" t="str">
        <f t="shared" si="2"/>
        <v>1</v>
      </c>
      <c r="N7" s="125" t="str">
        <f t="shared" si="3"/>
        <v>2</v>
      </c>
      <c r="O7" s="125" t="str">
        <f t="shared" si="4"/>
        <v/>
      </c>
      <c r="P7" s="125" t="str">
        <f t="shared" si="5"/>
        <v/>
      </c>
      <c r="Q7" s="126"/>
      <c r="R7" s="126"/>
      <c r="S7" s="126"/>
      <c r="T7" s="126"/>
      <c r="U7" s="126">
        <v>50</v>
      </c>
      <c r="V7" s="127">
        <f t="shared" si="6"/>
        <v>45</v>
      </c>
      <c r="W7" s="127">
        <f>IF(J7="S",$S$19/$T$19*(参数调整!$G$11+参数调整!$I$11+参数调整!$J$11+参数调整!$K$11)/100+X7*参数调整!$H$11/100*$S$19/($U$19*$J$18),IF(J7="B",$S$20/$T$20*(参数调整!$G$12+参数调整!$I$12+参数调整!$J$12+参数调整!$K$12)/100+X7*参数调整!$H$12/100*$S$20/($U$20*$J$18),IF(J7="Q",$S$21/$T$21*(参数调整!$G$13+参数调整!$I$13+参数调整!$J$13+参数调整!$K$13)/100+X7*参数调整!$H$13/100*$S$21/($U$21*$J$18),$S$22/$T$22*(参数调整!$G$14+参数调整!$I$14+参数调整!$J$14+参数调整!$K$14)/100+X7*参数调整!$H$14/100*$S$22/($U$22*$J$18))))</f>
        <v>0.85</v>
      </c>
      <c r="X7" s="126"/>
      <c r="Y7" s="126"/>
      <c r="Z7" s="122">
        <f>IF(J7="S",X7*参数调整!$H$11/($J$18*$U$19),IF(J7="B",X7*参数调整!$H$12/($J$18*$U$20),IF(J7="Q",X7*参数调整!$H$13/($J$18*$U$21),X7*参数调整!$H$14/($J$18*$U$22))))</f>
        <v>0</v>
      </c>
      <c r="AF7" s="215" t="s">
        <v>257</v>
      </c>
      <c r="AG7" s="147" t="s">
        <v>221</v>
      </c>
      <c r="AH7" s="120">
        <v>1</v>
      </c>
      <c r="AI7" s="212"/>
      <c r="AJ7"/>
      <c r="AK7" s="232"/>
      <c r="AL7" s="216"/>
      <c r="AM7" s="216"/>
      <c r="AN7" s="147" t="s">
        <v>166</v>
      </c>
      <c r="AO7" s="122">
        <f>SUM(S3:S14)</f>
        <v>0</v>
      </c>
      <c r="AP7" s="147">
        <f>AO7*参数调整!H32</f>
        <v>0</v>
      </c>
      <c r="AQ7" s="129"/>
      <c r="AR7" s="129"/>
      <c r="AX7" s="129"/>
    </row>
    <row r="8" spans="1:50" ht="21" customHeight="1" x14ac:dyDescent="0.25">
      <c r="A8" s="144" t="str">
        <f>参数调整!A50</f>
        <v>皮革</v>
      </c>
      <c r="B8" s="111">
        <f>SUMIF($M$3:$M$14,3,$R$3:$R$14)+SUMIF($M$3:$M$14,3,$S$3:$S$14)+SUMIF($M$3:$M$14,3,$T$3:$T$14)+SUMIF($M$3:$M$14,3,$U$3:$U$14)</f>
        <v>120</v>
      </c>
      <c r="C8" s="107">
        <f>参数调整!B50</f>
        <v>35</v>
      </c>
      <c r="D8" s="107">
        <f>IF(G8&lt;=INDEX(参数调整!$C$63:'参数调整'!$D$68,1,1),C8,IF(G8&lt;=INDEX(参数调整!$C$63:'参数调整'!$D$68,2,1),C8*INDEX(参数调整!$C$63:'参数调整'!$D$68,2,2),IF(G8&lt;=INDEX(参数调整!$C$63:'参数调整'!$D$68,3,1),C8*INDEX(参数调整!$C$63:'参数调整'!$D$68,3,2),IF(G8&lt;=INDEX(参数调整!$C$63:'参数调整'!$D$68,4,1),C8*INDEX(参数调整!$C$63:'参数调整'!$D$68,4,2),IF(G8&lt;=INDEX(参数调整!$C$63:'参数调整'!$D$68,5,1),C8*INDEX(参数调整!$C$63:'参数调整'!$D$68,5,2),C8*INDEX(参数调整!$C$63:'参数调整'!$D$68,6,2))))))</f>
        <v>35</v>
      </c>
      <c r="E8" s="107">
        <f>参数调整!I50</f>
        <v>1</v>
      </c>
      <c r="F8" s="107">
        <f>D8*G8*(参数调整!$B$6+1)</f>
        <v>4914</v>
      </c>
      <c r="G8" s="112">
        <f t="shared" si="0"/>
        <v>120</v>
      </c>
      <c r="H8" s="109"/>
      <c r="J8" s="119" t="str">
        <f>第一季度!J8</f>
        <v>L</v>
      </c>
      <c r="K8" s="119">
        <f>第一季度!K8</f>
        <v>121</v>
      </c>
      <c r="L8" s="125" t="str">
        <f t="shared" si="1"/>
        <v>1</v>
      </c>
      <c r="M8" s="125" t="str">
        <f t="shared" si="2"/>
        <v>2</v>
      </c>
      <c r="N8" s="125" t="str">
        <f t="shared" si="3"/>
        <v>1</v>
      </c>
      <c r="O8" s="125" t="str">
        <f t="shared" si="4"/>
        <v/>
      </c>
      <c r="P8" s="125" t="str">
        <f t="shared" si="5"/>
        <v/>
      </c>
      <c r="Q8" s="126"/>
      <c r="R8" s="126"/>
      <c r="S8" s="126"/>
      <c r="T8" s="126"/>
      <c r="U8" s="126">
        <v>84</v>
      </c>
      <c r="V8" s="127">
        <f t="shared" si="6"/>
        <v>76</v>
      </c>
      <c r="W8" s="127">
        <f>IF(J8="S",$S$19/$T$19*(参数调整!$G$11+参数调整!$I$11+参数调整!$J$11+参数调整!$K$11)/100+X8*参数调整!$H$11/100*$S$19/($U$19*$J$18),IF(J8="B",$S$20/$T$20*(参数调整!$G$12+参数调整!$I$12+参数调整!$J$12+参数调整!$K$12)/100+X8*参数调整!$H$12/100*$S$20/($U$20*$J$18),IF(J8="Q",$S$21/$T$21*(参数调整!$G$13+参数调整!$I$13+参数调整!$J$13+参数调整!$K$13)/100+X8*参数调整!$H$13/100*$S$21/($U$21*$J$18),$S$22/$T$22*(参数调整!$G$14+参数调整!$I$14+参数调整!$J$14+参数调整!$K$14)/100+X8*参数调整!$H$14/100*$S$22/($U$22*$J$18))))</f>
        <v>0.85499999999999998</v>
      </c>
      <c r="X8" s="126"/>
      <c r="Y8" s="126"/>
      <c r="Z8" s="122">
        <f>IF(J8="S",X8*参数调整!$H$11/($J$18*$U$19),IF(J8="B",X8*参数调整!$H$12/($J$18*$U$20),IF(J8="Q",X8*参数调整!$H$13/($J$18*$U$21),X8*参数调整!$H$14/($J$18*$U$22))))</f>
        <v>0</v>
      </c>
      <c r="AF8" s="216"/>
      <c r="AG8" s="147" t="s">
        <v>222</v>
      </c>
      <c r="AH8" s="120"/>
      <c r="AI8" s="213"/>
      <c r="AJ8"/>
      <c r="AK8" s="232"/>
      <c r="AL8" s="216"/>
      <c r="AM8" s="217"/>
      <c r="AN8" s="147" t="s">
        <v>258</v>
      </c>
      <c r="AO8" s="122">
        <f>SUM(T3:T14)</f>
        <v>0</v>
      </c>
      <c r="AP8" s="147">
        <f>AO8*参数调整!G32</f>
        <v>0</v>
      </c>
      <c r="AQ8" s="129"/>
      <c r="AR8" s="129"/>
      <c r="AX8" s="129"/>
    </row>
    <row r="9" spans="1:50" ht="21" customHeight="1" x14ac:dyDescent="0.25">
      <c r="A9" s="144" t="str">
        <f>参数调整!A51</f>
        <v>7天以下</v>
      </c>
      <c r="B9" s="113">
        <f>SUMIF($N$3:$N$14,1,$R$3:$R$14)+SUMIF($N$3:$N$14,1,$S$3:$S$14)+SUMIF($N$3:$N$14,1,$T$3:$T$14)+SUMIF($N$3:$N$14,1,$U$3:$U$14)</f>
        <v>254</v>
      </c>
      <c r="C9" s="107">
        <f>参数调整!B51</f>
        <v>50</v>
      </c>
      <c r="D9" s="107">
        <f>IF(G9&lt;=INDEX(参数调整!$C$63:'参数调整'!$D$68,1,1),C9,IF(G9&lt;=INDEX(参数调整!$C$63:'参数调整'!$D$68,2,1),C9*INDEX(参数调整!$C$63:'参数调整'!$D$68,2,2),IF(G9&lt;=INDEX(参数调整!$C$63:'参数调整'!$D$68,3,1),C9*INDEX(参数调整!$C$63:'参数调整'!$D$68,3,2),IF(G9&lt;=INDEX(参数调整!$C$63:'参数调整'!$D$68,4,1),C9*INDEX(参数调整!$C$63:'参数调整'!$D$68,4,2),IF(G9&lt;=INDEX(参数调整!$C$63:'参数调整'!$D$68,5,1),C9*INDEX(参数调整!$C$63:'参数调整'!$D$68,5,2),C9*INDEX(参数调整!$C$63:'参数调整'!$D$68,6,2))))))</f>
        <v>47.5</v>
      </c>
      <c r="E9" s="107">
        <f>参数调整!I51</f>
        <v>0</v>
      </c>
      <c r="F9" s="107">
        <f>D9*G9*(参数调整!$B$6+1)</f>
        <v>14116.05</v>
      </c>
      <c r="G9" s="114">
        <f t="shared" si="0"/>
        <v>254</v>
      </c>
      <c r="H9" s="109"/>
      <c r="J9" s="119" t="str">
        <f>第一季度!J9</f>
        <v>L</v>
      </c>
      <c r="K9" s="119">
        <f>第一季度!K9</f>
        <v>122</v>
      </c>
      <c r="L9" s="125" t="str">
        <f t="shared" si="1"/>
        <v>1</v>
      </c>
      <c r="M9" s="125" t="str">
        <f t="shared" si="2"/>
        <v>2</v>
      </c>
      <c r="N9" s="125" t="str">
        <f t="shared" si="3"/>
        <v>2</v>
      </c>
      <c r="O9" s="125" t="str">
        <f t="shared" si="4"/>
        <v/>
      </c>
      <c r="P9" s="125" t="str">
        <f t="shared" si="5"/>
        <v/>
      </c>
      <c r="Q9" s="126"/>
      <c r="R9" s="126"/>
      <c r="S9" s="126"/>
      <c r="T9" s="126"/>
      <c r="U9" s="126">
        <v>158</v>
      </c>
      <c r="V9" s="127">
        <f t="shared" si="6"/>
        <v>142</v>
      </c>
      <c r="W9" s="127">
        <f>IF(J9="S",$S$19/$T$19*(参数调整!$G$11+参数调整!$I$11+参数调整!$J$11+参数调整!$K$11)/100+X9*参数调整!$H$11/100*$S$19/($U$19*$J$18),IF(J9="B",$S$20/$T$20*(参数调整!$G$12+参数调整!$I$12+参数调整!$J$12+参数调整!$K$12)/100+X9*参数调整!$H$12/100*$S$20/($U$20*$J$18),IF(J9="Q",$S$21/$T$21*(参数调整!$G$13+参数调整!$I$13+参数调整!$J$13+参数调整!$K$13)/100+X9*参数调整!$H$13/100*$S$21/($U$21*$J$18),$S$22/$T$22*(参数调整!$G$14+参数调整!$I$14+参数调整!$J$14+参数调整!$K$14)/100+X9*参数调整!$H$14/100*$S$22/($U$22*$J$18))))</f>
        <v>4.5636206896551723</v>
      </c>
      <c r="X9" s="126">
        <v>2151</v>
      </c>
      <c r="Y9" s="126"/>
      <c r="Z9" s="122">
        <f>IF(J9="S",X9*参数调整!$H$11/($J$18*$U$19),IF(J9="B",X9*参数调整!$H$12/($J$18*$U$20),IF(J9="Q",X9*参数调整!$H$13/($J$18*$U$21),X9*参数调整!$H$14/($J$18*$U$22))))</f>
        <v>0.28418549346016647</v>
      </c>
      <c r="AF9" s="217"/>
      <c r="AG9" s="147" t="s">
        <v>223</v>
      </c>
      <c r="AH9" s="120"/>
      <c r="AI9" s="214"/>
      <c r="AJ9"/>
      <c r="AK9" s="232"/>
      <c r="AL9" s="216"/>
      <c r="AM9" s="215" t="s">
        <v>224</v>
      </c>
      <c r="AN9" s="147" t="s">
        <v>225</v>
      </c>
      <c r="AO9" s="122">
        <f>AH7</f>
        <v>1</v>
      </c>
      <c r="AP9" s="147">
        <f>AO9*参数调整!J24</f>
        <v>5000</v>
      </c>
      <c r="AQ9" s="129"/>
      <c r="AR9" s="129"/>
      <c r="AX9" s="129"/>
    </row>
    <row r="10" spans="1:50" ht="21" customHeight="1" x14ac:dyDescent="0.25">
      <c r="A10" s="144" t="str">
        <f>参数调整!A52</f>
        <v>15天</v>
      </c>
      <c r="B10" s="113">
        <f>SUMIF($N$3:$N$14,2,$R$3:$R$14)+SUMIF($N$3:$N$14,2,$S$3:$S$14)+SUMIF($N$3:$N$14,2,$T$3:$T$14)+SUMIF($N$3:$N$14,2,$U$3:$U$14)</f>
        <v>208</v>
      </c>
      <c r="C10" s="107">
        <f>参数调整!B52</f>
        <v>80</v>
      </c>
      <c r="D10" s="107">
        <f>IF(G10&lt;=INDEX(参数调整!$C$63:'参数调整'!$D$68,1,1),C10,IF(G10&lt;=INDEX(参数调整!$C$63:'参数调整'!$D$68,2,1),C10*INDEX(参数调整!$C$63:'参数调整'!$D$68,2,2),IF(G10&lt;=INDEX(参数调整!$C$63:'参数调整'!$D$68,3,1),C10*INDEX(参数调整!$C$63:'参数调整'!$D$68,3,2),IF(G10&lt;=INDEX(参数调整!$C$63:'参数调整'!$D$68,4,1),C10*INDEX(参数调整!$C$63:'参数调整'!$D$68,4,2),IF(G10&lt;=INDEX(参数调整!$C$63:'参数调整'!$D$68,5,1),C10*INDEX(参数调整!$C$63:'参数调整'!$D$68,5,2),C10*INDEX(参数调整!$C$63:'参数调整'!$D$68,6,2))))))</f>
        <v>76</v>
      </c>
      <c r="E10" s="107">
        <f>参数调整!I52</f>
        <v>1</v>
      </c>
      <c r="F10" s="107">
        <f>D10*G10*(参数调整!$B$6+1)</f>
        <v>18495.36</v>
      </c>
      <c r="G10" s="114">
        <f t="shared" si="0"/>
        <v>208</v>
      </c>
      <c r="H10" s="109"/>
      <c r="J10" s="119" t="str">
        <f>第一季度!J10</f>
        <v>L</v>
      </c>
      <c r="K10" s="119">
        <f>第一季度!K10</f>
        <v>111</v>
      </c>
      <c r="L10" s="125" t="str">
        <f t="shared" si="1"/>
        <v>1</v>
      </c>
      <c r="M10" s="125" t="str">
        <f t="shared" si="2"/>
        <v>1</v>
      </c>
      <c r="N10" s="125" t="str">
        <f>MID(K10,3,1)</f>
        <v>1</v>
      </c>
      <c r="O10" s="125" t="str">
        <f t="shared" si="4"/>
        <v/>
      </c>
      <c r="P10" s="125" t="str">
        <f t="shared" si="5"/>
        <v/>
      </c>
      <c r="Q10" s="126"/>
      <c r="R10" s="126"/>
      <c r="S10" s="126"/>
      <c r="T10" s="126"/>
      <c r="U10" s="126">
        <v>86</v>
      </c>
      <c r="V10" s="127">
        <f t="shared" si="6"/>
        <v>77</v>
      </c>
      <c r="W10" s="127">
        <f>IF(J10="S",$S$19/$T$19*(参数调整!$G$11+参数调整!$I$11+参数调整!$J$11+参数调整!$K$11)/100+X10*参数调整!$H$11/100*$S$19/($U$19*$J$18),IF(J10="B",$S$20/$T$20*(参数调整!$G$12+参数调整!$I$12+参数调整!$J$12+参数调整!$K$12)/100+X10*参数调整!$H$12/100*$S$20/($U$20*$J$18),IF(J10="Q",$S$21/$T$21*(参数调整!$G$13+参数调整!$I$13+参数调整!$J$13+参数调整!$K$13)/100+X10*参数调整!$H$13/100*$S$21/($U$21*$J$18),$S$22/$T$22*(参数调整!$G$14+参数调整!$I$14+参数调整!$J$14+参数调整!$K$14)/100+X10*参数调整!$H$14/100*$S$22/($U$22*$J$18))))</f>
        <v>0.85499999999999998</v>
      </c>
      <c r="X10" s="126"/>
      <c r="Y10" s="126"/>
      <c r="Z10" s="122">
        <f>IF(J10="S",X10*参数调整!$H$11/($J$18*$U$19),IF(J10="B",X10*参数调整!$H$12/($J$18*$U$20),IF(J10="Q",X10*参数调整!$H$13/($J$18*$U$21),X10*参数调整!$H$14/($J$18*$U$22))))</f>
        <v>0</v>
      </c>
      <c r="AA10" s="132" t="s">
        <v>259</v>
      </c>
      <c r="AF10" s="215" t="s">
        <v>226</v>
      </c>
      <c r="AG10" s="147" t="s">
        <v>112</v>
      </c>
      <c r="AH10" s="120">
        <v>2</v>
      </c>
      <c r="AI10" s="119">
        <f>AH10*参数调整!I29</f>
        <v>100000</v>
      </c>
      <c r="AK10" s="232"/>
      <c r="AL10" s="216"/>
      <c r="AM10" s="216"/>
      <c r="AN10" s="147" t="s">
        <v>227</v>
      </c>
      <c r="AO10" s="122">
        <f t="shared" ref="AO10:AO12" si="7">AH8</f>
        <v>0</v>
      </c>
      <c r="AP10" s="147">
        <f>AO10*参数调整!H24</f>
        <v>0</v>
      </c>
      <c r="AQ10" s="129"/>
      <c r="AR10" s="129"/>
      <c r="AX10" s="129"/>
    </row>
    <row r="11" spans="1:50" ht="21" customHeight="1" x14ac:dyDescent="0.25">
      <c r="A11" s="144" t="str">
        <f>参数调整!A53</f>
        <v>30天</v>
      </c>
      <c r="B11" s="113">
        <f>SUMIF($N$3:$N$14,3,$R$3:$R$14)+SUMIF($N$3:$N$14,3,$S$3:$S$14)+SUMIF($N$3:$N$14,3,$T$3:$T$14)+SUMIF($N$3:$N$14,3,$U$3:$U$14)</f>
        <v>168</v>
      </c>
      <c r="C11" s="107">
        <f>参数调整!B53</f>
        <v>110</v>
      </c>
      <c r="D11" s="107">
        <f>IF(G11&lt;=INDEX(参数调整!$C$63:'参数调整'!$D$68,1,1),C11,IF(G11&lt;=INDEX(参数调整!$C$63:'参数调整'!$D$68,2,1),C11*INDEX(参数调整!$C$63:'参数调整'!$D$68,2,2),IF(G11&lt;=INDEX(参数调整!$C$63:'参数调整'!$D$68,3,1),C11*INDEX(参数调整!$C$63:'参数调整'!$D$68,3,2),IF(G11&lt;=INDEX(参数调整!$C$63:'参数调整'!$D$68,4,1),C11*INDEX(参数调整!$C$63:'参数调整'!$D$68,4,2),IF(G11&lt;=INDEX(参数调整!$C$63:'参数调整'!$D$68,5,1),C11*INDEX(参数调整!$C$63:'参数调整'!$D$68,5,2),C11*INDEX(参数调整!$C$63:'参数调整'!$D$68,6,2))))))</f>
        <v>110</v>
      </c>
      <c r="E11" s="107">
        <f>参数调整!I53</f>
        <v>0</v>
      </c>
      <c r="F11" s="107">
        <f>D11*G11*(参数调整!$B$6+1)</f>
        <v>21621.599999999999</v>
      </c>
      <c r="G11" s="114">
        <f t="shared" si="0"/>
        <v>168</v>
      </c>
      <c r="H11" s="109"/>
      <c r="J11" s="119">
        <f>第一季度!J11</f>
        <v>0</v>
      </c>
      <c r="K11" s="119">
        <f>第一季度!K11</f>
        <v>0</v>
      </c>
      <c r="L11" s="125" t="str">
        <f t="shared" si="1"/>
        <v>0</v>
      </c>
      <c r="M11" s="125" t="str">
        <f t="shared" si="2"/>
        <v/>
      </c>
      <c r="N11" s="125" t="str">
        <f t="shared" si="3"/>
        <v/>
      </c>
      <c r="O11" s="125" t="str">
        <f t="shared" si="4"/>
        <v/>
      </c>
      <c r="P11" s="125" t="str">
        <f t="shared" si="5"/>
        <v/>
      </c>
      <c r="Q11" s="126"/>
      <c r="R11" s="126"/>
      <c r="S11" s="126"/>
      <c r="T11" s="126"/>
      <c r="U11" s="126"/>
      <c r="V11" s="127">
        <f t="shared" si="6"/>
        <v>0</v>
      </c>
      <c r="W11" s="127">
        <f>IF(J11="S",$S$19/$T$19*(参数调整!$G$11+参数调整!$I$11+参数调整!$J$11+参数调整!$K$11)/100+X11*参数调整!$H$11/100*$S$19/($U$19*$J$18),IF(J11="B",$S$20/$T$20*(参数调整!$G$12+参数调整!$I$12+参数调整!$J$12+参数调整!$K$12)/100+X11*参数调整!$H$12/100*$S$20/($U$20*$J$18),IF(J11="Q",$S$21/$T$21*(参数调整!$G$13+参数调整!$I$13+参数调整!$J$13+参数调整!$K$13)/100+X11*参数调整!$H$13/100*$S$21/($U$21*$J$18),$S$22/$T$22*(参数调整!$G$14+参数调整!$I$14+参数调整!$J$14+参数调整!$K$14)/100+X11*参数调整!$H$14/100*$S$22/($U$22*$J$18))))</f>
        <v>0.85499999999999998</v>
      </c>
      <c r="X11" s="126"/>
      <c r="Y11" s="126"/>
      <c r="Z11" s="122">
        <f>IF(J11="S",X11*参数调整!$H$11/($J$18*$U$19),IF(J11="B",X11*参数调整!$H$12/($J$18*$U$20),IF(J11="Q",X11*参数调整!$H$13/($J$18*$U$21),X11*参数调整!$H$14/($J$18*$U$22))))</f>
        <v>0</v>
      </c>
      <c r="AA11" s="133">
        <f>AI31</f>
        <v>-160127.46999999997</v>
      </c>
      <c r="AF11" s="216"/>
      <c r="AG11" s="147" t="s">
        <v>110</v>
      </c>
      <c r="AH11" s="120"/>
      <c r="AI11" s="119">
        <f>AH11*参数调整!H29</f>
        <v>0</v>
      </c>
      <c r="AK11" s="232"/>
      <c r="AL11" s="216"/>
      <c r="AM11" s="217"/>
      <c r="AN11" s="147" t="s">
        <v>228</v>
      </c>
      <c r="AO11" s="122">
        <f t="shared" si="7"/>
        <v>0</v>
      </c>
      <c r="AP11" s="147">
        <f>AO11*参数调整!F24</f>
        <v>0</v>
      </c>
      <c r="AQ11" s="129"/>
      <c r="AR11" s="129"/>
      <c r="AX11" s="129"/>
    </row>
    <row r="12" spans="1:50" ht="21" customHeight="1" x14ac:dyDescent="0.25">
      <c r="A12" s="144" t="str">
        <f>参数调整!A54</f>
        <v>30天以上</v>
      </c>
      <c r="B12" s="113">
        <f>SUMIF($N$3:$N$14,4,$R$3:$R$14)+SUMIF($N$3:$N$14,4,$S$3:$S$14)+SUMIF($N$3:$N$14,4,$T$3:$T$14)+SUMIF($N$3:$N$14,4,$U$3:$U$14)</f>
        <v>0</v>
      </c>
      <c r="C12" s="107">
        <f>参数调整!B54</f>
        <v>160</v>
      </c>
      <c r="D12" s="107">
        <f>IF(G12&lt;=INDEX(参数调整!$C$63:'参数调整'!$D$68,1,1),C12,IF(G12&lt;=INDEX(参数调整!$C$63:'参数调整'!$D$68,2,1),C12*INDEX(参数调整!$C$63:'参数调整'!$D$68,2,2),IF(G12&lt;=INDEX(参数调整!$C$63:'参数调整'!$D$68,3,1),C12*INDEX(参数调整!$C$63:'参数调整'!$D$68,3,2),IF(G12&lt;=INDEX(参数调整!$C$63:'参数调整'!$D$68,4,1),C12*INDEX(参数调整!$C$63:'参数调整'!$D$68,4,2),IF(G12&lt;=INDEX(参数调整!$C$63:'参数调整'!$D$68,5,1),C12*INDEX(参数调整!$C$63:'参数调整'!$D$68,5,2),C12*INDEX(参数调整!$C$63:'参数调整'!$D$68,6,2))))))</f>
        <v>160</v>
      </c>
      <c r="E12" s="107">
        <f>参数调整!I54</f>
        <v>1</v>
      </c>
      <c r="F12" s="107">
        <f>D12*G12*(参数调整!$B$6+1)</f>
        <v>0</v>
      </c>
      <c r="G12" s="114">
        <f t="shared" si="0"/>
        <v>0</v>
      </c>
      <c r="H12" s="109"/>
      <c r="J12" s="119">
        <f>第一季度!J12</f>
        <v>0</v>
      </c>
      <c r="K12" s="119">
        <f>第一季度!K12</f>
        <v>0</v>
      </c>
      <c r="L12" s="125" t="str">
        <f t="shared" si="1"/>
        <v>0</v>
      </c>
      <c r="M12" s="125" t="str">
        <f t="shared" si="2"/>
        <v/>
      </c>
      <c r="N12" s="125" t="str">
        <f t="shared" si="3"/>
        <v/>
      </c>
      <c r="O12" s="125" t="str">
        <f t="shared" si="4"/>
        <v/>
      </c>
      <c r="P12" s="125" t="str">
        <f t="shared" si="5"/>
        <v/>
      </c>
      <c r="Q12" s="126"/>
      <c r="R12" s="126"/>
      <c r="S12" s="126"/>
      <c r="T12" s="126"/>
      <c r="U12" s="126"/>
      <c r="V12" s="127">
        <f t="shared" si="6"/>
        <v>0</v>
      </c>
      <c r="W12" s="127">
        <f>IF(J12="S",$S$19/$T$19*(参数调整!$G$11+参数调整!$I$11+参数调整!$J$11+参数调整!$K$11)/100+X12*参数调整!$H$11/100*$S$19/($U$19*$J$18),IF(J12="B",$S$20/$T$20*(参数调整!$G$12+参数调整!$I$12+参数调整!$J$12+参数调整!$K$12)/100+X12*参数调整!$H$12/100*$S$20/($U$20*$J$18),IF(J12="Q",$S$21/$T$21*(参数调整!$G$13+参数调整!$I$13+参数调整!$J$13+参数调整!$K$13)/100+X12*参数调整!$H$13/100*$S$21/($U$21*$J$18),$S$22/$T$22*(参数调整!$G$14+参数调整!$I$14+参数调整!$J$14+参数调整!$K$14)/100+X12*参数调整!$H$14/100*$S$22/($U$22*$J$18))))</f>
        <v>0.85499999999999998</v>
      </c>
      <c r="X12" s="126"/>
      <c r="Y12" s="126"/>
      <c r="Z12" s="122">
        <f>IF(J12="S",X12*参数调整!$H$11/($J$18*$U$19),IF(J12="B",X12*参数调整!$H$12/($J$18*$U$20),IF(J12="Q",X12*参数调整!$H$13/($J$18*$U$21),X12*参数调整!$H$14/($J$18*$U$22))))</f>
        <v>0</v>
      </c>
      <c r="AF12" s="216"/>
      <c r="AG12" s="147" t="s">
        <v>229</v>
      </c>
      <c r="AH12" s="120"/>
      <c r="AI12" s="119">
        <f>AH12*参数调整!G29</f>
        <v>0</v>
      </c>
      <c r="AK12" s="232"/>
      <c r="AL12" s="216"/>
      <c r="AM12" s="218" t="s">
        <v>260</v>
      </c>
      <c r="AN12" s="219"/>
      <c r="AO12" s="122">
        <f t="shared" si="7"/>
        <v>2</v>
      </c>
      <c r="AP12" s="151">
        <f>AO12*参数调整!J18*(1+参数调整!B12+参数调整!B13+参数调整!B14+参数调整!B15+参数调整!B16)</f>
        <v>9691.1999999999989</v>
      </c>
      <c r="AQ12" s="129"/>
      <c r="AR12" s="129"/>
      <c r="AX12" s="129"/>
    </row>
    <row r="13" spans="1:50" ht="21" customHeight="1" x14ac:dyDescent="0.25">
      <c r="A13" s="144" t="str">
        <f>参数调整!A55</f>
        <v>有氧锻炼</v>
      </c>
      <c r="B13" s="115">
        <f>SUMIF($O$3:$O$14,1,$R$3:$R$14)+SUMIF($O$3:$O$14,1,$S$3:$S$14)+SUMIF($O$3:$O$14,1,$T$3:$T$14)+SUMIF($O$3:$O$14,1,$U$3:$U$14)</f>
        <v>84</v>
      </c>
      <c r="C13" s="107">
        <f>参数调整!B55</f>
        <v>50</v>
      </c>
      <c r="D13" s="107">
        <f>IF(G13&lt;=INDEX(参数调整!$C$63:'参数调整'!$D$68,1,1),C13,IF(G13&lt;=INDEX(参数调整!$C$63:'参数调整'!$D$68,2,1),C13*INDEX(参数调整!$C$63:'参数调整'!$D$68,2,2),IF(G13&lt;=INDEX(参数调整!$C$63:'参数调整'!$D$68,3,1),C13*INDEX(参数调整!$C$63:'参数调整'!$D$68,3,2),IF(G13&lt;=INDEX(参数调整!$C$63:'参数调整'!$D$68,4,1),C13*INDEX(参数调整!$C$63:'参数调整'!$D$68,4,2),IF(G13&lt;=INDEX(参数调整!$C$63:'参数调整'!$D$68,5,1),C13*INDEX(参数调整!$C$63:'参数调整'!$D$68,5,2),C13*INDEX(参数调整!$C$63:'参数调整'!$D$68,6,2))))))</f>
        <v>50</v>
      </c>
      <c r="E13" s="107">
        <f>参数调整!I55</f>
        <v>1</v>
      </c>
      <c r="F13" s="107">
        <f>D13*G13*(参数调整!$B$6+1)</f>
        <v>4914</v>
      </c>
      <c r="G13" s="149">
        <f t="shared" si="0"/>
        <v>84</v>
      </c>
      <c r="H13" s="110"/>
      <c r="J13" s="119">
        <f>第一季度!J13</f>
        <v>0</v>
      </c>
      <c r="K13" s="119">
        <f>第一季度!K13</f>
        <v>0</v>
      </c>
      <c r="L13" s="125" t="str">
        <f t="shared" si="1"/>
        <v>0</v>
      </c>
      <c r="M13" s="125" t="str">
        <f t="shared" si="2"/>
        <v/>
      </c>
      <c r="N13" s="125" t="str">
        <f t="shared" si="3"/>
        <v/>
      </c>
      <c r="O13" s="125" t="str">
        <f t="shared" si="4"/>
        <v/>
      </c>
      <c r="P13" s="125" t="str">
        <f t="shared" si="5"/>
        <v/>
      </c>
      <c r="Q13" s="126"/>
      <c r="R13" s="126"/>
      <c r="S13" s="126"/>
      <c r="T13" s="126"/>
      <c r="U13" s="126"/>
      <c r="V13" s="127">
        <f t="shared" si="6"/>
        <v>0</v>
      </c>
      <c r="W13" s="127">
        <f>IF(J13="S",$S$19/$T$19*(参数调整!$G$11+参数调整!$I$11+参数调整!$J$11+参数调整!$K$11)/100+X13*参数调整!$H$11/100*$S$19/($U$19*$J$18),IF(J13="B",$S$20/$T$20*(参数调整!$G$12+参数调整!$I$12+参数调整!$J$12+参数调整!$K$12)/100+X13*参数调整!$H$12/100*$S$20/($U$20*$J$18),IF(J13="Q",$S$21/$T$21*(参数调整!$G$13+参数调整!$I$13+参数调整!$J$13+参数调整!$K$13)/100+X13*参数调整!$H$13/100*$S$21/($U$21*$J$18),$S$22/$T$22*(参数调整!$G$14+参数调整!$I$14+参数调整!$J$14+参数调整!$K$14)/100+X13*参数调整!$H$14/100*$S$22/($U$22*$J$18))))</f>
        <v>0.85499999999999998</v>
      </c>
      <c r="X13" s="126"/>
      <c r="Y13" s="126"/>
      <c r="Z13" s="122">
        <f>IF(J13="S",X13*参数调整!$H$11/($J$18*$U$19),IF(J13="B",X13*参数调整!$H$12/($J$18*$U$20),IF(J13="Q",X13*参数调整!$H$13/($J$18*$U$21),X13*参数调整!$H$14/($J$18*$U$22))))</f>
        <v>0</v>
      </c>
      <c r="AF13" s="217"/>
      <c r="AG13" s="147" t="s">
        <v>261</v>
      </c>
      <c r="AH13" s="120">
        <v>2</v>
      </c>
      <c r="AI13" s="119">
        <f>AH13*参数调整!F29</f>
        <v>240000</v>
      </c>
      <c r="AK13" s="232"/>
      <c r="AL13" s="216"/>
      <c r="AM13" s="215" t="s">
        <v>230</v>
      </c>
      <c r="AN13" s="147" t="s">
        <v>167</v>
      </c>
      <c r="AO13" s="126">
        <v>2</v>
      </c>
      <c r="AP13" s="134">
        <f>AO13*参数调整!I33</f>
        <v>3000</v>
      </c>
      <c r="AQ13" s="129"/>
      <c r="AR13" s="129"/>
      <c r="AX13" s="129"/>
    </row>
    <row r="14" spans="1:50" ht="21" customHeight="1" x14ac:dyDescent="0.25">
      <c r="A14" s="144" t="str">
        <f>参数调整!A56</f>
        <v>心率测试</v>
      </c>
      <c r="B14" s="115">
        <f>SUMIF($O$3:$O$14,2,$R$3:$R$14)+SUMIF($O$3:$O$14,2,$S$3:$S$14)+SUMIF($O$3:$O$14,2,$T$3:$T$14)+SUMIF($O$3:$O$14,2,$U$3:$U$14)</f>
        <v>0</v>
      </c>
      <c r="C14" s="107">
        <f>参数调整!B56</f>
        <v>50</v>
      </c>
      <c r="D14" s="107">
        <f>IF(G14&lt;=INDEX(参数调整!$C$63:'参数调整'!$D$68,1,1),C14,IF(G14&lt;=INDEX(参数调整!$C$63:'参数调整'!$D$68,2,1),C14*INDEX(参数调整!$C$63:'参数调整'!$D$68,2,2),IF(G14&lt;=INDEX(参数调整!$C$63:'参数调整'!$D$68,3,1),C14*INDEX(参数调整!$C$63:'参数调整'!$D$68,3,2),IF(G14&lt;=INDEX(参数调整!$C$63:'参数调整'!$D$68,4,1),C14*INDEX(参数调整!$C$63:'参数调整'!$D$68,4,2),IF(G14&lt;=INDEX(参数调整!$C$63:'参数调整'!$D$68,5,1),C14*INDEX(参数调整!$C$63:'参数调整'!$D$68,5,2),C14*INDEX(参数调整!$C$63:'参数调整'!$D$68,6,2))))))</f>
        <v>50</v>
      </c>
      <c r="E14" s="107">
        <f>参数调整!I56</f>
        <v>1</v>
      </c>
      <c r="F14" s="107">
        <f>D14*G14*(参数调整!$B$6+1)</f>
        <v>0</v>
      </c>
      <c r="G14" s="149">
        <f t="shared" si="0"/>
        <v>0</v>
      </c>
      <c r="H14" s="110"/>
      <c r="J14" s="119">
        <f>第一季度!J14</f>
        <v>0</v>
      </c>
      <c r="K14" s="119">
        <f>第一季度!K14</f>
        <v>0</v>
      </c>
      <c r="L14" s="125" t="str">
        <f t="shared" si="1"/>
        <v>0</v>
      </c>
      <c r="M14" s="125" t="str">
        <f t="shared" si="2"/>
        <v/>
      </c>
      <c r="N14" s="125" t="str">
        <f t="shared" si="3"/>
        <v/>
      </c>
      <c r="O14" s="125" t="str">
        <f t="shared" si="4"/>
        <v/>
      </c>
      <c r="P14" s="125" t="str">
        <f t="shared" si="5"/>
        <v/>
      </c>
      <c r="Q14" s="126"/>
      <c r="R14" s="126"/>
      <c r="S14" s="126"/>
      <c r="T14" s="126"/>
      <c r="U14" s="126"/>
      <c r="V14" s="127">
        <f t="shared" si="6"/>
        <v>0</v>
      </c>
      <c r="W14" s="127">
        <f>IF(J14="S",$S$19/$T$19*(参数调整!$G$11+参数调整!$I$11+参数调整!$J$11+参数调整!$K$11)/100+X14*参数调整!$H$11/100*$S$19/($U$19*$J$18),IF(J14="B",$S$20/$T$20*(参数调整!$G$12+参数调整!$I$12+参数调整!$J$12+参数调整!$K$12)/100+X14*参数调整!$H$12/100*$S$20/($U$20*$J$18),IF(J14="Q",$S$21/$T$21*(参数调整!$G$13+参数调整!$I$13+参数调整!$J$13+参数调整!$K$13)/100+X14*参数调整!$H$13/100*$S$21/($U$21*$J$18),$S$22/$T$22*(参数调整!$G$14+参数调整!$I$14+参数调整!$J$14+参数调整!$K$14)/100+X14*参数调整!$H$14/100*$S$22/($U$22*$J$18))))</f>
        <v>0.85499999999999998</v>
      </c>
      <c r="X14" s="126"/>
      <c r="Y14" s="126"/>
      <c r="Z14" s="122">
        <f>IF(J14="S",X14*参数调整!$H$11/($J$18*$U$19),IF(J14="B",X14*参数调整!$H$12/($J$18*$U$20),IF(J14="Q",X14*参数调整!$H$13/($J$18*$U$21),X14*参数调整!$H$14/($J$18*$U$22))))</f>
        <v>0</v>
      </c>
      <c r="AF14" s="203" t="s">
        <v>231</v>
      </c>
      <c r="AG14" s="205"/>
      <c r="AH14" s="120">
        <v>4</v>
      </c>
      <c r="AI14" s="119">
        <f>AH14*参数调整!B31</f>
        <v>120000</v>
      </c>
      <c r="AK14" s="232"/>
      <c r="AL14" s="216"/>
      <c r="AM14" s="216"/>
      <c r="AN14" s="147" t="s">
        <v>256</v>
      </c>
      <c r="AO14" s="126"/>
      <c r="AP14" s="134">
        <f>AO14*参数调整!H33</f>
        <v>0</v>
      </c>
      <c r="AQ14" s="129"/>
      <c r="AR14" s="129"/>
      <c r="AX14" s="129"/>
    </row>
    <row r="15" spans="1:50" ht="21" customHeight="1" x14ac:dyDescent="0.25">
      <c r="A15" s="144" t="str">
        <f>参数调整!A57</f>
        <v>GPS定位</v>
      </c>
      <c r="B15" s="115">
        <f>SUMIF($O$3:$O$14,3,$R$3:$R$14)+SUMIF($O$3:$O$14,3,$S$3:$S$14)+SUMIF($O$3:$O$14,3,$T$3:$T$14)+SUMIF($O$3:$O$14,3,$U$3:$U$14)</f>
        <v>120</v>
      </c>
      <c r="C15" s="107">
        <f>参数调整!B57</f>
        <v>80</v>
      </c>
      <c r="D15" s="107">
        <f>IF(G15&lt;=INDEX(参数调整!$C$63:'参数调整'!$D$68,1,1),C15,IF(G15&lt;=INDEX(参数调整!$C$63:'参数调整'!$D$68,2,1),C15*INDEX(参数调整!$C$63:'参数调整'!$D$68,2,2),IF(G15&lt;=INDEX(参数调整!$C$63:'参数调整'!$D$68,3,1),C15*INDEX(参数调整!$C$63:'参数调整'!$D$68,3,2),IF(G15&lt;=INDEX(参数调整!$C$63:'参数调整'!$D$68,4,1),C15*INDEX(参数调整!$C$63:'参数调整'!$D$68,4,2),IF(G15&lt;=INDEX(参数调整!$C$63:'参数调整'!$D$68,5,1),C15*INDEX(参数调整!$C$63:'参数调整'!$D$68,5,2),C15*INDEX(参数调整!$C$63:'参数调整'!$D$68,6,2))))))</f>
        <v>80</v>
      </c>
      <c r="E15" s="107">
        <f>参数调整!I57</f>
        <v>1</v>
      </c>
      <c r="F15" s="107">
        <f>D15*G15*(参数调整!$B$6+1)</f>
        <v>11232</v>
      </c>
      <c r="G15" s="149">
        <f t="shared" si="0"/>
        <v>120</v>
      </c>
      <c r="H15" s="110"/>
      <c r="R15" s="122">
        <f>SUM(R3:R14)</f>
        <v>0</v>
      </c>
      <c r="S15" s="122">
        <f>SUM(S3:S14)</f>
        <v>0</v>
      </c>
      <c r="T15" s="122">
        <f t="shared" ref="T15:U15" si="8">SUM(T3:T14)</f>
        <v>0</v>
      </c>
      <c r="U15" s="122">
        <f t="shared" si="8"/>
        <v>630</v>
      </c>
      <c r="AF15" s="203" t="s">
        <v>232</v>
      </c>
      <c r="AG15" s="205"/>
      <c r="AH15" s="120">
        <v>2</v>
      </c>
      <c r="AI15" s="119">
        <f>AH15*参数调整!B32</f>
        <v>40000</v>
      </c>
      <c r="AK15" s="232"/>
      <c r="AL15" s="216"/>
      <c r="AM15" s="216"/>
      <c r="AN15" s="147" t="s">
        <v>166</v>
      </c>
      <c r="AO15" s="126"/>
      <c r="AP15" s="134">
        <f>AO15*参数调整!F33</f>
        <v>0</v>
      </c>
      <c r="AQ15" s="129"/>
      <c r="AR15" s="129"/>
    </row>
    <row r="16" spans="1:50" ht="21" customHeight="1" x14ac:dyDescent="0.25">
      <c r="A16" s="144" t="str">
        <f>参数调整!A58</f>
        <v>支付功能</v>
      </c>
      <c r="B16" s="115">
        <f>SUMIF($O$3:$O$14,4,$R$3:$R$14)+SUMIF($O$3:$O$14,4,$S$3:$S$14)+SUMIF($O$3:$O$14,4,$T$3:$T$14)+SUMIF($O$3:$O$14,4,$U$3:$U$14)</f>
        <v>0</v>
      </c>
      <c r="C16" s="107">
        <f>参数调整!B58</f>
        <v>90</v>
      </c>
      <c r="D16" s="107">
        <f>IF(G16&lt;=INDEX(参数调整!$C$63:'参数调整'!$D$68,1,1),C16,IF(G16&lt;=INDEX(参数调整!$C$63:'参数调整'!$D$68,2,1),C16*INDEX(参数调整!$C$63:'参数调整'!$D$68,2,2),IF(G16&lt;=INDEX(参数调整!$C$63:'参数调整'!$D$68,3,1),C16*INDEX(参数调整!$C$63:'参数调整'!$D$68,3,2),IF(G16&lt;=INDEX(参数调整!$C$63:'参数调整'!$D$68,4,1),C16*INDEX(参数调整!$C$63:'参数调整'!$D$68,4,2),IF(G16&lt;=INDEX(参数调整!$C$63:'参数调整'!$D$68,5,1),C16*INDEX(参数调整!$C$63:'参数调整'!$D$68,5,2),C16*INDEX(参数调整!$C$63:'参数调整'!$D$68,6,2))))))</f>
        <v>90</v>
      </c>
      <c r="E16" s="107">
        <f>参数调整!I58</f>
        <v>1</v>
      </c>
      <c r="F16" s="107">
        <f>D16*G16*(参数调整!$B$6+1)</f>
        <v>0</v>
      </c>
      <c r="G16" s="149">
        <f t="shared" si="0"/>
        <v>0</v>
      </c>
      <c r="H16" s="110"/>
      <c r="AF16" s="215" t="s">
        <v>233</v>
      </c>
      <c r="AG16" s="147" t="s">
        <v>262</v>
      </c>
      <c r="AH16" s="120">
        <v>1</v>
      </c>
      <c r="AI16" s="119">
        <f>AH16*参数调整!F3</f>
        <v>20000</v>
      </c>
      <c r="AK16" s="232"/>
      <c r="AL16" s="217"/>
      <c r="AM16" s="217"/>
      <c r="AN16" s="147" t="s">
        <v>258</v>
      </c>
      <c r="AO16" s="126"/>
      <c r="AP16" s="134">
        <f>AO16*参数调整!G33</f>
        <v>0</v>
      </c>
      <c r="AQ16" s="129"/>
      <c r="AR16" s="129"/>
    </row>
    <row r="17" spans="1:44" ht="13.8" customHeight="1" x14ac:dyDescent="0.25">
      <c r="J17" s="226" t="s">
        <v>263</v>
      </c>
      <c r="K17" s="226"/>
      <c r="AF17" s="216"/>
      <c r="AG17" s="147" t="s">
        <v>264</v>
      </c>
      <c r="AH17" s="120">
        <v>1</v>
      </c>
      <c r="AI17" s="119">
        <f>AH17*参数调整!F4</f>
        <v>20000</v>
      </c>
      <c r="AJ17"/>
      <c r="AK17" s="232"/>
      <c r="AL17" s="203" t="s">
        <v>265</v>
      </c>
      <c r="AM17" s="204"/>
      <c r="AN17" s="205"/>
      <c r="AO17" s="122">
        <v>1</v>
      </c>
      <c r="AP17" s="147">
        <f>AO17*参数调整!B11*(1+参数调整!B12+参数调整!B13+参数调整!B14+参数调整!B15+参数调整!B16)</f>
        <v>13459.999999999998</v>
      </c>
      <c r="AQ17" s="129"/>
      <c r="AR17" s="129"/>
    </row>
    <row r="18" spans="1:44" ht="13.8" customHeight="1" x14ac:dyDescent="0.25">
      <c r="A18" s="200" t="s">
        <v>206</v>
      </c>
      <c r="B18" s="201"/>
      <c r="G18" s="116">
        <f>SUMIF(E3:E16,0,F3:F16)</f>
        <v>38716.47</v>
      </c>
      <c r="J18" s="241">
        <v>29</v>
      </c>
      <c r="K18" s="242"/>
      <c r="R18" s="119" t="s">
        <v>266</v>
      </c>
      <c r="S18" s="119" t="s">
        <v>267</v>
      </c>
      <c r="T18" s="118" t="s">
        <v>309</v>
      </c>
      <c r="U18" s="118" t="s">
        <v>310</v>
      </c>
      <c r="V18" s="118" t="s">
        <v>208</v>
      </c>
      <c r="W18" s="119" t="s">
        <v>312</v>
      </c>
      <c r="AF18" s="216"/>
      <c r="AG18" s="147" t="s">
        <v>271</v>
      </c>
      <c r="AH18" s="120">
        <v>1</v>
      </c>
      <c r="AI18" s="119">
        <f>AH18*参数调整!F5</f>
        <v>20000</v>
      </c>
      <c r="AJ18" s="136"/>
      <c r="AK18" s="232"/>
      <c r="AL18" s="206" t="s">
        <v>272</v>
      </c>
      <c r="AM18" s="207"/>
      <c r="AN18" s="147" t="s">
        <v>273</v>
      </c>
      <c r="AO18" s="122">
        <f>AH24</f>
        <v>2</v>
      </c>
      <c r="AP18" s="137">
        <f>AO18*参数调整!B10</f>
        <v>2000</v>
      </c>
      <c r="AQ18" s="129"/>
      <c r="AR18" s="129"/>
    </row>
    <row r="19" spans="1:44" ht="13.8" customHeight="1" x14ac:dyDescent="0.25">
      <c r="J19" s="241"/>
      <c r="K19" s="242"/>
      <c r="N19"/>
      <c r="R19" s="119" t="s">
        <v>196</v>
      </c>
      <c r="S19" s="126">
        <f>S24</f>
        <v>1015</v>
      </c>
      <c r="T19" s="126">
        <f>T24</f>
        <v>870</v>
      </c>
      <c r="U19" s="126">
        <f>U24</f>
        <v>870</v>
      </c>
      <c r="V19" s="126"/>
      <c r="W19" s="122"/>
      <c r="AF19" s="216"/>
      <c r="AG19" s="147" t="s">
        <v>274</v>
      </c>
      <c r="AH19" s="120">
        <v>1</v>
      </c>
      <c r="AI19" s="119">
        <f>AH19*参数调整!F6</f>
        <v>20000</v>
      </c>
      <c r="AJ19"/>
      <c r="AK19" s="232"/>
      <c r="AL19" s="208"/>
      <c r="AM19" s="209"/>
      <c r="AN19" s="147" t="s">
        <v>275</v>
      </c>
      <c r="AO19" s="122">
        <f>AH25</f>
        <v>1</v>
      </c>
      <c r="AP19" s="147">
        <f>AO19*参数调整!B10</f>
        <v>1000</v>
      </c>
      <c r="AQ19" s="129"/>
      <c r="AR19" s="129"/>
    </row>
    <row r="20" spans="1:44" ht="13.8" customHeight="1" x14ac:dyDescent="0.25">
      <c r="A20" s="148"/>
      <c r="B20" s="118" t="s">
        <v>207</v>
      </c>
      <c r="C20" s="119"/>
      <c r="D20" s="119"/>
      <c r="E20" s="119"/>
      <c r="F20" s="119"/>
      <c r="G20" s="119" t="s">
        <v>208</v>
      </c>
      <c r="H20"/>
      <c r="J20" s="241"/>
      <c r="K20" s="242"/>
      <c r="N20"/>
      <c r="R20" s="119" t="s">
        <v>197</v>
      </c>
      <c r="S20" s="126">
        <f t="shared" ref="S20:U22" si="9">S25</f>
        <v>986</v>
      </c>
      <c r="T20" s="126">
        <f t="shared" si="9"/>
        <v>1015</v>
      </c>
      <c r="U20" s="126">
        <f t="shared" si="9"/>
        <v>1015</v>
      </c>
      <c r="V20" s="126"/>
      <c r="W20" s="122"/>
      <c r="AF20" s="216"/>
      <c r="AG20" s="147" t="s">
        <v>276</v>
      </c>
      <c r="AH20" s="120">
        <v>1</v>
      </c>
      <c r="AI20" s="119">
        <f>AH20*参数调整!F7</f>
        <v>20000</v>
      </c>
      <c r="AJ20"/>
      <c r="AK20" s="232"/>
      <c r="AL20" s="206" t="s">
        <v>277</v>
      </c>
      <c r="AM20" s="207"/>
      <c r="AN20" s="147" t="s">
        <v>167</v>
      </c>
      <c r="AO20" s="126"/>
      <c r="AP20" s="147">
        <f>AO20*参数调整!I29</f>
        <v>0</v>
      </c>
      <c r="AQ20" s="129"/>
      <c r="AR20" s="129"/>
    </row>
    <row r="21" spans="1:44" ht="13.8" customHeight="1" x14ac:dyDescent="0.25">
      <c r="A21" s="119" t="s">
        <v>196</v>
      </c>
      <c r="B21" s="120"/>
      <c r="C21"/>
      <c r="D21"/>
      <c r="E21"/>
      <c r="F21"/>
      <c r="G21" s="119" t="e">
        <f>AA3*参数调整!H11/($J$18*B21)</f>
        <v>#DIV/0!</v>
      </c>
      <c r="H21" s="121"/>
      <c r="J21" s="226" t="s">
        <v>278</v>
      </c>
      <c r="K21" s="244"/>
      <c r="N21"/>
      <c r="R21" s="119" t="s">
        <v>198</v>
      </c>
      <c r="S21" s="126">
        <f t="shared" si="9"/>
        <v>1160</v>
      </c>
      <c r="T21" s="126">
        <f t="shared" si="9"/>
        <v>1160</v>
      </c>
      <c r="U21" s="126">
        <f t="shared" si="9"/>
        <v>1160</v>
      </c>
      <c r="V21" s="126"/>
      <c r="W21" s="122"/>
      <c r="AF21" s="217"/>
      <c r="AG21" s="147" t="s">
        <v>279</v>
      </c>
      <c r="AH21" s="120"/>
      <c r="AI21" s="119">
        <f>AH21*参数调整!F8</f>
        <v>0</v>
      </c>
      <c r="AJ21"/>
      <c r="AK21" s="232"/>
      <c r="AL21" s="220"/>
      <c r="AM21" s="243"/>
      <c r="AN21" s="147" t="s">
        <v>256</v>
      </c>
      <c r="AO21" s="126"/>
      <c r="AP21" s="147">
        <f>AO21*参数调整!F29</f>
        <v>0</v>
      </c>
      <c r="AQ21" s="129"/>
      <c r="AR21" s="129"/>
    </row>
    <row r="22" spans="1:44" ht="13.8" customHeight="1" x14ac:dyDescent="0.25">
      <c r="A22" s="119" t="s">
        <v>197</v>
      </c>
      <c r="B22" s="120"/>
      <c r="C22"/>
      <c r="D22"/>
      <c r="E22"/>
      <c r="F22"/>
      <c r="G22" s="119" t="e">
        <f>AA4*参数调整!H12/($J$18*B22)</f>
        <v>#DIV/0!</v>
      </c>
      <c r="H22" s="121"/>
      <c r="J22" s="241">
        <v>29</v>
      </c>
      <c r="K22" s="242"/>
      <c r="N22"/>
      <c r="R22" s="119" t="s">
        <v>199</v>
      </c>
      <c r="S22" s="126">
        <f t="shared" si="9"/>
        <v>1305</v>
      </c>
      <c r="T22" s="126">
        <f t="shared" si="9"/>
        <v>1450</v>
      </c>
      <c r="U22" s="126">
        <f t="shared" si="9"/>
        <v>1305</v>
      </c>
      <c r="V22" s="126"/>
      <c r="W22" s="122"/>
      <c r="AF22" s="203" t="s">
        <v>280</v>
      </c>
      <c r="AG22" s="205"/>
      <c r="AH22" s="120"/>
      <c r="AI22" s="119">
        <f>AH22*参数调整!C40</f>
        <v>0</v>
      </c>
      <c r="AK22" s="232"/>
      <c r="AL22" s="220"/>
      <c r="AM22" s="243"/>
      <c r="AN22" s="147" t="s">
        <v>166</v>
      </c>
      <c r="AO22" s="126"/>
      <c r="AP22" s="147">
        <f>AO22*参数调整!H29</f>
        <v>0</v>
      </c>
      <c r="AQ22" s="129"/>
      <c r="AR22" s="129"/>
    </row>
    <row r="23" spans="1:44" ht="13.8" customHeight="1" x14ac:dyDescent="0.25">
      <c r="A23" s="119" t="s">
        <v>198</v>
      </c>
      <c r="B23" s="120"/>
      <c r="C23"/>
      <c r="D23"/>
      <c r="E23"/>
      <c r="F23"/>
      <c r="G23" s="119" t="e">
        <f>AA5*参数调整!H13/($J$18*B23)</f>
        <v>#DIV/0!</v>
      </c>
      <c r="H23" s="121"/>
      <c r="J23" s="241"/>
      <c r="K23" s="242"/>
      <c r="R23" s="139" t="s">
        <v>281</v>
      </c>
      <c r="S23" s="253" t="s">
        <v>311</v>
      </c>
      <c r="T23" s="254"/>
      <c r="U23" s="255"/>
      <c r="V23" s="138" t="s">
        <v>313</v>
      </c>
      <c r="W23"/>
      <c r="AF23" s="203" t="s">
        <v>282</v>
      </c>
      <c r="AG23" s="205"/>
      <c r="AH23" s="120"/>
      <c r="AI23" s="119">
        <f>AH23*参数调整!C41</f>
        <v>0</v>
      </c>
      <c r="AK23" s="232"/>
      <c r="AL23" s="208"/>
      <c r="AM23" s="209"/>
      <c r="AN23" s="147" t="s">
        <v>258</v>
      </c>
      <c r="AO23" s="126"/>
      <c r="AP23" s="147">
        <f>AO23*参数调整!G29</f>
        <v>0</v>
      </c>
      <c r="AQ23" s="129"/>
      <c r="AR23" s="129"/>
    </row>
    <row r="24" spans="1:44" ht="13.8" customHeight="1" x14ac:dyDescent="0.25">
      <c r="A24" s="119" t="s">
        <v>199</v>
      </c>
      <c r="B24" s="120"/>
      <c r="C24"/>
      <c r="D24"/>
      <c r="E24"/>
      <c r="F24"/>
      <c r="G24" s="119" t="e">
        <f>AA6*参数调整!H14/($J$18*B24)</f>
        <v>#DIV/0!</v>
      </c>
      <c r="H24" s="121"/>
      <c r="J24" s="241"/>
      <c r="K24" s="242"/>
      <c r="R24" s="1">
        <f>J22-J18</f>
        <v>0</v>
      </c>
      <c r="S24" s="119">
        <f>J22*35</f>
        <v>1015</v>
      </c>
      <c r="T24" s="119">
        <f>J22*30</f>
        <v>870</v>
      </c>
      <c r="U24" s="119">
        <f>J22*30</f>
        <v>870</v>
      </c>
      <c r="V24" s="138">
        <v>10823.875723338631</v>
      </c>
      <c r="AF24" s="203" t="s">
        <v>234</v>
      </c>
      <c r="AG24" s="205"/>
      <c r="AH24" s="120">
        <v>2</v>
      </c>
      <c r="AI24" s="119">
        <f>AH24*参数调整!F18</f>
        <v>600</v>
      </c>
      <c r="AK24" s="232"/>
      <c r="AL24" s="206" t="s">
        <v>283</v>
      </c>
      <c r="AM24" s="207"/>
      <c r="AN24" s="147" t="s">
        <v>284</v>
      </c>
      <c r="AO24" s="126"/>
      <c r="AP24" s="147">
        <f>AO24*参数调整!F23</f>
        <v>0</v>
      </c>
      <c r="AQ24" s="129"/>
      <c r="AR24" s="129"/>
    </row>
    <row r="25" spans="1:44" ht="13.8" customHeight="1" x14ac:dyDescent="0.25">
      <c r="S25" s="119">
        <f>J22*34</f>
        <v>986</v>
      </c>
      <c r="T25" s="119">
        <f>J22*35</f>
        <v>1015</v>
      </c>
      <c r="U25" s="119">
        <f>J22*35</f>
        <v>1015</v>
      </c>
      <c r="V25" s="138">
        <v>17176.477630863857</v>
      </c>
      <c r="AF25" s="203" t="s">
        <v>235</v>
      </c>
      <c r="AG25" s="205"/>
      <c r="AH25" s="120">
        <v>1</v>
      </c>
      <c r="AI25" s="119">
        <f>AH25*参数调整!F17</f>
        <v>500</v>
      </c>
      <c r="AK25" s="232"/>
      <c r="AL25" s="220"/>
      <c r="AM25" s="243"/>
      <c r="AN25" s="147" t="s">
        <v>285</v>
      </c>
      <c r="AO25" s="126"/>
      <c r="AP25" s="147">
        <f>AO25*参数调整!H23</f>
        <v>0</v>
      </c>
      <c r="AQ25" s="129"/>
      <c r="AR25" s="129"/>
    </row>
    <row r="26" spans="1:44" ht="13.8" customHeight="1" x14ac:dyDescent="0.25">
      <c r="S26" s="119">
        <f>J22*40</f>
        <v>1160</v>
      </c>
      <c r="T26" s="119">
        <f>J22*40</f>
        <v>1160</v>
      </c>
      <c r="U26" s="119">
        <f>J22*40</f>
        <v>1160</v>
      </c>
      <c r="V26" s="138">
        <v>6589.5861792214282</v>
      </c>
      <c r="AF26" s="203" t="s">
        <v>236</v>
      </c>
      <c r="AG26" s="204"/>
      <c r="AH26" s="205"/>
      <c r="AI26" s="119">
        <f>SUM(AA3:AA6)</f>
        <v>57311</v>
      </c>
      <c r="AK26" s="232"/>
      <c r="AL26" s="208"/>
      <c r="AM26" s="209"/>
      <c r="AN26" s="147" t="s">
        <v>286</v>
      </c>
      <c r="AO26" s="126"/>
      <c r="AP26" s="147">
        <f>AO26*参数调整!J23</f>
        <v>0</v>
      </c>
      <c r="AQ26" s="129"/>
      <c r="AR26" s="129"/>
    </row>
    <row r="27" spans="1:44" ht="13.8" customHeight="1" x14ac:dyDescent="0.25">
      <c r="A27" s="157"/>
      <c r="B27" s="157"/>
      <c r="C27" s="157"/>
      <c r="D27" s="157"/>
      <c r="E27" s="157"/>
      <c r="F27" s="157"/>
      <c r="G27" s="157"/>
      <c r="S27" s="119">
        <f>J22*45</f>
        <v>1305</v>
      </c>
      <c r="T27" s="119">
        <f>J22*50</f>
        <v>1450</v>
      </c>
      <c r="U27" s="119">
        <f>J22*45</f>
        <v>1305</v>
      </c>
      <c r="V27" s="138">
        <v>1645.5848581327728</v>
      </c>
      <c r="AF27" s="203" t="s">
        <v>237</v>
      </c>
      <c r="AG27" s="204"/>
      <c r="AH27" s="205"/>
      <c r="AI27" s="119">
        <f>G18</f>
        <v>38716.47</v>
      </c>
      <c r="AK27" s="232"/>
      <c r="AL27" s="203" t="s">
        <v>287</v>
      </c>
      <c r="AM27" s="204"/>
      <c r="AN27" s="205"/>
      <c r="AO27" s="122">
        <f>AO19</f>
        <v>1</v>
      </c>
      <c r="AP27" s="147">
        <f>AO27*参数调整!J17*(1+参数调整!B12+参数调整!B13+参数调整!B14+参数调整!B15+参数调整!B16)</f>
        <v>5383.9999999999991</v>
      </c>
      <c r="AQ27" s="129"/>
      <c r="AR27" s="129"/>
    </row>
    <row r="28" spans="1:44" ht="13.8" customHeight="1" x14ac:dyDescent="0.3">
      <c r="A28" s="158"/>
      <c r="B28" s="158"/>
      <c r="C28" s="159"/>
      <c r="D28" s="159"/>
      <c r="E28" s="159"/>
      <c r="F28" s="159"/>
      <c r="G28" s="160" t="s">
        <v>314</v>
      </c>
      <c r="AF28" s="203" t="s">
        <v>238</v>
      </c>
      <c r="AG28" s="204"/>
      <c r="AH28" s="205"/>
      <c r="AI28" s="140">
        <f>AI3-SUM(AI4:AI27)</f>
        <v>-160127.46999999997</v>
      </c>
      <c r="AJ28" s="141">
        <f>AI28/(1-参数调整!B18)</f>
        <v>-168555.23157894734</v>
      </c>
      <c r="AK28" s="232"/>
      <c r="AL28" s="215" t="s">
        <v>288</v>
      </c>
      <c r="AM28" s="245" t="s">
        <v>289</v>
      </c>
      <c r="AN28" s="239" t="s">
        <v>196</v>
      </c>
      <c r="AO28" s="229"/>
      <c r="AP28" s="215">
        <f>AO28*参数调整!$B$30*参数调整!F11</f>
        <v>0</v>
      </c>
      <c r="AQ28" s="129"/>
      <c r="AR28" s="129"/>
    </row>
    <row r="29" spans="1:44" ht="46.8" x14ac:dyDescent="0.3">
      <c r="A29" s="252" t="s">
        <v>177</v>
      </c>
      <c r="B29" s="160" t="s">
        <v>315</v>
      </c>
      <c r="C29" s="161"/>
      <c r="D29" s="161"/>
      <c r="E29" s="161"/>
      <c r="F29" s="161"/>
      <c r="G29" s="162">
        <v>29</v>
      </c>
      <c r="H29" s="163" t="s">
        <v>316</v>
      </c>
      <c r="AF29" s="236" t="s">
        <v>239</v>
      </c>
      <c r="AG29" s="237"/>
      <c r="AH29" s="238"/>
      <c r="AI29" s="126"/>
      <c r="AK29" s="232"/>
      <c r="AL29" s="216"/>
      <c r="AM29" s="246"/>
      <c r="AN29" s="240"/>
      <c r="AO29" s="230"/>
      <c r="AP29" s="217"/>
      <c r="AQ29" s="129"/>
      <c r="AR29" s="129"/>
    </row>
    <row r="30" spans="1:44" ht="31.2" x14ac:dyDescent="0.3">
      <c r="A30" s="252"/>
      <c r="B30" s="160" t="s">
        <v>317</v>
      </c>
      <c r="C30" s="161"/>
      <c r="D30" s="161"/>
      <c r="E30" s="161"/>
      <c r="F30" s="161"/>
      <c r="G30" s="164">
        <v>29</v>
      </c>
      <c r="H30" s="165" t="s">
        <v>318</v>
      </c>
      <c r="R30" s="171" t="s">
        <v>337</v>
      </c>
      <c r="V30" s="172" t="s">
        <v>338</v>
      </c>
      <c r="AF30" s="203" t="s">
        <v>290</v>
      </c>
      <c r="AG30" s="204"/>
      <c r="AH30" s="205"/>
      <c r="AI30" s="126"/>
      <c r="AK30" s="232"/>
      <c r="AL30" s="216"/>
      <c r="AM30" s="246"/>
      <c r="AN30" s="239" t="s">
        <v>197</v>
      </c>
      <c r="AO30" s="229"/>
      <c r="AP30" s="215">
        <f>AO30*参数调整!$B$30*参数调整!F12</f>
        <v>0</v>
      </c>
      <c r="AQ30" s="129"/>
      <c r="AR30" s="129"/>
    </row>
    <row r="31" spans="1:44" ht="78" x14ac:dyDescent="0.3">
      <c r="A31" s="252" t="s">
        <v>319</v>
      </c>
      <c r="B31" s="160" t="s">
        <v>315</v>
      </c>
      <c r="C31" s="161"/>
      <c r="D31" s="161"/>
      <c r="E31" s="161"/>
      <c r="F31" s="161"/>
      <c r="G31" s="164">
        <v>11</v>
      </c>
      <c r="H31" s="165" t="s">
        <v>320</v>
      </c>
      <c r="Q31" s="172">
        <f t="shared" ref="Q31:Q42" si="10">D10</f>
        <v>76</v>
      </c>
      <c r="R31" s="173" t="e">
        <f>ROUNDUP(IF(D10="S",P10*$R$18/($R$18+$S$18+$T$18),IF(D10="B",P10*$R$19/($R$19+$S$19+$T$19),IF(D10="Q",P10*$R$20/($R$20+$S$20+$T$20),P10*$R$21/($R$21+$S$21+$T$21)))),1)</f>
        <v>#VALUE!</v>
      </c>
      <c r="S31" s="174" t="e">
        <f>ROUNDUP(IF(D10="S",P10*$S$18/($R$18+$S$18+$T$18),IF(D10="B",P10*$S$19/($R$19+$S$19+$T$19),IF(D10="Q",P10*$S$20/($R$20+$S$20+$T$20),P10*$S$21/($R$21+$S$21+$T$21)))),1)</f>
        <v>#VALUE!</v>
      </c>
      <c r="T31" s="174" t="e">
        <f>ROUNDUP(IF(D10="S",P10*$T$18/($R$18+$S$18+$T$18),IF(D10="B",P10*$T$19/($R$19+$S$19+$T$19),IF(D10="Q",P10*$T$20/($R$20+$S$20+$T$20),P10*$T$21/($R$21+$S$21+$T$21)))),1)</f>
        <v>#VALUE!</v>
      </c>
      <c r="U31" s="172" t="e">
        <f>P10-TRUNC(R31)-TRUNC(S31)-TRUNC(T31)</f>
        <v>#VALUE!</v>
      </c>
      <c r="V31" s="175"/>
      <c r="AF31" s="227" t="s">
        <v>238</v>
      </c>
      <c r="AG31" s="227"/>
      <c r="AH31" s="227"/>
      <c r="AI31" s="142">
        <f>AI28+AI29*(1-参数调整!B18)+AI30*(1-参数调整!B23)</f>
        <v>-160127.46999999997</v>
      </c>
      <c r="AK31" s="232"/>
      <c r="AL31" s="216"/>
      <c r="AM31" s="246"/>
      <c r="AN31" s="240"/>
      <c r="AO31" s="230"/>
      <c r="AP31" s="217"/>
      <c r="AQ31" s="129"/>
      <c r="AR31" s="129"/>
    </row>
    <row r="32" spans="1:44" ht="15.6" x14ac:dyDescent="0.3">
      <c r="A32" s="252"/>
      <c r="B32" s="160" t="s">
        <v>321</v>
      </c>
      <c r="C32" s="161"/>
      <c r="D32" s="161"/>
      <c r="E32" s="161"/>
      <c r="F32" s="161"/>
      <c r="G32" s="166">
        <f>H32-G31-G33</f>
        <v>54</v>
      </c>
      <c r="H32" s="167">
        <v>67</v>
      </c>
      <c r="Q32" s="172">
        <f t="shared" si="10"/>
        <v>110</v>
      </c>
      <c r="R32" s="173" t="e">
        <f t="shared" ref="R32:R41" si="11">ROUNDUP(IF(D11="S",P11*$R$18/($R$18+$S$18+$T$18),IF(D11="B",P11*$R$19/($R$19+$S$19+$T$19),IF(D11="Q",P11*$R$20/($R$20+$S$20+$T$20),P11*$R$21/($R$21+$S$21+$T$21)))),1)</f>
        <v>#VALUE!</v>
      </c>
      <c r="S32" s="174" t="e">
        <f t="shared" ref="S32" si="12">ROUNDUP(IF(D11="S",P11*$S$18/($R$18+$S$18+$T$18),IF(D11="B",P11*$S$19/($R$19+$S$19+$T$19),IF(D11="Q",P11*$S$20/($R$20+$S$20+$T$20),P11*$S$21/($R$21+$S$21+$T$21)))),1)</f>
        <v>#VALUE!</v>
      </c>
      <c r="T32" s="174" t="e">
        <f t="shared" ref="T32:T42" si="13">ROUNDUP(IF(D11="S",P11*$T$18/($R$18+$S$18+$T$18),IF(D11="B",P11*$T$19/($R$19+$S$19+$T$19),IF(D11="Q",P11*$T$20/($R$20+$S$20+$T$20),P11*$T$21/($R$21+$S$21+$T$21)))),1)</f>
        <v>#VALUE!</v>
      </c>
      <c r="U32" s="172" t="e">
        <f t="shared" ref="U32:U42" si="14">P11-TRUNC(R32)-TRUNC(S32)-TRUNC(T32)</f>
        <v>#VALUE!</v>
      </c>
      <c r="V32" s="175"/>
      <c r="AK32" s="232"/>
      <c r="AL32" s="216"/>
      <c r="AM32" s="246"/>
      <c r="AN32" s="239" t="s">
        <v>198</v>
      </c>
      <c r="AO32" s="229"/>
      <c r="AP32" s="215">
        <f>AO32*参数调整!$B$30*参数调整!F13</f>
        <v>0</v>
      </c>
      <c r="AQ32" s="129"/>
      <c r="AR32" s="129"/>
    </row>
    <row r="33" spans="1:44" ht="15.6" x14ac:dyDescent="0.3">
      <c r="A33" s="252"/>
      <c r="B33" s="160">
        <v>113</v>
      </c>
      <c r="C33" s="161"/>
      <c r="D33" s="161"/>
      <c r="E33" s="161"/>
      <c r="F33" s="161"/>
      <c r="G33" s="164">
        <v>2</v>
      </c>
      <c r="H33" s="160" t="s">
        <v>322</v>
      </c>
      <c r="Q33" s="172">
        <f t="shared" si="10"/>
        <v>160</v>
      </c>
      <c r="R33" s="173" t="e">
        <f t="shared" si="11"/>
        <v>#VALUE!</v>
      </c>
      <c r="S33" s="174" t="e">
        <f>ROUNDUP(IF(D12="S",P12*$S$18/($R$18+$S$18+$T$18),IF(D12="B",P12*$S$19/($R$19+$S$19+$T$19),IF(D12="Q",P12*$S$20/($R$20+$S$20+$T$20),P12*$S$21/($R$21+$S$21+$T$21)))),1)</f>
        <v>#VALUE!</v>
      </c>
      <c r="T33" s="174" t="e">
        <f t="shared" si="13"/>
        <v>#VALUE!</v>
      </c>
      <c r="U33" s="172" t="e">
        <f t="shared" si="14"/>
        <v>#VALUE!</v>
      </c>
      <c r="V33" s="175"/>
      <c r="AK33" s="232"/>
      <c r="AL33" s="216"/>
      <c r="AM33" s="246"/>
      <c r="AN33" s="240"/>
      <c r="AO33" s="230"/>
      <c r="AP33" s="217"/>
      <c r="AQ33" s="129"/>
      <c r="AR33" s="129"/>
    </row>
    <row r="34" spans="1:44" ht="46.8" x14ac:dyDescent="0.3">
      <c r="A34" s="252" t="s">
        <v>323</v>
      </c>
      <c r="B34" s="160">
        <v>212</v>
      </c>
      <c r="C34" s="161"/>
      <c r="D34" s="161"/>
      <c r="E34" s="161"/>
      <c r="F34" s="161"/>
      <c r="G34" s="164">
        <v>29</v>
      </c>
      <c r="H34" s="165" t="s">
        <v>324</v>
      </c>
      <c r="Q34" s="172">
        <f t="shared" si="10"/>
        <v>50</v>
      </c>
      <c r="R34" s="174" t="e">
        <f t="shared" si="11"/>
        <v>#VALUE!</v>
      </c>
      <c r="S34" s="174" t="e">
        <f t="shared" ref="S34:S42" si="15">ROUNDUP(IF(D13="S",P13*$S$18/($R$18+$S$18+$T$18),IF(D13="B",P13*$S$19/($R$19+$S$19+$T$19),IF(D13="Q",P13*$S$20/($R$20+$S$20+$T$20),P13*$S$21/($R$21+$S$21+$T$21)))),1)</f>
        <v>#VALUE!</v>
      </c>
      <c r="T34" s="174" t="e">
        <f t="shared" si="13"/>
        <v>#VALUE!</v>
      </c>
      <c r="U34" s="172" t="e">
        <f t="shared" si="14"/>
        <v>#VALUE!</v>
      </c>
      <c r="V34" s="175"/>
      <c r="AK34" s="232"/>
      <c r="AL34" s="216"/>
      <c r="AM34" s="246"/>
      <c r="AN34" s="239" t="s">
        <v>199</v>
      </c>
      <c r="AO34" s="229"/>
      <c r="AP34" s="215">
        <f>AO34*参数调整!$B$30*参数调整!F14</f>
        <v>0</v>
      </c>
      <c r="AQ34" s="129"/>
      <c r="AR34" s="129"/>
    </row>
    <row r="35" spans="1:44" ht="15.6" x14ac:dyDescent="0.3">
      <c r="A35" s="252"/>
      <c r="B35" s="160">
        <v>1121</v>
      </c>
      <c r="C35" s="161"/>
      <c r="D35" s="161"/>
      <c r="E35" s="161"/>
      <c r="F35" s="161"/>
      <c r="G35" s="166">
        <f>H35-G34-G308</f>
        <v>39</v>
      </c>
      <c r="H35" s="167">
        <v>68</v>
      </c>
      <c r="Q35" s="172">
        <f t="shared" si="10"/>
        <v>50</v>
      </c>
      <c r="R35" s="174" t="e">
        <f t="shared" si="11"/>
        <v>#VALUE!</v>
      </c>
      <c r="S35" s="173" t="e">
        <f t="shared" si="15"/>
        <v>#VALUE!</v>
      </c>
      <c r="T35" s="174" t="e">
        <f t="shared" si="13"/>
        <v>#VALUE!</v>
      </c>
      <c r="U35" s="172" t="e">
        <f t="shared" si="14"/>
        <v>#VALUE!</v>
      </c>
      <c r="V35" s="175"/>
      <c r="AK35" s="232"/>
      <c r="AL35" s="217"/>
      <c r="AM35" s="247"/>
      <c r="AN35" s="240"/>
      <c r="AO35" s="230"/>
      <c r="AP35" s="217"/>
      <c r="AQ35" s="147" t="s">
        <v>291</v>
      </c>
      <c r="AR35" s="147" t="s">
        <v>292</v>
      </c>
    </row>
    <row r="36" spans="1:44" ht="15.6" x14ac:dyDescent="0.3">
      <c r="A36" s="252"/>
      <c r="B36" s="160">
        <v>112</v>
      </c>
      <c r="C36" s="161"/>
      <c r="D36" s="161"/>
      <c r="E36" s="161"/>
      <c r="F36" s="161"/>
      <c r="G36" s="164">
        <v>4</v>
      </c>
      <c r="H36" s="160" t="s">
        <v>325</v>
      </c>
      <c r="Q36" s="172">
        <f t="shared" si="10"/>
        <v>80</v>
      </c>
      <c r="R36" s="173" t="e">
        <f t="shared" si="11"/>
        <v>#VALUE!</v>
      </c>
      <c r="S36" s="174" t="e">
        <f t="shared" si="15"/>
        <v>#VALUE!</v>
      </c>
      <c r="T36" s="174" t="e">
        <f t="shared" si="13"/>
        <v>#VALUE!</v>
      </c>
      <c r="U36" s="172" t="e">
        <f t="shared" si="14"/>
        <v>#VALUE!</v>
      </c>
      <c r="V36" s="175"/>
      <c r="AK36" s="233"/>
      <c r="AL36" s="203" t="s">
        <v>296</v>
      </c>
      <c r="AM36" s="204"/>
      <c r="AN36" s="204"/>
      <c r="AO36" s="205"/>
      <c r="AP36" s="143"/>
      <c r="AQ36" s="126"/>
      <c r="AR36" s="126"/>
    </row>
    <row r="37" spans="1:44" ht="15.6" x14ac:dyDescent="0.3">
      <c r="A37" s="252" t="s">
        <v>180</v>
      </c>
      <c r="B37" s="160" t="s">
        <v>326</v>
      </c>
      <c r="C37" s="161"/>
      <c r="D37" s="161"/>
      <c r="E37" s="161"/>
      <c r="F37" s="161"/>
      <c r="G37" s="166">
        <f>H37-G38</f>
        <v>49</v>
      </c>
      <c r="H37" s="167">
        <v>50</v>
      </c>
      <c r="Q37" s="172">
        <f t="shared" si="10"/>
        <v>90</v>
      </c>
      <c r="R37" s="174" t="e">
        <f t="shared" si="11"/>
        <v>#VALUE!</v>
      </c>
      <c r="S37" s="174" t="e">
        <f t="shared" si="15"/>
        <v>#VALUE!</v>
      </c>
      <c r="T37" s="174" t="e">
        <f t="shared" si="13"/>
        <v>#VALUE!</v>
      </c>
      <c r="U37" s="172" t="e">
        <f t="shared" si="14"/>
        <v>#VALUE!</v>
      </c>
      <c r="V37" s="175"/>
      <c r="AK37" s="249" t="s">
        <v>297</v>
      </c>
      <c r="AL37" s="203" t="s">
        <v>298</v>
      </c>
      <c r="AM37" s="204"/>
      <c r="AN37" s="204"/>
      <c r="AO37" s="205"/>
      <c r="AP37" s="122">
        <f>AQ3-AQ36</f>
        <v>0</v>
      </c>
      <c r="AQ37" s="129"/>
      <c r="AR37" s="129"/>
    </row>
    <row r="38" spans="1:44" ht="13.8" customHeight="1" x14ac:dyDescent="0.3">
      <c r="A38" s="252"/>
      <c r="B38" s="160">
        <v>111</v>
      </c>
      <c r="C38" s="161"/>
      <c r="D38" s="161"/>
      <c r="E38" s="161"/>
      <c r="F38" s="161"/>
      <c r="G38" s="164">
        <v>1</v>
      </c>
      <c r="H38" s="160" t="s">
        <v>327</v>
      </c>
      <c r="Q38" s="172">
        <f t="shared" si="10"/>
        <v>0</v>
      </c>
      <c r="R38" s="174" t="e">
        <f t="shared" si="11"/>
        <v>#VALUE!</v>
      </c>
      <c r="S38" s="173" t="e">
        <f t="shared" si="15"/>
        <v>#VALUE!</v>
      </c>
      <c r="T38" s="174" t="e">
        <f t="shared" si="13"/>
        <v>#VALUE!</v>
      </c>
      <c r="U38" s="172" t="e">
        <f t="shared" si="14"/>
        <v>#VALUE!</v>
      </c>
      <c r="V38" s="175"/>
      <c r="AK38" s="250"/>
      <c r="AL38" s="203" t="s">
        <v>299</v>
      </c>
      <c r="AM38" s="204"/>
      <c r="AN38" s="204"/>
      <c r="AO38" s="205"/>
      <c r="AP38" s="122">
        <f>SUMPRODUCT(E3:E12,F3:F12)+SUMPRODUCT(E13:E16,F13:F16)*1.5</f>
        <v>87312.42</v>
      </c>
      <c r="AQ38" s="129"/>
      <c r="AR38" s="129"/>
    </row>
    <row r="39" spans="1:44" ht="13.8" customHeight="1" x14ac:dyDescent="0.25">
      <c r="D39" s="148">
        <f>IF(H12&lt;=INDEX(参数调整!$C$63:'参数调整'!$D$68,1,1),C12,IF(H12&lt;=INDEX(参数调整!$C$63:'参数调整'!$D$68,2,1),H12*INDEX(参数调整!$C$63:'参数调整'!$D$68,2,2),IF(H12&lt;=INDEX(参数调整!$C$63:'参数调整'!$D$68,3,1),H12*INDEX(参数调整!$C$63:'参数调整'!$D$68,3,2),IF(H12&lt;=INDEX(参数调整!$C$63:'参数调整'!$D$68,4,1),H12*INDEX(参数调整!$C$63:'参数调整'!$D$68,4,2),IF(H12&lt;=INDEX(参数调整!$C$63:'参数调整'!$D$68,5,1),H12*INDEX(参数调整!$C$63:'参数调整'!$D$68,5,2),H12*INDEX(参数调整!$C$63:'参数调整'!$D$68,6,2))))))</f>
        <v>160</v>
      </c>
      <c r="E39" s="129">
        <v>0</v>
      </c>
      <c r="F39" s="129">
        <f t="shared" ref="F39:F43" si="16">G12-B12</f>
        <v>0</v>
      </c>
      <c r="Q39" s="172">
        <f t="shared" si="10"/>
        <v>0</v>
      </c>
      <c r="R39" s="174" t="e">
        <f t="shared" si="11"/>
        <v>#VALUE!</v>
      </c>
      <c r="S39" s="174" t="e">
        <f t="shared" si="15"/>
        <v>#VALUE!</v>
      </c>
      <c r="T39" s="174" t="e">
        <f t="shared" si="13"/>
        <v>#VALUE!</v>
      </c>
      <c r="U39" s="172" t="e">
        <f t="shared" si="14"/>
        <v>#VALUE!</v>
      </c>
      <c r="V39" s="175"/>
      <c r="AK39" s="250"/>
      <c r="AL39" s="203" t="s">
        <v>300</v>
      </c>
      <c r="AM39" s="204"/>
      <c r="AN39" s="204"/>
      <c r="AO39" s="205"/>
      <c r="AP39" s="122">
        <f>SUMPRODUCT(H3:H16,D30:D43)*(1+参数调整!$B$6)</f>
        <v>0</v>
      </c>
      <c r="AQ39" s="129"/>
      <c r="AR39" s="129"/>
    </row>
    <row r="40" spans="1:44" ht="13.8" customHeight="1" x14ac:dyDescent="0.25">
      <c r="D40" s="148">
        <f>IF(H13&lt;=INDEX(参数调整!$C$63:'参数调整'!$D$68,1,1),C13,IF(H13&lt;=INDEX(参数调整!$C$63:'参数调整'!$D$68,2,1),H13*INDEX(参数调整!$C$63:'参数调整'!$D$68,2,2),IF(H13&lt;=INDEX(参数调整!$C$63:'参数调整'!$D$68,3,1),H13*INDEX(参数调整!$C$63:'参数调整'!$D$68,3,2),IF(H13&lt;=INDEX(参数调整!$C$63:'参数调整'!$D$68,4,1),H13*INDEX(参数调整!$C$63:'参数调整'!$D$68,4,2),IF(H13&lt;=INDEX(参数调整!$C$63:'参数调整'!$D$68,5,1),H13*INDEX(参数调整!$C$63:'参数调整'!$D$68,5,2),H13*INDEX(参数调整!$C$63:'参数调整'!$D$68,6,2))))))</f>
        <v>50</v>
      </c>
      <c r="E40" s="129">
        <v>0</v>
      </c>
      <c r="F40" s="129">
        <f t="shared" si="16"/>
        <v>0</v>
      </c>
      <c r="Q40" s="172">
        <f t="shared" si="10"/>
        <v>0</v>
      </c>
      <c r="R40" s="174" t="e">
        <f t="shared" si="11"/>
        <v>#VALUE!</v>
      </c>
      <c r="S40" s="174" t="e">
        <f t="shared" si="15"/>
        <v>#VALUE!</v>
      </c>
      <c r="T40" s="174" t="e">
        <f t="shared" si="13"/>
        <v>#VALUE!</v>
      </c>
      <c r="U40" s="172" t="e">
        <f t="shared" si="14"/>
        <v>#VALUE!</v>
      </c>
      <c r="V40" s="175"/>
      <c r="AK40" s="250"/>
      <c r="AL40" s="203" t="s">
        <v>301</v>
      </c>
      <c r="AM40" s="204"/>
      <c r="AN40" s="204"/>
      <c r="AO40" s="205"/>
      <c r="AP40" s="122">
        <v>10000</v>
      </c>
      <c r="AQ40" s="129"/>
      <c r="AR40" s="129"/>
    </row>
    <row r="41" spans="1:44" ht="13.8" customHeight="1" x14ac:dyDescent="0.25">
      <c r="D41" s="148">
        <f>IF(H14&lt;=INDEX(参数调整!$C$63:'参数调整'!$D$68,1,1),C14,IF(H14&lt;=INDEX(参数调整!$C$63:'参数调整'!$D$68,2,1),H14*INDEX(参数调整!$C$63:'参数调整'!$D$68,2,2),IF(H14&lt;=INDEX(参数调整!$C$63:'参数调整'!$D$68,3,1),H14*INDEX(参数调整!$C$63:'参数调整'!$D$68,3,2),IF(H14&lt;=INDEX(参数调整!$C$63:'参数调整'!$D$68,4,1),H14*INDEX(参数调整!$C$63:'参数调整'!$D$68,4,2),IF(H14&lt;=INDEX(参数调整!$C$63:'参数调整'!$D$68,5,1),H14*INDEX(参数调整!$C$63:'参数调整'!$D$68,5,2),H14*INDEX(参数调整!$C$63:'参数调整'!$D$68,6,2))))))</f>
        <v>50</v>
      </c>
      <c r="E41" s="129">
        <v>0</v>
      </c>
      <c r="F41" s="129">
        <f t="shared" si="16"/>
        <v>0</v>
      </c>
      <c r="Q41" s="172">
        <f t="shared" si="10"/>
        <v>0</v>
      </c>
      <c r="R41" s="174" t="e">
        <f t="shared" si="11"/>
        <v>#VALUE!</v>
      </c>
      <c r="S41" s="174" t="e">
        <f t="shared" si="15"/>
        <v>#VALUE!</v>
      </c>
      <c r="T41" s="174" t="e">
        <f t="shared" si="13"/>
        <v>#VALUE!</v>
      </c>
      <c r="U41" s="172" t="e">
        <f t="shared" si="14"/>
        <v>#VALUE!</v>
      </c>
      <c r="V41" s="175"/>
      <c r="AK41" s="250"/>
      <c r="AL41" s="203" t="s">
        <v>302</v>
      </c>
      <c r="AM41" s="204"/>
      <c r="AN41" s="204"/>
      <c r="AO41" s="205"/>
      <c r="AP41" s="122">
        <f>(AM2+AQ3-AP2-SUMPRODUCT(第四季度!E3:E12,第四季度!F3:F12)-SUMPRODUCT(第四季度!E13:E16,第四季度!F13:F16)*1.5-第四季度!E5*第四季度!F5*0.5)*0.145299145</f>
        <v>-13247.419972725898</v>
      </c>
      <c r="AQ41" s="129"/>
      <c r="AR41" s="129"/>
    </row>
    <row r="42" spans="1:44" ht="13.8" customHeight="1" x14ac:dyDescent="0.25">
      <c r="D42" s="148">
        <f>IF(H15&lt;=INDEX(参数调整!$C$63:'参数调整'!$D$68,1,1),C15,IF(H15&lt;=INDEX(参数调整!$C$63:'参数调整'!$D$68,2,1),H15*INDEX(参数调整!$C$63:'参数调整'!$D$68,2,2),IF(H15&lt;=INDEX(参数调整!$C$63:'参数调整'!$D$68,3,1),H15*INDEX(参数调整!$C$63:'参数调整'!$D$68,3,2),IF(H15&lt;=INDEX(参数调整!$C$63:'参数调整'!$D$68,4,1),H15*INDEX(参数调整!$C$63:'参数调整'!$D$68,4,2),IF(H15&lt;=INDEX(参数调整!$C$63:'参数调整'!$D$68,5,1),H15*INDEX(参数调整!$C$63:'参数调整'!$D$68,5,2),H15*INDEX(参数调整!$C$63:'参数调整'!$D$68,6,2))))))</f>
        <v>80</v>
      </c>
      <c r="E42" s="129">
        <v>0</v>
      </c>
      <c r="F42" s="129">
        <f t="shared" si="16"/>
        <v>0</v>
      </c>
      <c r="Q42" s="172">
        <f t="shared" si="10"/>
        <v>0</v>
      </c>
      <c r="R42" s="174" t="e">
        <f>ROUNDUP(IF(D21="S",P21*$R$18/($R$18+$S$18+$T$18),IF(D21="B",P21*$R$19/($R$19+$S$19+$T$19),IF(D21="Q",P21*$R$20/($R$20+$S$20+$T$20),P21*$R$21/($R$21+$S$21+$T$21)))),1)</f>
        <v>#VALUE!</v>
      </c>
      <c r="S42" s="174" t="e">
        <f t="shared" si="15"/>
        <v>#VALUE!</v>
      </c>
      <c r="T42" s="176" t="e">
        <f t="shared" si="13"/>
        <v>#VALUE!</v>
      </c>
      <c r="U42" s="177" t="e">
        <f t="shared" si="14"/>
        <v>#VALUE!</v>
      </c>
      <c r="V42" s="87"/>
      <c r="AK42" s="250"/>
      <c r="AL42" s="203" t="s">
        <v>303</v>
      </c>
      <c r="AM42" s="204"/>
      <c r="AN42" s="204"/>
      <c r="AO42" s="205"/>
      <c r="AP42" s="122">
        <f>AP41*SUM(参数调整!B7:B9)</f>
        <v>-1589.690396727108</v>
      </c>
      <c r="AQ42" s="129"/>
      <c r="AR42" s="129"/>
    </row>
    <row r="43" spans="1:44" ht="13.8" customHeight="1" x14ac:dyDescent="0.25">
      <c r="D43" s="148">
        <f>IF(H16&lt;=INDEX(参数调整!$C$63:'参数调整'!$D$68,1,1),C16,IF(H16&lt;=INDEX(参数调整!$C$63:'参数调整'!$D$68,2,1),H16*INDEX(参数调整!$C$63:'参数调整'!$D$68,2,2),IF(H16&lt;=INDEX(参数调整!$C$63:'参数调整'!$D$68,3,1),H16*INDEX(参数调整!$C$63:'参数调整'!$D$68,3,2),IF(H16&lt;=INDEX(参数调整!$C$63:'参数调整'!$D$68,4,1),H16*INDEX(参数调整!$C$63:'参数调整'!$D$68,4,2),IF(H16&lt;=INDEX(参数调整!$C$63:'参数调整'!$D$68,5,1),H16*INDEX(参数调整!$C$63:'参数调整'!$D$68,5,2),H16*INDEX(参数调整!$C$63:'参数调整'!$D$68,6,2))))))</f>
        <v>90</v>
      </c>
      <c r="E43" s="129">
        <v>0</v>
      </c>
      <c r="F43" s="129">
        <f t="shared" si="16"/>
        <v>0</v>
      </c>
      <c r="AK43" s="250"/>
      <c r="AL43" s="203" t="s">
        <v>304</v>
      </c>
      <c r="AM43" s="204"/>
      <c r="AN43" s="204"/>
      <c r="AO43" s="205"/>
      <c r="AP43" s="122">
        <v>0</v>
      </c>
      <c r="AQ43" s="129"/>
      <c r="AR43" s="129"/>
    </row>
    <row r="44" spans="1:44" ht="13.8" customHeight="1" x14ac:dyDescent="0.25">
      <c r="C44" s="91" t="s">
        <v>305</v>
      </c>
      <c r="F44" s="129">
        <f>SUMPRODUCT(D3:D16,G3:G16)</f>
        <v>100817</v>
      </c>
      <c r="AK44" s="251"/>
      <c r="AL44" s="203" t="s">
        <v>296</v>
      </c>
      <c r="AM44" s="204"/>
      <c r="AN44" s="204"/>
      <c r="AO44" s="205"/>
      <c r="AP44" s="143"/>
      <c r="AQ44" s="129"/>
      <c r="AR44" s="129"/>
    </row>
    <row r="45" spans="1:44" ht="13.8" customHeight="1" x14ac:dyDescent="0.25">
      <c r="Q45" s="168"/>
      <c r="R45" s="168"/>
      <c r="S45" s="179" t="s">
        <v>328</v>
      </c>
      <c r="T45" s="179"/>
      <c r="U45" s="179"/>
      <c r="V45" s="169"/>
      <c r="W45" s="170"/>
      <c r="X45" s="170"/>
      <c r="Y45" s="170"/>
      <c r="Z45" s="170"/>
      <c r="AA45" s="170"/>
      <c r="AB45" s="170"/>
    </row>
    <row r="46" spans="1:44" ht="13.8" customHeight="1" x14ac:dyDescent="0.25">
      <c r="Q46" s="168"/>
      <c r="R46" s="152"/>
      <c r="S46" s="152" t="s">
        <v>329</v>
      </c>
      <c r="T46" s="152" t="s">
        <v>330</v>
      </c>
      <c r="U46" s="152" t="s">
        <v>331</v>
      </c>
      <c r="V46" s="147"/>
      <c r="W46" s="178"/>
      <c r="X46" s="178"/>
      <c r="Y46" s="178"/>
      <c r="Z46" s="178"/>
      <c r="AA46" s="178"/>
      <c r="AB46" s="178"/>
    </row>
    <row r="47" spans="1:44" ht="13.8" customHeight="1" x14ac:dyDescent="0.25">
      <c r="Q47" s="168"/>
      <c r="R47" s="152" t="s">
        <v>332</v>
      </c>
      <c r="S47" s="126">
        <v>1</v>
      </c>
      <c r="T47" s="126">
        <v>1</v>
      </c>
      <c r="U47" s="126">
        <v>1</v>
      </c>
      <c r="V47" s="147"/>
      <c r="W47" s="152"/>
      <c r="X47" s="152"/>
      <c r="Y47" s="122" t="s">
        <v>333</v>
      </c>
      <c r="Z47" s="122" t="s">
        <v>334</v>
      </c>
      <c r="AA47" s="122" t="s">
        <v>335</v>
      </c>
      <c r="AB47" s="122" t="s">
        <v>336</v>
      </c>
    </row>
    <row r="48" spans="1:44" ht="13.8" customHeight="1" x14ac:dyDescent="0.25">
      <c r="Q48" s="168"/>
      <c r="R48" s="168"/>
      <c r="S48" s="168"/>
      <c r="T48" s="168"/>
      <c r="U48" s="168"/>
      <c r="V48" s="86"/>
      <c r="W48" s="152"/>
      <c r="X48" s="152"/>
      <c r="Y48" s="152"/>
      <c r="Z48" s="152"/>
      <c r="AA48" s="152"/>
      <c r="AB48" s="152"/>
    </row>
    <row r="49" spans="7:28" ht="13.8" customHeight="1" x14ac:dyDescent="0.25">
      <c r="Q49" s="168"/>
      <c r="R49" s="168"/>
      <c r="S49" s="168"/>
      <c r="T49" s="168"/>
      <c r="U49" s="168"/>
      <c r="V49" s="86"/>
      <c r="W49" s="152"/>
      <c r="X49" s="152"/>
      <c r="Y49" s="152"/>
      <c r="Z49" s="152"/>
      <c r="AA49" s="152"/>
      <c r="AB49" s="152"/>
    </row>
    <row r="50" spans="7:28" ht="13.8" customHeight="1" x14ac:dyDescent="0.25">
      <c r="Q50" s="168"/>
      <c r="R50" s="168"/>
      <c r="S50" s="168"/>
      <c r="T50" s="168"/>
      <c r="U50" s="168"/>
      <c r="V50" s="86"/>
      <c r="W50" s="152"/>
      <c r="X50" s="152"/>
      <c r="Y50" s="152"/>
      <c r="Z50" s="152"/>
      <c r="AA50" s="152"/>
      <c r="AB50" s="152"/>
    </row>
    <row r="51" spans="7:28" ht="13.8" customHeight="1" x14ac:dyDescent="0.25">
      <c r="Q51" s="168"/>
      <c r="R51" s="168"/>
      <c r="S51" s="168"/>
      <c r="T51" s="168"/>
      <c r="U51" s="168"/>
      <c r="V51" s="86"/>
      <c r="W51" s="152"/>
      <c r="X51" s="152"/>
      <c r="Y51" s="152"/>
      <c r="Z51" s="152"/>
      <c r="AA51" s="152"/>
      <c r="AB51" s="152"/>
    </row>
    <row r="52" spans="7:28" ht="13.8" customHeight="1" x14ac:dyDescent="0.25">
      <c r="Q52" s="168"/>
      <c r="R52" s="168"/>
      <c r="S52" s="168"/>
      <c r="T52" s="168"/>
      <c r="U52" s="168"/>
      <c r="V52" s="86"/>
      <c r="W52" s="152"/>
      <c r="X52" s="152"/>
      <c r="Y52" s="152"/>
      <c r="Z52" s="152"/>
      <c r="AA52" s="152"/>
      <c r="AB52" s="152"/>
    </row>
    <row r="53" spans="7:28" ht="13.8" customHeight="1" x14ac:dyDescent="0.25">
      <c r="Q53" s="168"/>
      <c r="R53" s="168"/>
      <c r="S53" s="168"/>
      <c r="T53" s="168"/>
      <c r="U53" s="168"/>
      <c r="V53" s="86"/>
      <c r="W53" s="152"/>
      <c r="X53" s="152"/>
      <c r="Y53" s="152"/>
      <c r="Z53" s="152"/>
      <c r="AA53" s="152"/>
      <c r="AB53" s="152"/>
    </row>
    <row r="54" spans="7:28" ht="13.8" customHeight="1" x14ac:dyDescent="0.25">
      <c r="Q54" s="168"/>
      <c r="R54" s="168"/>
      <c r="S54" s="168"/>
      <c r="T54" s="168"/>
      <c r="U54" s="168"/>
      <c r="V54" s="86"/>
      <c r="W54" s="152"/>
      <c r="X54" s="152"/>
      <c r="Y54" s="152"/>
      <c r="Z54" s="152"/>
      <c r="AA54" s="152"/>
      <c r="AB54" s="152"/>
    </row>
    <row r="55" spans="7:28" ht="13.8" customHeight="1" x14ac:dyDescent="0.25">
      <c r="Q55" s="168"/>
      <c r="R55" s="168"/>
      <c r="S55" s="168"/>
      <c r="T55" s="168"/>
      <c r="U55" s="168"/>
      <c r="V55" s="169"/>
      <c r="W55" s="152"/>
      <c r="X55" s="152"/>
      <c r="Y55" s="152"/>
      <c r="Z55" s="152"/>
      <c r="AA55" s="152"/>
      <c r="AB55" s="152"/>
    </row>
    <row r="56" spans="7:28" ht="13.8" customHeight="1" x14ac:dyDescent="0.25">
      <c r="Q56" s="168"/>
      <c r="R56" s="168"/>
      <c r="S56" s="168"/>
      <c r="T56" s="168"/>
      <c r="U56" s="168"/>
      <c r="V56" s="169"/>
      <c r="W56" s="152"/>
      <c r="X56" s="152"/>
      <c r="Y56" s="152"/>
      <c r="Z56" s="152"/>
      <c r="AA56" s="152"/>
      <c r="AB56" s="152"/>
    </row>
    <row r="57" spans="7:28" ht="13.8" customHeight="1" x14ac:dyDescent="0.25">
      <c r="Q57" s="168"/>
      <c r="R57" s="168"/>
      <c r="S57" s="168"/>
      <c r="T57" s="168"/>
      <c r="U57" s="168"/>
      <c r="V57" s="169"/>
      <c r="W57" s="152"/>
      <c r="X57" s="152"/>
      <c r="Y57" s="152"/>
      <c r="Z57" s="152"/>
      <c r="AA57" s="152"/>
      <c r="AB57" s="152"/>
    </row>
    <row r="58" spans="7:28" ht="13.8" customHeight="1" x14ac:dyDescent="0.25">
      <c r="Q58" s="168"/>
      <c r="R58" s="168"/>
      <c r="S58" s="168"/>
      <c r="T58" s="168"/>
      <c r="U58" s="168"/>
      <c r="V58" s="170"/>
      <c r="W58" s="152"/>
      <c r="X58" s="152"/>
      <c r="Y58" s="152"/>
      <c r="Z58" s="152"/>
      <c r="AA58" s="152"/>
      <c r="AB58" s="152"/>
    </row>
    <row r="59" spans="7:28" ht="13.8" customHeight="1" x14ac:dyDescent="0.25">
      <c r="Q59" s="168"/>
      <c r="R59" s="168"/>
      <c r="S59" s="168"/>
      <c r="T59" s="168"/>
      <c r="U59" s="168"/>
      <c r="V59" s="170"/>
      <c r="W59" s="152"/>
      <c r="X59" s="152"/>
      <c r="Y59" s="152"/>
      <c r="Z59" s="152"/>
      <c r="AA59" s="152"/>
      <c r="AB59" s="152"/>
    </row>
    <row r="60" spans="7:28" ht="13.8" customHeight="1" x14ac:dyDescent="0.25"/>
    <row r="61" spans="7:28" ht="13.8" customHeight="1" x14ac:dyDescent="0.25">
      <c r="I61" s="119" t="s">
        <v>339</v>
      </c>
      <c r="J61" s="119" t="s">
        <v>346</v>
      </c>
      <c r="K61" s="119" t="s">
        <v>347</v>
      </c>
      <c r="Q61" s="119" t="s">
        <v>348</v>
      </c>
      <c r="R61" s="119" t="s">
        <v>349</v>
      </c>
      <c r="S61" s="119" t="s">
        <v>350</v>
      </c>
      <c r="T61" s="119" t="s">
        <v>351</v>
      </c>
      <c r="U61" s="119" t="s">
        <v>341</v>
      </c>
      <c r="V61" s="119" t="s">
        <v>342</v>
      </c>
      <c r="W61" s="119" t="s">
        <v>208</v>
      </c>
      <c r="X61" s="119" t="s">
        <v>312</v>
      </c>
      <c r="Y61" s="135" t="s">
        <v>313</v>
      </c>
    </row>
    <row r="62" spans="7:28" ht="13.8" customHeight="1" x14ac:dyDescent="0.25">
      <c r="G62" s="119"/>
      <c r="H62" s="119"/>
      <c r="I62" s="126"/>
      <c r="J62" s="119"/>
      <c r="K62" s="126"/>
      <c r="Q62" s="180"/>
      <c r="R62" s="146"/>
      <c r="S62" s="180"/>
      <c r="T62" s="180"/>
      <c r="U62" s="119"/>
      <c r="V62" s="146"/>
      <c r="W62" s="126"/>
      <c r="X62" s="119"/>
      <c r="Y62" s="181">
        <v>9958.9705789996879</v>
      </c>
    </row>
    <row r="63" spans="7:28" ht="13.8" customHeight="1" x14ac:dyDescent="0.25">
      <c r="G63" s="119"/>
      <c r="H63" s="119"/>
      <c r="I63" s="126"/>
      <c r="J63" s="119"/>
      <c r="K63" s="126"/>
      <c r="Q63" s="180"/>
      <c r="R63" s="126"/>
      <c r="S63" s="180"/>
      <c r="T63" s="180"/>
      <c r="U63" s="119"/>
      <c r="V63" s="126"/>
      <c r="W63" s="126"/>
      <c r="X63" s="119"/>
      <c r="Y63" s="138">
        <v>14666.892873683888</v>
      </c>
    </row>
    <row r="64" spans="7:28" ht="13.8" customHeight="1" x14ac:dyDescent="0.25">
      <c r="G64" s="119"/>
      <c r="H64" s="119"/>
      <c r="I64" s="126"/>
      <c r="J64" s="119"/>
      <c r="K64" s="119" t="s">
        <v>352</v>
      </c>
      <c r="Q64" s="180"/>
      <c r="R64" s="126"/>
      <c r="S64" s="180"/>
      <c r="T64" s="180"/>
      <c r="U64" s="119"/>
      <c r="V64" s="126"/>
      <c r="W64" s="126"/>
      <c r="X64" s="119"/>
      <c r="Y64" s="138">
        <v>7753.06659125229</v>
      </c>
    </row>
    <row r="65" spans="7:25" ht="13.8" customHeight="1" x14ac:dyDescent="0.25">
      <c r="G65" s="119"/>
      <c r="H65" s="119"/>
      <c r="I65" s="126"/>
      <c r="J65" s="119"/>
      <c r="K65" s="126"/>
      <c r="Q65" s="180"/>
      <c r="R65" s="126"/>
      <c r="S65" s="180"/>
      <c r="T65" s="180"/>
      <c r="U65" s="119"/>
      <c r="V65" s="126"/>
      <c r="W65" s="126"/>
      <c r="X65" s="119"/>
      <c r="Y65" s="138">
        <v>866.98592320073863</v>
      </c>
    </row>
    <row r="66" spans="7:25" ht="13.8" customHeight="1" x14ac:dyDescent="0.25">
      <c r="G66" s="119"/>
      <c r="H66" s="119"/>
      <c r="I66"/>
      <c r="J66" s="119"/>
      <c r="K66"/>
      <c r="Q66" s="180"/>
      <c r="R66" s="119" t="s">
        <v>352</v>
      </c>
      <c r="S66" s="180"/>
      <c r="T66" s="180"/>
      <c r="U66" s="119"/>
      <c r="V66" s="126"/>
      <c r="W66"/>
      <c r="X66"/>
      <c r="Y66"/>
    </row>
    <row r="67" spans="7:25" ht="13.8" customHeight="1" x14ac:dyDescent="0.25">
      <c r="G67" s="119"/>
      <c r="H67" s="119"/>
      <c r="I67"/>
      <c r="J67" s="119"/>
      <c r="K67"/>
      <c r="Q67" s="180"/>
      <c r="R67" s="126"/>
      <c r="S67" s="180"/>
      <c r="T67" s="180"/>
      <c r="U67" s="119"/>
      <c r="V67" s="126"/>
      <c r="W67"/>
      <c r="X67"/>
      <c r="Y67"/>
    </row>
    <row r="68" spans="7:25" ht="20.399999999999999" customHeight="1" x14ac:dyDescent="0.25">
      <c r="G68" s="119"/>
      <c r="H68" s="119"/>
      <c r="I68"/>
      <c r="J68" s="119"/>
      <c r="K68"/>
      <c r="Q68" s="180"/>
      <c r="R68"/>
      <c r="S68" s="180"/>
      <c r="T68" s="180"/>
      <c r="U68" s="119"/>
      <c r="V68" s="126"/>
      <c r="W68"/>
      <c r="X68"/>
      <c r="Y68"/>
    </row>
    <row r="69" spans="7:25" ht="20.399999999999999" customHeight="1" x14ac:dyDescent="0.25">
      <c r="G69" s="119"/>
      <c r="H69" s="119"/>
      <c r="I69"/>
      <c r="J69" s="119"/>
      <c r="K69"/>
      <c r="Q69" s="180"/>
      <c r="R69"/>
      <c r="S69" s="180"/>
      <c r="T69" s="180"/>
      <c r="U69" s="119"/>
      <c r="V69" s="126"/>
      <c r="W69"/>
      <c r="X69"/>
      <c r="Y69"/>
    </row>
    <row r="70" spans="7:25" ht="20.399999999999999" customHeight="1" x14ac:dyDescent="0.25">
      <c r="G70" s="119"/>
      <c r="H70" s="119"/>
      <c r="J70" s="119"/>
      <c r="Q70" s="180"/>
      <c r="S70" s="180"/>
      <c r="T70" s="180"/>
      <c r="U70" s="119"/>
      <c r="V70" s="126"/>
    </row>
    <row r="71" spans="7:25" ht="20.399999999999999" customHeight="1" x14ac:dyDescent="0.25">
      <c r="G71" s="119"/>
      <c r="H71" s="119"/>
      <c r="J71" s="119"/>
      <c r="Q71" s="180"/>
      <c r="S71" s="180"/>
      <c r="T71" s="180"/>
      <c r="U71" s="119"/>
      <c r="V71" s="126"/>
    </row>
    <row r="72" spans="7:25" ht="20.399999999999999" customHeight="1" x14ac:dyDescent="0.25">
      <c r="G72" s="119"/>
      <c r="H72" s="119"/>
      <c r="J72" s="119"/>
      <c r="Q72" s="180"/>
      <c r="S72" s="180"/>
      <c r="T72" s="180"/>
      <c r="U72" s="119"/>
      <c r="V72" s="126"/>
    </row>
    <row r="73" spans="7:25" ht="20.399999999999999" customHeight="1" x14ac:dyDescent="0.25">
      <c r="G73" s="119"/>
      <c r="H73" s="119"/>
      <c r="J73" s="119"/>
      <c r="Q73" s="180"/>
      <c r="S73" s="180"/>
      <c r="T73" s="180"/>
      <c r="U73" s="119"/>
      <c r="V73" s="126"/>
    </row>
  </sheetData>
  <mergeCells count="79">
    <mergeCell ref="G1:G2"/>
    <mergeCell ref="B1:B2"/>
    <mergeCell ref="C1:C2"/>
    <mergeCell ref="D1:D2"/>
    <mergeCell ref="E1:E2"/>
    <mergeCell ref="F1:F2"/>
    <mergeCell ref="H1:H2"/>
    <mergeCell ref="R1:U1"/>
    <mergeCell ref="AF2:AI2"/>
    <mergeCell ref="AK2:AL3"/>
    <mergeCell ref="AM2:AM3"/>
    <mergeCell ref="AQ4:AR4"/>
    <mergeCell ref="AL5:AL16"/>
    <mergeCell ref="AM5:AM8"/>
    <mergeCell ref="AQ5:AR6"/>
    <mergeCell ref="AF7:AF9"/>
    <mergeCell ref="AP2:AP3"/>
    <mergeCell ref="AF3:AH3"/>
    <mergeCell ref="AF4:AF6"/>
    <mergeCell ref="AK4:AK36"/>
    <mergeCell ref="AL4:AN4"/>
    <mergeCell ref="AN2:AO3"/>
    <mergeCell ref="AI7:AI9"/>
    <mergeCell ref="AM9:AM11"/>
    <mergeCell ref="AF10:AF13"/>
    <mergeCell ref="AM12:AN12"/>
    <mergeCell ref="AM13:AM16"/>
    <mergeCell ref="AF14:AG14"/>
    <mergeCell ref="AF15:AG15"/>
    <mergeCell ref="AF16:AF21"/>
    <mergeCell ref="AP28:AP29"/>
    <mergeCell ref="AP32:AP33"/>
    <mergeCell ref="J17:K17"/>
    <mergeCell ref="AL17:AN17"/>
    <mergeCell ref="A18:B18"/>
    <mergeCell ref="J18:K20"/>
    <mergeCell ref="AL18:AM19"/>
    <mergeCell ref="AL20:AM23"/>
    <mergeCell ref="J21:K21"/>
    <mergeCell ref="J22:K24"/>
    <mergeCell ref="AF22:AG22"/>
    <mergeCell ref="S23:U23"/>
    <mergeCell ref="AF23:AG23"/>
    <mergeCell ref="AF24:AG24"/>
    <mergeCell ref="AL24:AM26"/>
    <mergeCell ref="AF25:AG25"/>
    <mergeCell ref="AF26:AH26"/>
    <mergeCell ref="AF27:AH27"/>
    <mergeCell ref="AL27:AN27"/>
    <mergeCell ref="AF28:AH28"/>
    <mergeCell ref="AL28:AL35"/>
    <mergeCell ref="AM28:AM35"/>
    <mergeCell ref="AN28:AN29"/>
    <mergeCell ref="AO28:AO29"/>
    <mergeCell ref="AP30:AP31"/>
    <mergeCell ref="A31:A33"/>
    <mergeCell ref="AF31:AH31"/>
    <mergeCell ref="AN32:AN33"/>
    <mergeCell ref="AO32:AO33"/>
    <mergeCell ref="A29:A30"/>
    <mergeCell ref="AF29:AH29"/>
    <mergeCell ref="AF30:AH30"/>
    <mergeCell ref="AN30:AN31"/>
    <mergeCell ref="AO30:AO31"/>
    <mergeCell ref="A37:A38"/>
    <mergeCell ref="AK37:AK44"/>
    <mergeCell ref="AL37:AO37"/>
    <mergeCell ref="AL38:AO38"/>
    <mergeCell ref="AL39:AO39"/>
    <mergeCell ref="AL40:AO40"/>
    <mergeCell ref="AL41:AO41"/>
    <mergeCell ref="AL42:AO42"/>
    <mergeCell ref="AL43:AO43"/>
    <mergeCell ref="AL44:AO44"/>
    <mergeCell ref="A34:A36"/>
    <mergeCell ref="AN34:AN35"/>
    <mergeCell ref="AO34:AO35"/>
    <mergeCell ref="AP34:AP35"/>
    <mergeCell ref="AL36:AO36"/>
  </mergeCells>
  <phoneticPr fontId="3" type="noConversion"/>
  <dataValidations count="3">
    <dataValidation type="list" allowBlank="1" showInputMessage="1" showErrorMessage="1" sqref="AG7:AG9" xr:uid="{6F991854-66D2-49CA-89C9-C97D860E6070}">
      <formula1>"租用小厂房,租用中厂房,租用大厂房"</formula1>
    </dataValidation>
    <dataValidation type="list" allowBlank="1" showInputMessage="1" showErrorMessage="1" sqref="AG4:AG6" xr:uid="{EEF57A8D-3817-487D-826B-D60A6E82C829}">
      <formula1>"购买小厂房,购买中厂房,购买大厂房"</formula1>
    </dataValidation>
    <dataValidation type="list" allowBlank="1" showInputMessage="1" showErrorMessage="1" sqref="AG10:AG13" xr:uid="{77182299-A146-4B42-B984-A2997BB5A162}">
      <formula1>"手工线,半自动线,全自动线,柔性线"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参数调整</vt:lpstr>
      <vt:lpstr>产品配置表</vt:lpstr>
      <vt:lpstr>第一季度</vt:lpstr>
      <vt:lpstr>第二季度</vt:lpstr>
      <vt:lpstr>第三季度</vt:lpstr>
      <vt:lpstr>第四季度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 Roronoa_</dc:creator>
  <cp:lastModifiedBy>Hs Roronoa_</cp:lastModifiedBy>
  <dcterms:created xsi:type="dcterms:W3CDTF">2015-06-05T18:17:20Z</dcterms:created>
  <dcterms:modified xsi:type="dcterms:W3CDTF">2022-05-11T05:24:41Z</dcterms:modified>
</cp:coreProperties>
</file>