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4538\Desktop\"/>
    </mc:Choice>
  </mc:AlternateContent>
  <xr:revisionPtr revIDLastSave="0" documentId="13_ncr:1_{90736182-778E-481F-8E8F-79700AAC9CD4}" xr6:coauthVersionLast="47" xr6:coauthVersionMax="47" xr10:uidLastSave="{00000000-0000-0000-0000-000000000000}"/>
  <bookViews>
    <workbookView xWindow="-108" yWindow="-108" windowWidth="23256" windowHeight="12720" tabRatio="599" firstSheet="2" activeTab="5" xr2:uid="{71B65344-684B-4B30-A7E7-C0302257F350}"/>
  </bookViews>
  <sheets>
    <sheet name="参数调整" sheetId="2" state="hidden" r:id="rId1"/>
    <sheet name="产品配置计算表" sheetId="11" state="hidden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state="hidden" r:id="rId7"/>
    <sheet name="第六季度" sheetId="9" state="hidden" r:id="rId8"/>
    <sheet name="所得税计算工具表" sheetId="10" state="hidden" r:id="rId9"/>
  </sheets>
  <definedNames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5" l="1"/>
  <c r="O18" i="5"/>
  <c r="V18" i="3"/>
  <c r="AM11" i="3"/>
  <c r="AM9" i="3"/>
  <c r="AM11" i="4"/>
  <c r="AM9" i="4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J31" i="3"/>
  <c r="J3" i="5"/>
  <c r="G30" i="3"/>
  <c r="O19" i="5"/>
  <c r="O17" i="5"/>
  <c r="G28" i="3"/>
  <c r="G25" i="3"/>
  <c r="AG24" i="5"/>
  <c r="AN30" i="5"/>
  <c r="Q24" i="1"/>
  <c r="AN32" i="4"/>
  <c r="V11" i="3"/>
  <c r="V12" i="3"/>
  <c r="V13" i="3"/>
  <c r="V14" i="3"/>
  <c r="P11" i="3"/>
  <c r="P12" i="3"/>
  <c r="P13" i="3"/>
  <c r="P14" i="3"/>
  <c r="O11" i="3"/>
  <c r="O12" i="3"/>
  <c r="O13" i="3"/>
  <c r="O14" i="3"/>
  <c r="N11" i="3"/>
  <c r="N12" i="3"/>
  <c r="N13" i="3"/>
  <c r="N14" i="3"/>
  <c r="M11" i="3"/>
  <c r="M12" i="3"/>
  <c r="M13" i="3"/>
  <c r="M14" i="3"/>
  <c r="L11" i="3"/>
  <c r="L12" i="3"/>
  <c r="L13" i="3"/>
  <c r="L14" i="3"/>
  <c r="K4" i="3" l="1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N3" i="3" l="1"/>
  <c r="O3" i="3"/>
  <c r="L3" i="3"/>
  <c r="P3" i="3"/>
  <c r="M3" i="3"/>
  <c r="O10" i="3"/>
  <c r="P10" i="3"/>
  <c r="M10" i="3"/>
  <c r="N10" i="3"/>
  <c r="L10" i="3"/>
  <c r="O9" i="3"/>
  <c r="M9" i="3"/>
  <c r="P9" i="3"/>
  <c r="N9" i="3"/>
  <c r="L9" i="3"/>
  <c r="O4" i="3"/>
  <c r="P4" i="3"/>
  <c r="M4" i="3"/>
  <c r="N4" i="3"/>
  <c r="L4" i="3"/>
  <c r="M7" i="3"/>
  <c r="O7" i="3"/>
  <c r="P7" i="3"/>
  <c r="L7" i="3"/>
  <c r="N7" i="3"/>
  <c r="O8" i="3"/>
  <c r="M8" i="3"/>
  <c r="N8" i="3"/>
  <c r="P8" i="3"/>
  <c r="L8" i="3"/>
  <c r="N6" i="3"/>
  <c r="M6" i="3"/>
  <c r="O6" i="3"/>
  <c r="L6" i="3"/>
  <c r="P6" i="3"/>
  <c r="O5" i="3"/>
  <c r="N5" i="3"/>
  <c r="L5" i="3"/>
  <c r="P5" i="3"/>
  <c r="M5" i="3"/>
  <c r="AM9" i="5"/>
  <c r="AM11" i="5"/>
  <c r="AM10" i="5"/>
  <c r="AG27" i="4"/>
  <c r="AG27" i="3"/>
  <c r="V9" i="1"/>
  <c r="V10" i="1"/>
  <c r="V11" i="1"/>
  <c r="V12" i="1"/>
  <c r="V13" i="1"/>
  <c r="V14" i="1"/>
  <c r="AO5" i="1"/>
  <c r="V3" i="1"/>
  <c r="Z17" i="9"/>
  <c r="Z21" i="9" l="1"/>
  <c r="G22" i="8"/>
  <c r="AM19" i="5"/>
  <c r="AM18" i="5"/>
  <c r="AM12" i="5" s="1"/>
  <c r="Y6" i="1" l="1"/>
  <c r="Y5" i="1"/>
  <c r="Y4" i="1"/>
  <c r="Y3" i="1"/>
  <c r="AM19" i="9" l="1"/>
  <c r="AM18" i="9"/>
  <c r="AM18" i="8"/>
  <c r="AM19" i="8"/>
  <c r="AM27" i="5"/>
  <c r="AM19" i="4"/>
  <c r="AM18" i="4"/>
  <c r="AM19" i="3"/>
  <c r="AM18" i="3"/>
  <c r="AM19" i="1"/>
  <c r="AM18" i="1"/>
  <c r="M31" i="10"/>
  <c r="M30" i="10"/>
  <c r="M29" i="10"/>
  <c r="Q27" i="10"/>
  <c r="M27" i="10"/>
  <c r="Q26" i="10"/>
  <c r="M26" i="10"/>
  <c r="Q25" i="10"/>
  <c r="M25" i="10"/>
  <c r="Q24" i="10"/>
  <c r="M24" i="10"/>
  <c r="K22" i="10"/>
  <c r="K21" i="10"/>
  <c r="N21" i="10" s="1"/>
  <c r="K20" i="10"/>
  <c r="N20" i="10" s="1"/>
  <c r="R12" i="10"/>
  <c r="R7" i="10"/>
  <c r="R6" i="10"/>
  <c r="Q5" i="10"/>
  <c r="R5" i="10" s="1"/>
  <c r="Q4" i="10"/>
  <c r="R4" i="10" s="1"/>
  <c r="Q31" i="10"/>
  <c r="P31" i="10"/>
  <c r="Q30" i="10"/>
  <c r="P30" i="10"/>
  <c r="P29" i="10"/>
  <c r="Q29" i="10" s="1"/>
  <c r="H223" i="10"/>
  <c r="H222" i="10"/>
  <c r="H221" i="10"/>
  <c r="H220" i="10"/>
  <c r="H218" i="10"/>
  <c r="H216" i="10"/>
  <c r="G30" i="10"/>
  <c r="G31" i="10"/>
  <c r="F30" i="10"/>
  <c r="F31" i="10"/>
  <c r="F29" i="10"/>
  <c r="G29" i="10" s="1"/>
  <c r="G25" i="10"/>
  <c r="G26" i="10"/>
  <c r="G27" i="10"/>
  <c r="G24" i="10"/>
  <c r="R235" i="10"/>
  <c r="AA228" i="10"/>
  <c r="AA227" i="10"/>
  <c r="C31" i="10"/>
  <c r="C30" i="10"/>
  <c r="C29" i="10"/>
  <c r="C24" i="10"/>
  <c r="C25" i="10"/>
  <c r="C26" i="10"/>
  <c r="C27" i="10"/>
  <c r="A20" i="10"/>
  <c r="D20" i="10" s="1"/>
  <c r="A21" i="10"/>
  <c r="D21" i="10" s="1"/>
  <c r="A22" i="10"/>
  <c r="C22" i="10" s="1"/>
  <c r="E24" i="10" s="1"/>
  <c r="B137" i="10"/>
  <c r="I137" i="10" s="1"/>
  <c r="B138" i="10"/>
  <c r="H138" i="10" s="1"/>
  <c r="B139" i="10"/>
  <c r="F139" i="10" s="1"/>
  <c r="B140" i="10"/>
  <c r="D140" i="10" s="1"/>
  <c r="B141" i="10"/>
  <c r="F141" i="10" s="1"/>
  <c r="B142" i="10"/>
  <c r="F142" i="10" s="1"/>
  <c r="B143" i="10"/>
  <c r="I143" i="10" s="1"/>
  <c r="B144" i="10"/>
  <c r="F144" i="10" s="1"/>
  <c r="B145" i="10"/>
  <c r="I145" i="10" s="1"/>
  <c r="B146" i="10"/>
  <c r="H146" i="10" s="1"/>
  <c r="B147" i="10"/>
  <c r="F147" i="10" s="1"/>
  <c r="B136" i="10"/>
  <c r="F136" i="10" s="1"/>
  <c r="A146" i="10"/>
  <c r="A147" i="10"/>
  <c r="A137" i="10"/>
  <c r="A138" i="10"/>
  <c r="A139" i="10"/>
  <c r="A140" i="10"/>
  <c r="A141" i="10"/>
  <c r="A142" i="10"/>
  <c r="A143" i="10"/>
  <c r="A144" i="10"/>
  <c r="A145" i="10"/>
  <c r="A136" i="10"/>
  <c r="C25" i="4"/>
  <c r="M21" i="10" l="1"/>
  <c r="M22" i="10"/>
  <c r="N22" i="10" s="1"/>
  <c r="M20" i="10"/>
  <c r="G141" i="10"/>
  <c r="I144" i="10"/>
  <c r="E142" i="10"/>
  <c r="G142" i="10"/>
  <c r="E147" i="10"/>
  <c r="E144" i="10"/>
  <c r="G139" i="10"/>
  <c r="I142" i="10"/>
  <c r="H147" i="10"/>
  <c r="I141" i="10"/>
  <c r="C147" i="10"/>
  <c r="E141" i="10"/>
  <c r="H145" i="10"/>
  <c r="I139" i="10"/>
  <c r="C144" i="10"/>
  <c r="E139" i="10"/>
  <c r="H144" i="10"/>
  <c r="C142" i="10"/>
  <c r="G147" i="10"/>
  <c r="H142" i="10"/>
  <c r="C141" i="10"/>
  <c r="G144" i="10"/>
  <c r="H139" i="10"/>
  <c r="C139" i="10"/>
  <c r="I147" i="10"/>
  <c r="H29" i="10"/>
  <c r="R29" i="10" s="1"/>
  <c r="D146" i="10"/>
  <c r="D138" i="10"/>
  <c r="F146" i="10"/>
  <c r="F138" i="10"/>
  <c r="D145" i="10"/>
  <c r="D137" i="10"/>
  <c r="F145" i="10"/>
  <c r="F137" i="10"/>
  <c r="H137" i="10"/>
  <c r="C136" i="10"/>
  <c r="C140" i="10"/>
  <c r="D144" i="10"/>
  <c r="E136" i="10"/>
  <c r="E140" i="10"/>
  <c r="G136" i="10"/>
  <c r="G140" i="10"/>
  <c r="H143" i="10"/>
  <c r="I136" i="10"/>
  <c r="I140" i="10"/>
  <c r="D143" i="10"/>
  <c r="F143" i="10"/>
  <c r="C146" i="10"/>
  <c r="C138" i="10"/>
  <c r="D142" i="10"/>
  <c r="E146" i="10"/>
  <c r="E138" i="10"/>
  <c r="G146" i="10"/>
  <c r="G138" i="10"/>
  <c r="H141" i="10"/>
  <c r="I146" i="10"/>
  <c r="I138" i="10"/>
  <c r="D22" i="10"/>
  <c r="D24" i="10" s="1"/>
  <c r="H136" i="10"/>
  <c r="C145" i="10"/>
  <c r="C137" i="10"/>
  <c r="D141" i="10"/>
  <c r="E145" i="10"/>
  <c r="E137" i="10"/>
  <c r="G145" i="10"/>
  <c r="G137" i="10"/>
  <c r="H140" i="10"/>
  <c r="D136" i="10"/>
  <c r="F140" i="10"/>
  <c r="C143" i="10"/>
  <c r="D147" i="10"/>
  <c r="D139" i="10"/>
  <c r="E143" i="10"/>
  <c r="G143" i="10"/>
  <c r="M3" i="11" l="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J3" i="11"/>
  <c r="K3" i="11"/>
  <c r="L3" i="11"/>
  <c r="I3" i="11"/>
  <c r="J18" i="11" l="1"/>
  <c r="K18" i="11"/>
  <c r="L18" i="11"/>
  <c r="M18" i="11"/>
  <c r="N18" i="11"/>
  <c r="O18" i="11"/>
  <c r="P18" i="11"/>
  <c r="Q18" i="11"/>
  <c r="R18" i="11"/>
  <c r="S18" i="11"/>
  <c r="T18" i="11"/>
  <c r="U18" i="11"/>
  <c r="I18" i="11"/>
  <c r="AG26" i="1"/>
  <c r="Q228" i="10" l="1"/>
  <c r="R228" i="10" s="1"/>
  <c r="Q227" i="10"/>
  <c r="R227" i="10" s="1"/>
  <c r="G5" i="10"/>
  <c r="H5" i="10" s="1"/>
  <c r="G4" i="10"/>
  <c r="H4" i="10" s="1"/>
  <c r="AA216" i="10"/>
  <c r="AB216" i="10" s="1"/>
  <c r="AA218" i="10"/>
  <c r="AB218" i="10" s="1"/>
  <c r="AA220" i="10"/>
  <c r="AB220" i="10" s="1"/>
  <c r="AA221" i="10"/>
  <c r="AB221" i="10" s="1"/>
  <c r="AA222" i="10"/>
  <c r="AB222" i="10" s="1"/>
  <c r="AA223" i="10"/>
  <c r="AB223" i="10" s="1"/>
  <c r="Q216" i="10"/>
  <c r="R216" i="10" s="1"/>
  <c r="Q218" i="10"/>
  <c r="R218" i="10" s="1"/>
  <c r="Q220" i="10"/>
  <c r="R220" i="10" s="1"/>
  <c r="Q221" i="10"/>
  <c r="R221" i="10" s="1"/>
  <c r="Q222" i="10"/>
  <c r="R222" i="10" s="1"/>
  <c r="Q223" i="10"/>
  <c r="I221" i="10"/>
  <c r="I222" i="10"/>
  <c r="I223" i="10"/>
  <c r="AB230" i="10"/>
  <c r="AB229" i="10"/>
  <c r="AB228" i="10"/>
  <c r="AB227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R230" i="10"/>
  <c r="R229" i="10"/>
  <c r="R223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I220" i="10"/>
  <c r="I218" i="10"/>
  <c r="I216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H6" i="10"/>
  <c r="H7" i="10"/>
  <c r="Z4" i="9" l="1"/>
  <c r="Z5" i="9"/>
  <c r="Z6" i="9"/>
  <c r="Z7" i="9"/>
  <c r="Z8" i="9"/>
  <c r="Z9" i="9"/>
  <c r="Z10" i="9"/>
  <c r="Z11" i="9"/>
  <c r="Z12" i="9"/>
  <c r="Z13" i="9"/>
  <c r="Z14" i="9"/>
  <c r="Z3" i="9"/>
  <c r="AG5" i="3"/>
  <c r="AG6" i="3"/>
  <c r="AG7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3" i="1"/>
  <c r="AG22" i="1"/>
  <c r="AG25" i="1"/>
  <c r="AG24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6" i="1"/>
  <c r="AG5" i="1"/>
  <c r="AG4" i="1"/>
  <c r="AG3" i="1"/>
  <c r="Z3" i="8" l="1"/>
  <c r="Z4" i="8"/>
  <c r="Z5" i="8"/>
  <c r="Z6" i="8"/>
  <c r="Z7" i="8"/>
  <c r="Z8" i="8"/>
  <c r="Z9" i="8"/>
  <c r="Z10" i="8"/>
  <c r="Z11" i="8"/>
  <c r="Z12" i="8"/>
  <c r="Z13" i="8"/>
  <c r="Z14" i="8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7" i="9"/>
  <c r="AG6" i="9"/>
  <c r="AG5" i="9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7" i="8"/>
  <c r="AG6" i="8"/>
  <c r="AG5" i="8"/>
  <c r="AG27" i="5"/>
  <c r="AG26" i="5"/>
  <c r="AG25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7" i="5"/>
  <c r="AG6" i="5"/>
  <c r="AG5" i="5"/>
  <c r="AG24" i="4"/>
  <c r="C4" i="9"/>
  <c r="D39" i="9" s="1"/>
  <c r="C5" i="9"/>
  <c r="D40" i="9" s="1"/>
  <c r="C6" i="9"/>
  <c r="D41" i="9" s="1"/>
  <c r="C7" i="9"/>
  <c r="D42" i="9" s="1"/>
  <c r="C8" i="9"/>
  <c r="D43" i="9" s="1"/>
  <c r="C9" i="9"/>
  <c r="D44" i="9" s="1"/>
  <c r="C10" i="9"/>
  <c r="D45" i="9" s="1"/>
  <c r="C11" i="9"/>
  <c r="D46" i="9" s="1"/>
  <c r="C12" i="9"/>
  <c r="D47" i="9" s="1"/>
  <c r="C13" i="9"/>
  <c r="D48" i="9" s="1"/>
  <c r="C14" i="9"/>
  <c r="D49" i="9" s="1"/>
  <c r="C15" i="9"/>
  <c r="D50" i="9" s="1"/>
  <c r="C16" i="9"/>
  <c r="D51" i="9" s="1"/>
  <c r="C3" i="9"/>
  <c r="D38" i="9" s="1"/>
  <c r="C4" i="8"/>
  <c r="D39" i="8" s="1"/>
  <c r="C5" i="8"/>
  <c r="D40" i="8" s="1"/>
  <c r="C6" i="8"/>
  <c r="D41" i="8" s="1"/>
  <c r="C7" i="8"/>
  <c r="D42" i="8" s="1"/>
  <c r="C8" i="8"/>
  <c r="D43" i="8" s="1"/>
  <c r="C9" i="8"/>
  <c r="D44" i="8" s="1"/>
  <c r="C10" i="8"/>
  <c r="D45" i="8" s="1"/>
  <c r="C11" i="8"/>
  <c r="D46" i="8" s="1"/>
  <c r="C12" i="8"/>
  <c r="D47" i="8" s="1"/>
  <c r="C13" i="8"/>
  <c r="D48" i="8" s="1"/>
  <c r="C14" i="8"/>
  <c r="D49" i="8" s="1"/>
  <c r="C15" i="8"/>
  <c r="D50" i="8" s="1"/>
  <c r="C16" i="8"/>
  <c r="D51" i="8" s="1"/>
  <c r="C3" i="8"/>
  <c r="D38" i="8" s="1"/>
  <c r="X25" i="9"/>
  <c r="W25" i="9"/>
  <c r="V25" i="9"/>
  <c r="U25" i="9"/>
  <c r="T25" i="9"/>
  <c r="S25" i="9"/>
  <c r="R25" i="9"/>
  <c r="X24" i="9"/>
  <c r="W24" i="9"/>
  <c r="V24" i="9"/>
  <c r="U24" i="9"/>
  <c r="T24" i="9"/>
  <c r="S24" i="9"/>
  <c r="R24" i="9"/>
  <c r="X23" i="9"/>
  <c r="W23" i="9"/>
  <c r="V23" i="9"/>
  <c r="U23" i="9"/>
  <c r="T23" i="9"/>
  <c r="S23" i="9"/>
  <c r="R23" i="9"/>
  <c r="X22" i="9"/>
  <c r="W22" i="9"/>
  <c r="V22" i="9"/>
  <c r="U22" i="9"/>
  <c r="T22" i="9"/>
  <c r="S22" i="9"/>
  <c r="R22" i="9"/>
  <c r="O20" i="8" l="1"/>
  <c r="O17" i="8"/>
  <c r="O19" i="8"/>
  <c r="O18" i="8"/>
  <c r="AN39" i="8"/>
  <c r="AN39" i="9"/>
  <c r="AN37" i="9"/>
  <c r="AN34" i="9"/>
  <c r="AN32" i="9"/>
  <c r="AN30" i="9"/>
  <c r="AN28" i="9"/>
  <c r="AN26" i="9"/>
  <c r="AN25" i="9"/>
  <c r="AN24" i="9"/>
  <c r="AN23" i="9"/>
  <c r="AN22" i="9"/>
  <c r="AN21" i="9"/>
  <c r="AN20" i="9"/>
  <c r="AM27" i="9"/>
  <c r="AN27" i="9" s="1"/>
  <c r="AN18" i="9"/>
  <c r="AN17" i="9"/>
  <c r="AN16" i="9"/>
  <c r="AN15" i="9"/>
  <c r="AN14" i="9"/>
  <c r="AN13" i="9"/>
  <c r="AN11" i="9"/>
  <c r="AM10" i="9"/>
  <c r="AN10" i="9" s="1"/>
  <c r="AN9" i="9"/>
  <c r="AM8" i="9"/>
  <c r="AN8" i="9" s="1"/>
  <c r="AM7" i="9"/>
  <c r="AN7" i="9" s="1"/>
  <c r="AM6" i="9"/>
  <c r="AN6" i="9" s="1"/>
  <c r="AO5" i="9"/>
  <c r="AM5" i="9"/>
  <c r="AN5" i="9" s="1"/>
  <c r="AN37" i="8"/>
  <c r="AN34" i="8"/>
  <c r="AN32" i="8"/>
  <c r="AN30" i="8"/>
  <c r="AN28" i="8"/>
  <c r="AN26" i="8"/>
  <c r="AN25" i="8"/>
  <c r="AN24" i="8"/>
  <c r="AN23" i="8"/>
  <c r="AN22" i="8"/>
  <c r="AN21" i="8"/>
  <c r="AN20" i="8"/>
  <c r="AM27" i="8"/>
  <c r="AN27" i="8" s="1"/>
  <c r="AM12" i="8"/>
  <c r="AN12" i="8" s="1"/>
  <c r="AN17" i="8"/>
  <c r="AN16" i="8"/>
  <c r="AN15" i="8"/>
  <c r="AN14" i="8"/>
  <c r="AN13" i="8"/>
  <c r="AN11" i="8"/>
  <c r="AM10" i="8"/>
  <c r="AN10" i="8" s="1"/>
  <c r="AN9" i="8"/>
  <c r="AM8" i="8"/>
  <c r="AN8" i="8" s="1"/>
  <c r="AM7" i="8"/>
  <c r="AN7" i="8" s="1"/>
  <c r="AM6" i="8"/>
  <c r="AN6" i="8" s="1"/>
  <c r="AO5" i="8"/>
  <c r="AM5" i="8"/>
  <c r="AN5" i="8" s="1"/>
  <c r="V15" i="9"/>
  <c r="U15" i="9"/>
  <c r="T15" i="9"/>
  <c r="S15" i="9"/>
  <c r="W14" i="9"/>
  <c r="K14" i="9"/>
  <c r="M14" i="9" s="1"/>
  <c r="J14" i="9"/>
  <c r="W13" i="9"/>
  <c r="K13" i="9"/>
  <c r="O13" i="9" s="1"/>
  <c r="J13" i="9"/>
  <c r="W12" i="9"/>
  <c r="K12" i="9"/>
  <c r="P12" i="9" s="1"/>
  <c r="J12" i="9"/>
  <c r="W11" i="9"/>
  <c r="K11" i="9"/>
  <c r="P11" i="9" s="1"/>
  <c r="J11" i="9"/>
  <c r="W10" i="9"/>
  <c r="K10" i="9"/>
  <c r="M10" i="9" s="1"/>
  <c r="J10" i="9"/>
  <c r="W9" i="9"/>
  <c r="K9" i="9"/>
  <c r="O9" i="9" s="1"/>
  <c r="J9" i="9"/>
  <c r="AB23" i="9" s="1"/>
  <c r="W8" i="9"/>
  <c r="K8" i="9"/>
  <c r="M8" i="9" s="1"/>
  <c r="J8" i="9"/>
  <c r="W7" i="9"/>
  <c r="K7" i="9"/>
  <c r="P7" i="9" s="1"/>
  <c r="J7" i="9"/>
  <c r="W6" i="9"/>
  <c r="K6" i="9"/>
  <c r="M6" i="9" s="1"/>
  <c r="J6" i="9"/>
  <c r="W5" i="9"/>
  <c r="K5" i="9"/>
  <c r="O5" i="9" s="1"/>
  <c r="J5" i="9"/>
  <c r="AB19" i="9" s="1"/>
  <c r="W4" i="9"/>
  <c r="K4" i="9"/>
  <c r="P4" i="9" s="1"/>
  <c r="J4" i="9"/>
  <c r="AB18" i="9" s="1"/>
  <c r="W3" i="9"/>
  <c r="K3" i="9"/>
  <c r="P3" i="9" s="1"/>
  <c r="J3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X25" i="8"/>
  <c r="X24" i="8"/>
  <c r="X23" i="8"/>
  <c r="X22" i="8"/>
  <c r="W25" i="8"/>
  <c r="W24" i="8"/>
  <c r="W23" i="8"/>
  <c r="W22" i="8"/>
  <c r="V25" i="8"/>
  <c r="V24" i="8"/>
  <c r="V23" i="8"/>
  <c r="V22" i="8"/>
  <c r="U24" i="8"/>
  <c r="T23" i="8"/>
  <c r="S22" i="8"/>
  <c r="R25" i="8"/>
  <c r="R24" i="8"/>
  <c r="R22" i="8"/>
  <c r="U25" i="8"/>
  <c r="T25" i="8"/>
  <c r="S25" i="8"/>
  <c r="T24" i="8"/>
  <c r="S24" i="8"/>
  <c r="U23" i="8"/>
  <c r="S23" i="8"/>
  <c r="R23" i="8"/>
  <c r="U22" i="8"/>
  <c r="T22" i="8"/>
  <c r="V15" i="8"/>
  <c r="U15" i="8"/>
  <c r="T15" i="8"/>
  <c r="S15" i="8"/>
  <c r="W14" i="8"/>
  <c r="K40" i="9" s="1"/>
  <c r="K14" i="8"/>
  <c r="M14" i="8" s="1"/>
  <c r="J14" i="8"/>
  <c r="AB28" i="8" s="1"/>
  <c r="W13" i="8"/>
  <c r="K39" i="9" s="1"/>
  <c r="K13" i="8"/>
  <c r="O13" i="8" s="1"/>
  <c r="J13" i="8"/>
  <c r="AB27" i="8" s="1"/>
  <c r="W12" i="8"/>
  <c r="K38" i="9" s="1"/>
  <c r="K12" i="8"/>
  <c r="M12" i="8" s="1"/>
  <c r="J12" i="8"/>
  <c r="AB26" i="8" s="1"/>
  <c r="W11" i="8"/>
  <c r="K37" i="9" s="1"/>
  <c r="K11" i="8"/>
  <c r="P11" i="8" s="1"/>
  <c r="J11" i="8"/>
  <c r="AB25" i="8" s="1"/>
  <c r="W10" i="8"/>
  <c r="K36" i="9" s="1"/>
  <c r="K10" i="8"/>
  <c r="M10" i="8" s="1"/>
  <c r="J10" i="8"/>
  <c r="AB24" i="8" s="1"/>
  <c r="W9" i="8"/>
  <c r="K35" i="9" s="1"/>
  <c r="K9" i="8"/>
  <c r="O9" i="8" s="1"/>
  <c r="J9" i="8"/>
  <c r="AB23" i="8" s="1"/>
  <c r="W8" i="8"/>
  <c r="K34" i="9" s="1"/>
  <c r="K8" i="8"/>
  <c r="P8" i="8" s="1"/>
  <c r="J8" i="8"/>
  <c r="AB22" i="8" s="1"/>
  <c r="W7" i="8"/>
  <c r="K33" i="9" s="1"/>
  <c r="K7" i="8"/>
  <c r="N7" i="8" s="1"/>
  <c r="J7" i="8"/>
  <c r="AB21" i="8" s="1"/>
  <c r="W6" i="8"/>
  <c r="K32" i="9" s="1"/>
  <c r="K6" i="8"/>
  <c r="M6" i="8" s="1"/>
  <c r="J6" i="8"/>
  <c r="AB20" i="8" s="1"/>
  <c r="W5" i="8"/>
  <c r="K31" i="9" s="1"/>
  <c r="K5" i="8"/>
  <c r="O5" i="8" s="1"/>
  <c r="J5" i="8"/>
  <c r="AB19" i="8" s="1"/>
  <c r="W4" i="8"/>
  <c r="K30" i="9" s="1"/>
  <c r="K4" i="8"/>
  <c r="P4" i="8" s="1"/>
  <c r="J4" i="8"/>
  <c r="AB18" i="8" s="1"/>
  <c r="W3" i="8"/>
  <c r="K29" i="9" s="1"/>
  <c r="K3" i="8"/>
  <c r="P3" i="8" s="1"/>
  <c r="J3" i="8"/>
  <c r="AB17" i="8" s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AB5" i="8" l="1"/>
  <c r="AB6" i="8"/>
  <c r="AB21" i="9"/>
  <c r="AA5" i="9"/>
  <c r="AA3" i="9"/>
  <c r="AA6" i="9"/>
  <c r="AA4" i="9"/>
  <c r="AB3" i="8"/>
  <c r="AB4" i="8"/>
  <c r="J37" i="9"/>
  <c r="R37" i="9" s="1"/>
  <c r="AB25" i="9"/>
  <c r="J32" i="9"/>
  <c r="R32" i="9" s="1"/>
  <c r="AB20" i="9"/>
  <c r="J40" i="9"/>
  <c r="R40" i="9" s="1"/>
  <c r="AB28" i="9"/>
  <c r="J29" i="9"/>
  <c r="R29" i="9" s="1"/>
  <c r="A42" i="9"/>
  <c r="AB17" i="9"/>
  <c r="J38" i="9"/>
  <c r="R38" i="9" s="1"/>
  <c r="AB26" i="9"/>
  <c r="J36" i="9"/>
  <c r="R36" i="9" s="1"/>
  <c r="AB24" i="9"/>
  <c r="J39" i="9"/>
  <c r="R39" i="9" s="1"/>
  <c r="AB27" i="9"/>
  <c r="J34" i="9"/>
  <c r="R34" i="9" s="1"/>
  <c r="AB22" i="9"/>
  <c r="J42" i="9"/>
  <c r="I42" i="9"/>
  <c r="G42" i="9"/>
  <c r="B42" i="9"/>
  <c r="H42" i="9"/>
  <c r="K42" i="9"/>
  <c r="K45" i="9"/>
  <c r="J45" i="9"/>
  <c r="I45" i="9"/>
  <c r="B45" i="9"/>
  <c r="G45" i="9"/>
  <c r="H45" i="9"/>
  <c r="A45" i="9"/>
  <c r="A47" i="9"/>
  <c r="K47" i="9"/>
  <c r="J47" i="9"/>
  <c r="H47" i="9"/>
  <c r="G47" i="9"/>
  <c r="I47" i="9"/>
  <c r="B47" i="9"/>
  <c r="B49" i="9"/>
  <c r="J49" i="9"/>
  <c r="H49" i="9"/>
  <c r="G49" i="9"/>
  <c r="A49" i="9"/>
  <c r="I49" i="9"/>
  <c r="K49" i="9"/>
  <c r="G51" i="9"/>
  <c r="H51" i="9"/>
  <c r="J51" i="9"/>
  <c r="I51" i="9"/>
  <c r="A51" i="9"/>
  <c r="K51" i="9"/>
  <c r="B51" i="9"/>
  <c r="J53" i="9"/>
  <c r="I53" i="9"/>
  <c r="B53" i="9"/>
  <c r="K53" i="9"/>
  <c r="H53" i="9"/>
  <c r="A53" i="9"/>
  <c r="G53" i="9"/>
  <c r="K50" i="9"/>
  <c r="I50" i="9"/>
  <c r="H50" i="9"/>
  <c r="G50" i="9"/>
  <c r="B50" i="9"/>
  <c r="A50" i="9"/>
  <c r="J50" i="9"/>
  <c r="K52" i="9"/>
  <c r="J52" i="9"/>
  <c r="I52" i="9"/>
  <c r="A52" i="9"/>
  <c r="G52" i="9"/>
  <c r="H52" i="9"/>
  <c r="B52" i="9"/>
  <c r="A48" i="9"/>
  <c r="I48" i="9"/>
  <c r="G48" i="9"/>
  <c r="B48" i="9"/>
  <c r="J35" i="9"/>
  <c r="R35" i="9" s="1"/>
  <c r="J48" i="9"/>
  <c r="H48" i="9"/>
  <c r="K48" i="9"/>
  <c r="K46" i="9"/>
  <c r="J46" i="9"/>
  <c r="J33" i="9"/>
  <c r="R33" i="9" s="1"/>
  <c r="I46" i="9"/>
  <c r="G46" i="9"/>
  <c r="A46" i="9"/>
  <c r="B46" i="9"/>
  <c r="H46" i="9"/>
  <c r="H44" i="9"/>
  <c r="J31" i="9"/>
  <c r="R31" i="9" s="1"/>
  <c r="J44" i="9"/>
  <c r="G44" i="9"/>
  <c r="I44" i="9"/>
  <c r="A44" i="9"/>
  <c r="K44" i="9"/>
  <c r="B44" i="9"/>
  <c r="J30" i="9"/>
  <c r="R30" i="9" s="1"/>
  <c r="I43" i="9"/>
  <c r="H43" i="9"/>
  <c r="J43" i="9"/>
  <c r="K43" i="9"/>
  <c r="A43" i="9"/>
  <c r="B43" i="9"/>
  <c r="G43" i="9"/>
  <c r="M11" i="8"/>
  <c r="N10" i="9"/>
  <c r="O6" i="9"/>
  <c r="L3" i="9"/>
  <c r="M3" i="9"/>
  <c r="M7" i="9"/>
  <c r="O3" i="9"/>
  <c r="N6" i="9"/>
  <c r="O10" i="9"/>
  <c r="P5" i="9"/>
  <c r="M11" i="9"/>
  <c r="J31" i="8"/>
  <c r="J44" i="8"/>
  <c r="H44" i="8"/>
  <c r="B44" i="8"/>
  <c r="A44" i="8"/>
  <c r="G44" i="8"/>
  <c r="I44" i="8"/>
  <c r="K44" i="8"/>
  <c r="L7" i="8"/>
  <c r="J38" i="8"/>
  <c r="I51" i="8"/>
  <c r="J51" i="8"/>
  <c r="H51" i="8"/>
  <c r="B51" i="8"/>
  <c r="K51" i="8"/>
  <c r="G51" i="8"/>
  <c r="A51" i="8"/>
  <c r="O11" i="9"/>
  <c r="O7" i="8"/>
  <c r="J36" i="8"/>
  <c r="K49" i="8"/>
  <c r="G49" i="8"/>
  <c r="A49" i="8"/>
  <c r="I49" i="8"/>
  <c r="J49" i="8"/>
  <c r="H49" i="8"/>
  <c r="B49" i="8"/>
  <c r="P9" i="9"/>
  <c r="N14" i="9"/>
  <c r="J29" i="8"/>
  <c r="K42" i="8"/>
  <c r="G42" i="8"/>
  <c r="A42" i="8"/>
  <c r="J42" i="8"/>
  <c r="H42" i="8"/>
  <c r="B42" i="8"/>
  <c r="I42" i="8"/>
  <c r="O14" i="9"/>
  <c r="J32" i="8"/>
  <c r="I45" i="8"/>
  <c r="J45" i="8"/>
  <c r="H45" i="8"/>
  <c r="B45" i="8"/>
  <c r="K45" i="8"/>
  <c r="G45" i="8"/>
  <c r="A45" i="8"/>
  <c r="J34" i="8"/>
  <c r="K47" i="8"/>
  <c r="G47" i="8"/>
  <c r="A47" i="8"/>
  <c r="I47" i="8"/>
  <c r="J47" i="8"/>
  <c r="H47" i="8"/>
  <c r="B47" i="8"/>
  <c r="J39" i="8"/>
  <c r="K52" i="8"/>
  <c r="A52" i="8"/>
  <c r="J52" i="8"/>
  <c r="H52" i="8"/>
  <c r="B52" i="8"/>
  <c r="G52" i="8"/>
  <c r="I52" i="8"/>
  <c r="P13" i="9"/>
  <c r="J37" i="8"/>
  <c r="J50" i="8"/>
  <c r="H50" i="8"/>
  <c r="B50" i="8"/>
  <c r="K50" i="8"/>
  <c r="G50" i="8"/>
  <c r="A50" i="8"/>
  <c r="I50" i="8"/>
  <c r="L7" i="9"/>
  <c r="J30" i="8"/>
  <c r="J43" i="8"/>
  <c r="H43" i="8"/>
  <c r="B43" i="8"/>
  <c r="K43" i="8"/>
  <c r="G43" i="8"/>
  <c r="A43" i="8"/>
  <c r="I43" i="8"/>
  <c r="J33" i="8"/>
  <c r="K46" i="8"/>
  <c r="G46" i="8"/>
  <c r="A46" i="8"/>
  <c r="I46" i="8"/>
  <c r="J46" i="8"/>
  <c r="H46" i="8"/>
  <c r="B46" i="8"/>
  <c r="J35" i="8"/>
  <c r="K48" i="8"/>
  <c r="G48" i="8"/>
  <c r="A48" i="8"/>
  <c r="H48" i="8"/>
  <c r="I48" i="8"/>
  <c r="J48" i="8"/>
  <c r="B48" i="8"/>
  <c r="J40" i="8"/>
  <c r="I53" i="8"/>
  <c r="J53" i="8"/>
  <c r="H53" i="8"/>
  <c r="B53" i="8"/>
  <c r="K53" i="8"/>
  <c r="G53" i="8"/>
  <c r="A53" i="8"/>
  <c r="O7" i="9"/>
  <c r="L11" i="9"/>
  <c r="M3" i="8"/>
  <c r="N3" i="8"/>
  <c r="O3" i="8"/>
  <c r="L3" i="8"/>
  <c r="N6" i="8"/>
  <c r="P7" i="8"/>
  <c r="N10" i="8"/>
  <c r="O11" i="8"/>
  <c r="O10" i="8"/>
  <c r="L11" i="8"/>
  <c r="L6" i="8"/>
  <c r="P9" i="8"/>
  <c r="N14" i="8"/>
  <c r="O14" i="8"/>
  <c r="P5" i="8"/>
  <c r="O6" i="8"/>
  <c r="M7" i="8"/>
  <c r="P13" i="8"/>
  <c r="P6" i="8"/>
  <c r="AN19" i="8"/>
  <c r="AN18" i="8"/>
  <c r="AN19" i="9"/>
  <c r="AM12" i="9"/>
  <c r="AN12" i="9" s="1"/>
  <c r="N3" i="9"/>
  <c r="L4" i="9"/>
  <c r="P6" i="9"/>
  <c r="N7" i="9"/>
  <c r="L8" i="9"/>
  <c r="P10" i="9"/>
  <c r="N11" i="9"/>
  <c r="L12" i="9"/>
  <c r="P14" i="9"/>
  <c r="N4" i="9"/>
  <c r="L5" i="9"/>
  <c r="N8" i="9"/>
  <c r="L9" i="9"/>
  <c r="N12" i="9"/>
  <c r="L13" i="9"/>
  <c r="O4" i="9"/>
  <c r="M5" i="9"/>
  <c r="O8" i="9"/>
  <c r="M9" i="9"/>
  <c r="O12" i="9"/>
  <c r="M13" i="9"/>
  <c r="M4" i="9"/>
  <c r="M12" i="9"/>
  <c r="N5" i="9"/>
  <c r="L6" i="9"/>
  <c r="P8" i="9"/>
  <c r="N9" i="9"/>
  <c r="L10" i="9"/>
  <c r="N13" i="9"/>
  <c r="L14" i="9"/>
  <c r="L4" i="8"/>
  <c r="L8" i="8"/>
  <c r="P10" i="8"/>
  <c r="N11" i="8"/>
  <c r="L12" i="8"/>
  <c r="P14" i="8"/>
  <c r="M8" i="8"/>
  <c r="N8" i="8"/>
  <c r="L9" i="8"/>
  <c r="N12" i="8"/>
  <c r="L13" i="8"/>
  <c r="M4" i="8"/>
  <c r="N4" i="8"/>
  <c r="L5" i="8"/>
  <c r="O4" i="8"/>
  <c r="M5" i="8"/>
  <c r="O8" i="8"/>
  <c r="M9" i="8"/>
  <c r="O12" i="8"/>
  <c r="M13" i="8"/>
  <c r="N9" i="8"/>
  <c r="L10" i="8"/>
  <c r="P12" i="8"/>
  <c r="N13" i="8"/>
  <c r="L14" i="8"/>
  <c r="N5" i="8"/>
  <c r="AN36" i="9" l="1"/>
  <c r="B9" i="8"/>
  <c r="B9" i="9"/>
  <c r="AN36" i="8"/>
  <c r="B5" i="9"/>
  <c r="Q47" i="9"/>
  <c r="Q53" i="9"/>
  <c r="Q45" i="9"/>
  <c r="Q42" i="9"/>
  <c r="Q49" i="9"/>
  <c r="Q51" i="9"/>
  <c r="Q52" i="9"/>
  <c r="Q50" i="9"/>
  <c r="Q43" i="9"/>
  <c r="Q44" i="9"/>
  <c r="Q46" i="9"/>
  <c r="Q48" i="9"/>
  <c r="B3" i="9"/>
  <c r="B12" i="8"/>
  <c r="Q44" i="8"/>
  <c r="Q43" i="8"/>
  <c r="Q52" i="8"/>
  <c r="Q47" i="8"/>
  <c r="Q42" i="8"/>
  <c r="Q48" i="8"/>
  <c r="Q50" i="8"/>
  <c r="B4" i="9"/>
  <c r="Q46" i="8"/>
  <c r="Q51" i="8"/>
  <c r="Q53" i="8"/>
  <c r="Q45" i="8"/>
  <c r="Q49" i="8"/>
  <c r="B14" i="9"/>
  <c r="B16" i="9"/>
  <c r="B11" i="8"/>
  <c r="B5" i="8"/>
  <c r="B6" i="8"/>
  <c r="B7" i="9"/>
  <c r="B6" i="9"/>
  <c r="B11" i="9"/>
  <c r="B12" i="9"/>
  <c r="B10" i="9"/>
  <c r="B15" i="9"/>
  <c r="B13" i="9"/>
  <c r="B8" i="9"/>
  <c r="B15" i="8"/>
  <c r="B16" i="8"/>
  <c r="B13" i="8"/>
  <c r="B3" i="8"/>
  <c r="B10" i="8"/>
  <c r="B14" i="8"/>
  <c r="B8" i="8"/>
  <c r="B7" i="8"/>
  <c r="B4" i="8"/>
  <c r="AM10" i="1"/>
  <c r="AM11" i="1"/>
  <c r="AM9" i="1"/>
  <c r="AN34" i="1"/>
  <c r="AN32" i="1"/>
  <c r="AN30" i="1"/>
  <c r="AN28" i="1"/>
  <c r="AN34" i="3"/>
  <c r="AN32" i="3"/>
  <c r="AN30" i="3"/>
  <c r="AN28" i="3"/>
  <c r="R15" i="10" s="1"/>
  <c r="AN34" i="4"/>
  <c r="AN30" i="4"/>
  <c r="AN28" i="4"/>
  <c r="AN34" i="5"/>
  <c r="AN32" i="5"/>
  <c r="AN28" i="5"/>
  <c r="AO5" i="5"/>
  <c r="AO5" i="4"/>
  <c r="AO5" i="3"/>
  <c r="U22" i="1"/>
  <c r="X3" i="1"/>
  <c r="X4" i="1"/>
  <c r="X5" i="1"/>
  <c r="X6" i="1"/>
  <c r="X7" i="1"/>
  <c r="X8" i="1"/>
  <c r="X9" i="1"/>
  <c r="X10" i="1"/>
  <c r="X11" i="1"/>
  <c r="X12" i="1"/>
  <c r="X13" i="1"/>
  <c r="X14" i="1"/>
  <c r="AN27" i="5"/>
  <c r="AN37" i="5"/>
  <c r="AN26" i="5"/>
  <c r="AN25" i="5"/>
  <c r="AN24" i="5"/>
  <c r="AN23" i="5"/>
  <c r="AN22" i="5"/>
  <c r="AN21" i="5"/>
  <c r="AN20" i="5"/>
  <c r="AN17" i="5"/>
  <c r="AN16" i="5"/>
  <c r="AN15" i="5"/>
  <c r="AN14" i="5"/>
  <c r="AN13" i="5"/>
  <c r="AN11" i="5"/>
  <c r="AN9" i="5"/>
  <c r="AM8" i="5"/>
  <c r="AA215" i="10" s="1"/>
  <c r="AB215" i="10" s="1"/>
  <c r="AM7" i="5"/>
  <c r="AM6" i="5"/>
  <c r="AM5" i="5"/>
  <c r="Z4" i="5"/>
  <c r="Z5" i="5"/>
  <c r="Z6" i="5"/>
  <c r="Z7" i="5"/>
  <c r="Z8" i="5"/>
  <c r="Z9" i="5"/>
  <c r="Z10" i="5"/>
  <c r="Z11" i="5"/>
  <c r="Z12" i="5"/>
  <c r="Z13" i="5"/>
  <c r="Z14" i="5"/>
  <c r="AN8" i="5" l="1"/>
  <c r="AB238" i="10"/>
  <c r="AN10" i="5"/>
  <c r="AA217" i="10"/>
  <c r="AB217" i="10" s="1"/>
  <c r="AN7" i="5"/>
  <c r="AA214" i="10"/>
  <c r="AB214" i="10" s="1"/>
  <c r="R238" i="10"/>
  <c r="H15" i="10"/>
  <c r="AB237" i="10"/>
  <c r="AN5" i="5"/>
  <c r="AA212" i="10"/>
  <c r="AB212" i="10" s="1"/>
  <c r="AN6" i="5"/>
  <c r="AA213" i="10"/>
  <c r="AB213" i="10" s="1"/>
  <c r="AN12" i="5"/>
  <c r="AA219" i="10"/>
  <c r="AB219" i="10" s="1"/>
  <c r="AN18" i="5"/>
  <c r="AN19" i="5"/>
  <c r="AA225" i="10" l="1"/>
  <c r="AB231" i="10" s="1"/>
  <c r="C4" i="5"/>
  <c r="D39" i="5" s="1"/>
  <c r="C5" i="5"/>
  <c r="C6" i="5"/>
  <c r="C7" i="5"/>
  <c r="C8" i="5"/>
  <c r="D43" i="5" s="1"/>
  <c r="C9" i="5"/>
  <c r="C10" i="5"/>
  <c r="D45" i="5" s="1"/>
  <c r="C11" i="5"/>
  <c r="D46" i="5" s="1"/>
  <c r="C12" i="5"/>
  <c r="D47" i="5" s="1"/>
  <c r="C13" i="5"/>
  <c r="D48" i="5" s="1"/>
  <c r="C14" i="5"/>
  <c r="D49" i="5" s="1"/>
  <c r="C15" i="5"/>
  <c r="D50" i="5" s="1"/>
  <c r="C16" i="5"/>
  <c r="D51" i="5" s="1"/>
  <c r="C3" i="5"/>
  <c r="D44" i="5"/>
  <c r="D42" i="5"/>
  <c r="D41" i="5"/>
  <c r="D40" i="5"/>
  <c r="D38" i="5"/>
  <c r="Z3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T15" i="5"/>
  <c r="U15" i="5"/>
  <c r="V15" i="5"/>
  <c r="S15" i="5"/>
  <c r="T15" i="4"/>
  <c r="U15" i="4"/>
  <c r="V15" i="4"/>
  <c r="S15" i="4"/>
  <c r="W14" i="5"/>
  <c r="K14" i="5"/>
  <c r="L14" i="5" s="1"/>
  <c r="J14" i="5"/>
  <c r="W13" i="5"/>
  <c r="K13" i="5"/>
  <c r="O13" i="5" s="1"/>
  <c r="J13" i="5"/>
  <c r="W12" i="5"/>
  <c r="K12" i="5"/>
  <c r="P12" i="5" s="1"/>
  <c r="J12" i="5"/>
  <c r="W11" i="5"/>
  <c r="K11" i="5"/>
  <c r="M11" i="5" s="1"/>
  <c r="J11" i="5"/>
  <c r="W10" i="5"/>
  <c r="K10" i="5"/>
  <c r="P10" i="5" s="1"/>
  <c r="J10" i="5"/>
  <c r="W9" i="5"/>
  <c r="K35" i="8" s="1"/>
  <c r="R35" i="8" s="1"/>
  <c r="K9" i="5"/>
  <c r="N9" i="5" s="1"/>
  <c r="J9" i="5"/>
  <c r="AB23" i="5" s="1"/>
  <c r="W8" i="5"/>
  <c r="K34" i="8" s="1"/>
  <c r="R34" i="8" s="1"/>
  <c r="K8" i="5"/>
  <c r="N8" i="5" s="1"/>
  <c r="J8" i="5"/>
  <c r="AB22" i="5" s="1"/>
  <c r="W7" i="5"/>
  <c r="K33" i="8" s="1"/>
  <c r="R33" i="8" s="1"/>
  <c r="K7" i="5"/>
  <c r="O7" i="5" s="1"/>
  <c r="J7" i="5"/>
  <c r="W6" i="5"/>
  <c r="K32" i="8" s="1"/>
  <c r="R32" i="8" s="1"/>
  <c r="K6" i="5"/>
  <c r="L6" i="5" s="1"/>
  <c r="J6" i="5"/>
  <c r="W5" i="5"/>
  <c r="K31" i="8" s="1"/>
  <c r="R31" i="8" s="1"/>
  <c r="K5" i="5"/>
  <c r="O5" i="5" s="1"/>
  <c r="J5" i="5"/>
  <c r="W4" i="5"/>
  <c r="K30" i="8" s="1"/>
  <c r="R30" i="8" s="1"/>
  <c r="K4" i="5"/>
  <c r="P4" i="5" s="1"/>
  <c r="J4" i="5"/>
  <c r="AB18" i="5" s="1"/>
  <c r="W3" i="5"/>
  <c r="K29" i="8" s="1"/>
  <c r="R29" i="8" s="1"/>
  <c r="K3" i="5"/>
  <c r="M3" i="5" s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W11" i="4"/>
  <c r="H37" i="5" s="1"/>
  <c r="W12" i="4"/>
  <c r="H38" i="5" s="1"/>
  <c r="W13" i="4"/>
  <c r="H39" i="5" s="1"/>
  <c r="W14" i="4"/>
  <c r="H40" i="5" s="1"/>
  <c r="AM27" i="4"/>
  <c r="AN27" i="4" s="1"/>
  <c r="AN18" i="4"/>
  <c r="AM8" i="4"/>
  <c r="AM7" i="4"/>
  <c r="Q214" i="10" s="1"/>
  <c r="R214" i="10" s="1"/>
  <c r="AM6" i="4"/>
  <c r="AM5" i="4"/>
  <c r="Q212" i="10" s="1"/>
  <c r="R212" i="10" s="1"/>
  <c r="AG26" i="4"/>
  <c r="AG25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7" i="4"/>
  <c r="AG6" i="4"/>
  <c r="AG5" i="4"/>
  <c r="AN37" i="4"/>
  <c r="AN26" i="4"/>
  <c r="AN25" i="4"/>
  <c r="AN24" i="4"/>
  <c r="AN23" i="4"/>
  <c r="AN22" i="4"/>
  <c r="AN21" i="4"/>
  <c r="AN20" i="4"/>
  <c r="AN17" i="4"/>
  <c r="AN16" i="4"/>
  <c r="AN15" i="4"/>
  <c r="AN14" i="4"/>
  <c r="AN13" i="4"/>
  <c r="AN11" i="4"/>
  <c r="AM10" i="4"/>
  <c r="AN9" i="4"/>
  <c r="Z4" i="4"/>
  <c r="Z5" i="4"/>
  <c r="Z6" i="4"/>
  <c r="Z7" i="4"/>
  <c r="Z8" i="4"/>
  <c r="Z9" i="4"/>
  <c r="Z10" i="4"/>
  <c r="Z11" i="4"/>
  <c r="Z12" i="4"/>
  <c r="Z13" i="4"/>
  <c r="Z14" i="4"/>
  <c r="Z3" i="4"/>
  <c r="P18" i="4" l="1"/>
  <c r="P20" i="4"/>
  <c r="P19" i="4"/>
  <c r="P17" i="4"/>
  <c r="AB3" i="5"/>
  <c r="AB6" i="5"/>
  <c r="AB5" i="5"/>
  <c r="AB4" i="5"/>
  <c r="G29" i="5"/>
  <c r="AB17" i="5"/>
  <c r="G37" i="5"/>
  <c r="AB25" i="5"/>
  <c r="G32" i="5"/>
  <c r="AB20" i="5"/>
  <c r="G40" i="5"/>
  <c r="AB28" i="5"/>
  <c r="G38" i="5"/>
  <c r="AB26" i="5"/>
  <c r="G33" i="5"/>
  <c r="AB21" i="5"/>
  <c r="G36" i="5"/>
  <c r="AB24" i="5"/>
  <c r="G31" i="5"/>
  <c r="AB19" i="5"/>
  <c r="G39" i="5"/>
  <c r="AB27" i="5"/>
  <c r="AN8" i="4"/>
  <c r="Q215" i="10"/>
  <c r="R215" i="10" s="1"/>
  <c r="AN10" i="4"/>
  <c r="Q217" i="10"/>
  <c r="R217" i="10" s="1"/>
  <c r="AN5" i="4"/>
  <c r="AN7" i="4"/>
  <c r="R233" i="10"/>
  <c r="AN39" i="5"/>
  <c r="R237" i="10"/>
  <c r="AN6" i="4"/>
  <c r="Q213" i="10"/>
  <c r="R213" i="10" s="1"/>
  <c r="L11" i="5"/>
  <c r="K39" i="8"/>
  <c r="R39" i="8" s="1"/>
  <c r="K37" i="8"/>
  <c r="R37" i="8" s="1"/>
  <c r="K40" i="8"/>
  <c r="R40" i="8" s="1"/>
  <c r="K38" i="8"/>
  <c r="R38" i="8" s="1"/>
  <c r="K36" i="8"/>
  <c r="R36" i="8" s="1"/>
  <c r="M6" i="5"/>
  <c r="M9" i="5"/>
  <c r="P9" i="5"/>
  <c r="L5" i="5"/>
  <c r="L3" i="5"/>
  <c r="N3" i="5"/>
  <c r="O3" i="5"/>
  <c r="N5" i="5"/>
  <c r="M14" i="5"/>
  <c r="O8" i="5"/>
  <c r="P5" i="5"/>
  <c r="N7" i="5"/>
  <c r="L10" i="5"/>
  <c r="N11" i="5"/>
  <c r="L13" i="5"/>
  <c r="Q46" i="5"/>
  <c r="Q66" i="5"/>
  <c r="P7" i="5"/>
  <c r="L9" i="5"/>
  <c r="M10" i="5"/>
  <c r="O11" i="5"/>
  <c r="N13" i="5"/>
  <c r="Q71" i="5"/>
  <c r="Q51" i="5"/>
  <c r="Q48" i="5"/>
  <c r="Q68" i="5"/>
  <c r="N10" i="5"/>
  <c r="P13" i="5"/>
  <c r="G30" i="5"/>
  <c r="Q65" i="5"/>
  <c r="Q45" i="5"/>
  <c r="Q70" i="5"/>
  <c r="Q50" i="5"/>
  <c r="O9" i="5"/>
  <c r="O10" i="5"/>
  <c r="Q74" i="5"/>
  <c r="Q54" i="5"/>
  <c r="Q47" i="5"/>
  <c r="Q67" i="5"/>
  <c r="Q76" i="5"/>
  <c r="Q56" i="5"/>
  <c r="Q53" i="5"/>
  <c r="Q73" i="5"/>
  <c r="G35" i="5"/>
  <c r="Q69" i="5"/>
  <c r="Q49" i="5"/>
  <c r="Q52" i="5"/>
  <c r="Q72" i="5"/>
  <c r="Q75" i="5"/>
  <c r="Q55" i="5"/>
  <c r="G34" i="5"/>
  <c r="L4" i="5"/>
  <c r="N6" i="5"/>
  <c r="P8" i="5"/>
  <c r="L12" i="5"/>
  <c r="N14" i="5"/>
  <c r="P3" i="5"/>
  <c r="M4" i="5"/>
  <c r="O6" i="5"/>
  <c r="L7" i="5"/>
  <c r="P11" i="5"/>
  <c r="M12" i="5"/>
  <c r="O14" i="5"/>
  <c r="N4" i="5"/>
  <c r="P6" i="5"/>
  <c r="M7" i="5"/>
  <c r="N12" i="5"/>
  <c r="P14" i="5"/>
  <c r="O4" i="5"/>
  <c r="O12" i="5"/>
  <c r="M5" i="5"/>
  <c r="L8" i="5"/>
  <c r="M13" i="5"/>
  <c r="M8" i="5"/>
  <c r="AM12" i="4"/>
  <c r="AN19" i="4"/>
  <c r="R234" i="10" s="1"/>
  <c r="B9" i="5" l="1"/>
  <c r="AN12" i="4"/>
  <c r="AN36" i="4" s="1"/>
  <c r="Q219" i="10"/>
  <c r="R219" i="10" s="1"/>
  <c r="B7" i="5"/>
  <c r="B5" i="5"/>
  <c r="B4" i="5"/>
  <c r="B3" i="5"/>
  <c r="B12" i="5"/>
  <c r="B11" i="5"/>
  <c r="B15" i="5"/>
  <c r="B16" i="5"/>
  <c r="B13" i="5"/>
  <c r="B10" i="5"/>
  <c r="B14" i="5"/>
  <c r="B8" i="5"/>
  <c r="B6" i="5"/>
  <c r="V25" i="4" l="1"/>
  <c r="U25" i="4"/>
  <c r="T25" i="4"/>
  <c r="S25" i="4"/>
  <c r="R25" i="4"/>
  <c r="O20" i="3" s="1"/>
  <c r="V24" i="4"/>
  <c r="U24" i="4"/>
  <c r="T24" i="4"/>
  <c r="S24" i="4"/>
  <c r="R24" i="4"/>
  <c r="O19" i="3" s="1"/>
  <c r="V23" i="4"/>
  <c r="U23" i="4"/>
  <c r="T23" i="4"/>
  <c r="S23" i="4"/>
  <c r="R23" i="4"/>
  <c r="O18" i="3" s="1"/>
  <c r="V22" i="4"/>
  <c r="U22" i="4"/>
  <c r="T22" i="4"/>
  <c r="S22" i="4"/>
  <c r="R22" i="4"/>
  <c r="O17" i="3" s="1"/>
  <c r="C4" i="4"/>
  <c r="D39" i="4" s="1"/>
  <c r="C5" i="4"/>
  <c r="D40" i="4" s="1"/>
  <c r="C6" i="4"/>
  <c r="D41" i="4" s="1"/>
  <c r="C7" i="4"/>
  <c r="D42" i="4" s="1"/>
  <c r="C8" i="4"/>
  <c r="D43" i="4" s="1"/>
  <c r="C9" i="4"/>
  <c r="D44" i="4" s="1"/>
  <c r="C10" i="4"/>
  <c r="D45" i="4" s="1"/>
  <c r="C11" i="4"/>
  <c r="D46" i="4" s="1"/>
  <c r="C12" i="4"/>
  <c r="D47" i="4" s="1"/>
  <c r="C13" i="4"/>
  <c r="D48" i="4" s="1"/>
  <c r="C14" i="4"/>
  <c r="D49" i="4" s="1"/>
  <c r="C15" i="4"/>
  <c r="D50" i="4" s="1"/>
  <c r="C16" i="4"/>
  <c r="D51" i="4" s="1"/>
  <c r="C3" i="4"/>
  <c r="D38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K14" i="4"/>
  <c r="O14" i="4" s="1"/>
  <c r="J14" i="4"/>
  <c r="K53" i="4" s="1"/>
  <c r="K13" i="4"/>
  <c r="P13" i="4" s="1"/>
  <c r="J13" i="4"/>
  <c r="K12" i="4"/>
  <c r="O12" i="4" s="1"/>
  <c r="J12" i="4"/>
  <c r="K51" i="4" s="1"/>
  <c r="K11" i="4"/>
  <c r="P11" i="4" s="1"/>
  <c r="J11" i="4"/>
  <c r="W10" i="4"/>
  <c r="K10" i="4"/>
  <c r="P10" i="4" s="1"/>
  <c r="J10" i="4"/>
  <c r="K49" i="4" s="1"/>
  <c r="W9" i="4"/>
  <c r="K9" i="4"/>
  <c r="M9" i="4" s="1"/>
  <c r="J9" i="4"/>
  <c r="W8" i="4"/>
  <c r="K8" i="4"/>
  <c r="P8" i="4" s="1"/>
  <c r="J8" i="4"/>
  <c r="W7" i="4"/>
  <c r="K7" i="4"/>
  <c r="O7" i="4" s="1"/>
  <c r="J7" i="4"/>
  <c r="K46" i="4" s="1"/>
  <c r="W6" i="4"/>
  <c r="K6" i="4"/>
  <c r="N6" i="4" s="1"/>
  <c r="J6" i="4"/>
  <c r="W5" i="4"/>
  <c r="K5" i="4"/>
  <c r="N5" i="4" s="1"/>
  <c r="J5" i="4"/>
  <c r="W4" i="4"/>
  <c r="K4" i="4"/>
  <c r="L4" i="4" s="1"/>
  <c r="J4" i="4"/>
  <c r="W3" i="4"/>
  <c r="H29" i="5" s="1"/>
  <c r="K3" i="4"/>
  <c r="P3" i="4" s="1"/>
  <c r="J3" i="4"/>
  <c r="K42" i="4" s="1"/>
  <c r="W33" i="3"/>
  <c r="V8" i="1"/>
  <c r="V7" i="1"/>
  <c r="V6" i="1"/>
  <c r="V5" i="1"/>
  <c r="V4" i="1"/>
  <c r="K45" i="4" l="1"/>
  <c r="AB4" i="4"/>
  <c r="H35" i="5"/>
  <c r="H34" i="5"/>
  <c r="H33" i="5"/>
  <c r="H32" i="5"/>
  <c r="H31" i="5"/>
  <c r="H30" i="5"/>
  <c r="T15" i="1"/>
  <c r="A19" i="10"/>
  <c r="D19" i="10" s="1"/>
  <c r="H24" i="10" s="1"/>
  <c r="AB25" i="4"/>
  <c r="K50" i="4"/>
  <c r="AB18" i="4"/>
  <c r="K43" i="4"/>
  <c r="AB27" i="4"/>
  <c r="K52" i="4"/>
  <c r="AB22" i="4"/>
  <c r="K47" i="4"/>
  <c r="AB19" i="4"/>
  <c r="K44" i="4"/>
  <c r="AB23" i="4"/>
  <c r="K48" i="4"/>
  <c r="AB21" i="4"/>
  <c r="AB5" i="4"/>
  <c r="AB3" i="4"/>
  <c r="AB6" i="4"/>
  <c r="B5" i="1"/>
  <c r="B5" i="10" s="1"/>
  <c r="H36" i="5"/>
  <c r="P7" i="4"/>
  <c r="J38" i="4"/>
  <c r="AB26" i="4"/>
  <c r="J36" i="4"/>
  <c r="AB24" i="4"/>
  <c r="J40" i="4"/>
  <c r="AB28" i="4"/>
  <c r="AB17" i="4"/>
  <c r="J32" i="4"/>
  <c r="AB20" i="4"/>
  <c r="N4" i="4"/>
  <c r="P6" i="4"/>
  <c r="O4" i="4"/>
  <c r="N9" i="4"/>
  <c r="O9" i="4"/>
  <c r="L12" i="4"/>
  <c r="N12" i="4"/>
  <c r="G42" i="4"/>
  <c r="B42" i="4"/>
  <c r="A42" i="4"/>
  <c r="I42" i="4"/>
  <c r="H42" i="4"/>
  <c r="I46" i="4"/>
  <c r="H46" i="4"/>
  <c r="G46" i="4"/>
  <c r="B46" i="4"/>
  <c r="A46" i="4"/>
  <c r="B48" i="4"/>
  <c r="A48" i="4"/>
  <c r="I48" i="4"/>
  <c r="H48" i="4"/>
  <c r="G48" i="4"/>
  <c r="L10" i="4"/>
  <c r="J29" i="4"/>
  <c r="J33" i="4"/>
  <c r="H44" i="4"/>
  <c r="G44" i="4"/>
  <c r="B44" i="4"/>
  <c r="A44" i="4"/>
  <c r="I44" i="4"/>
  <c r="O10" i="4"/>
  <c r="P12" i="4"/>
  <c r="N7" i="4"/>
  <c r="L9" i="4"/>
  <c r="B52" i="4"/>
  <c r="A52" i="4"/>
  <c r="I52" i="4"/>
  <c r="G52" i="4"/>
  <c r="H52" i="4"/>
  <c r="J39" i="4"/>
  <c r="J31" i="4"/>
  <c r="H43" i="4"/>
  <c r="B43" i="4"/>
  <c r="A43" i="4"/>
  <c r="G43" i="4"/>
  <c r="I43" i="4"/>
  <c r="G50" i="4"/>
  <c r="H50" i="4"/>
  <c r="I50" i="4"/>
  <c r="A50" i="4"/>
  <c r="B50" i="4"/>
  <c r="J30" i="4"/>
  <c r="H45" i="4"/>
  <c r="G45" i="4"/>
  <c r="B45" i="4"/>
  <c r="A45" i="4"/>
  <c r="I45" i="4"/>
  <c r="L13" i="4"/>
  <c r="M4" i="4"/>
  <c r="I47" i="4"/>
  <c r="A47" i="4"/>
  <c r="H47" i="4"/>
  <c r="G47" i="4"/>
  <c r="B47" i="4"/>
  <c r="A51" i="4"/>
  <c r="G51" i="4"/>
  <c r="B51" i="4"/>
  <c r="H51" i="4"/>
  <c r="I51" i="4"/>
  <c r="M13" i="4"/>
  <c r="B49" i="4"/>
  <c r="A49" i="4"/>
  <c r="I49" i="4"/>
  <c r="H49" i="4"/>
  <c r="G49" i="4"/>
  <c r="N13" i="4"/>
  <c r="J35" i="4"/>
  <c r="G53" i="4"/>
  <c r="A53" i="4"/>
  <c r="I53" i="4"/>
  <c r="B53" i="4"/>
  <c r="H53" i="4"/>
  <c r="J34" i="4"/>
  <c r="AN39" i="4"/>
  <c r="L14" i="4"/>
  <c r="L3" i="4"/>
  <c r="L11" i="4"/>
  <c r="O13" i="4"/>
  <c r="M14" i="4"/>
  <c r="M3" i="4"/>
  <c r="M11" i="4"/>
  <c r="N14" i="4"/>
  <c r="N3" i="4"/>
  <c r="N11" i="4"/>
  <c r="P14" i="4"/>
  <c r="L7" i="4"/>
  <c r="O11" i="4"/>
  <c r="O3" i="4"/>
  <c r="O6" i="4"/>
  <c r="M7" i="4"/>
  <c r="M8" i="4"/>
  <c r="P9" i="4"/>
  <c r="M12" i="4"/>
  <c r="L5" i="4"/>
  <c r="M10" i="4"/>
  <c r="P4" i="4"/>
  <c r="M5" i="4"/>
  <c r="L8" i="4"/>
  <c r="N10" i="4"/>
  <c r="N8" i="4"/>
  <c r="O5" i="4"/>
  <c r="P5" i="4"/>
  <c r="M6" i="4"/>
  <c r="O8" i="4"/>
  <c r="L6" i="4"/>
  <c r="B11" i="4" l="1"/>
  <c r="J46" i="4"/>
  <c r="J51" i="4"/>
  <c r="J52" i="4"/>
  <c r="B16" i="4"/>
  <c r="B15" i="4"/>
  <c r="B14" i="4"/>
  <c r="B13" i="4"/>
  <c r="B8" i="4"/>
  <c r="B7" i="4"/>
  <c r="B6" i="4"/>
  <c r="J43" i="4"/>
  <c r="J42" i="4"/>
  <c r="J50" i="4"/>
  <c r="J44" i="4"/>
  <c r="J45" i="4"/>
  <c r="B3" i="4"/>
  <c r="B5" i="4"/>
  <c r="B4" i="4"/>
  <c r="J47" i="4"/>
  <c r="B10" i="4"/>
  <c r="B9" i="4"/>
  <c r="B12" i="4"/>
  <c r="J53" i="4"/>
  <c r="J49" i="4"/>
  <c r="J48" i="4"/>
  <c r="AN19" i="3" l="1"/>
  <c r="AM12" i="3"/>
  <c r="H219" i="10" s="1"/>
  <c r="AM10" i="3"/>
  <c r="H217" i="10" s="1"/>
  <c r="I217" i="10" s="1"/>
  <c r="AM8" i="3"/>
  <c r="AM7" i="3"/>
  <c r="H214" i="10" s="1"/>
  <c r="I214" i="10" s="1"/>
  <c r="AM5" i="3"/>
  <c r="H212" i="10" s="1"/>
  <c r="I212" i="10" s="1"/>
  <c r="AN37" i="3"/>
  <c r="AN26" i="3"/>
  <c r="AN25" i="3"/>
  <c r="AN24" i="3"/>
  <c r="AN23" i="3"/>
  <c r="AN22" i="3"/>
  <c r="AN21" i="3"/>
  <c r="AN20" i="3"/>
  <c r="AN17" i="3"/>
  <c r="AN16" i="3"/>
  <c r="AN15" i="3"/>
  <c r="AN14" i="3"/>
  <c r="AN13" i="3"/>
  <c r="AN11" i="3"/>
  <c r="AN10" i="3"/>
  <c r="AN9" i="3"/>
  <c r="AN7" i="3"/>
  <c r="X43" i="3"/>
  <c r="R44" i="3"/>
  <c r="X45" i="3"/>
  <c r="X46" i="3"/>
  <c r="R47" i="3"/>
  <c r="X48" i="3"/>
  <c r="X49" i="3"/>
  <c r="X50" i="3"/>
  <c r="R52" i="3"/>
  <c r="Q44" i="3"/>
  <c r="W28" i="3"/>
  <c r="Q50" i="3"/>
  <c r="W52" i="3"/>
  <c r="W24" i="3"/>
  <c r="X42" i="3"/>
  <c r="R42" i="3"/>
  <c r="V19" i="3"/>
  <c r="V20" i="3"/>
  <c r="V21" i="3"/>
  <c r="Y14" i="3"/>
  <c r="Y13" i="3"/>
  <c r="Y12" i="3"/>
  <c r="Y11" i="3"/>
  <c r="Y10" i="3"/>
  <c r="Y9" i="3"/>
  <c r="Y8" i="3"/>
  <c r="Y7" i="3"/>
  <c r="Y6" i="3"/>
  <c r="Y5" i="3"/>
  <c r="Y4" i="3"/>
  <c r="Y3" i="3"/>
  <c r="Y21" i="3"/>
  <c r="X21" i="3"/>
  <c r="W21" i="3"/>
  <c r="N22" i="1" s="1"/>
  <c r="Y20" i="3"/>
  <c r="X20" i="3"/>
  <c r="W20" i="3"/>
  <c r="N21" i="1" s="1"/>
  <c r="Y19" i="3"/>
  <c r="X19" i="3"/>
  <c r="W19" i="3"/>
  <c r="N20" i="1" s="1"/>
  <c r="Y18" i="3"/>
  <c r="X18" i="3"/>
  <c r="W18" i="3"/>
  <c r="N19" i="1" s="1"/>
  <c r="C4" i="3"/>
  <c r="D39" i="3" s="1"/>
  <c r="C5" i="3"/>
  <c r="D40" i="3" s="1"/>
  <c r="C6" i="3"/>
  <c r="D41" i="3" s="1"/>
  <c r="C7" i="3"/>
  <c r="D42" i="3" s="1"/>
  <c r="C8" i="3"/>
  <c r="D43" i="3" s="1"/>
  <c r="C9" i="3"/>
  <c r="D44" i="3" s="1"/>
  <c r="C10" i="3"/>
  <c r="D45" i="3" s="1"/>
  <c r="C11" i="3"/>
  <c r="D46" i="3" s="1"/>
  <c r="C12" i="3"/>
  <c r="D47" i="3" s="1"/>
  <c r="C13" i="3"/>
  <c r="D48" i="3" s="1"/>
  <c r="C14" i="3"/>
  <c r="D49" i="3" s="1"/>
  <c r="C15" i="3"/>
  <c r="D50" i="3" s="1"/>
  <c r="C16" i="3"/>
  <c r="D51" i="3" s="1"/>
  <c r="C3" i="3"/>
  <c r="D38" i="3" s="1"/>
  <c r="T15" i="3"/>
  <c r="S15" i="3"/>
  <c r="R15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N23" i="1"/>
  <c r="AN22" i="1"/>
  <c r="AN16" i="1"/>
  <c r="AN15" i="1"/>
  <c r="AN26" i="1"/>
  <c r="AN25" i="1"/>
  <c r="AN24" i="1"/>
  <c r="AN21" i="1"/>
  <c r="AN20" i="1"/>
  <c r="AN17" i="1"/>
  <c r="AN14" i="1"/>
  <c r="AM8" i="1"/>
  <c r="AM7" i="1"/>
  <c r="AN7" i="1" s="1"/>
  <c r="AM5" i="1"/>
  <c r="AM6" i="1"/>
  <c r="AN6" i="1" s="1"/>
  <c r="AN37" i="1"/>
  <c r="AN18" i="1"/>
  <c r="AN13" i="1"/>
  <c r="AM12" i="1"/>
  <c r="AN11" i="1"/>
  <c r="AN10" i="1"/>
  <c r="AN9" i="1"/>
  <c r="G22" i="1"/>
  <c r="H22" i="1" s="1"/>
  <c r="G23" i="1"/>
  <c r="H23" i="1" s="1"/>
  <c r="G21" i="1"/>
  <c r="H21" i="1" s="1"/>
  <c r="U21" i="1"/>
  <c r="U20" i="1"/>
  <c r="U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D39" i="1" s="1"/>
  <c r="C5" i="1"/>
  <c r="D40" i="1" s="1"/>
  <c r="C6" i="1"/>
  <c r="D41" i="1" s="1"/>
  <c r="C7" i="1"/>
  <c r="D42" i="1" s="1"/>
  <c r="C8" i="1"/>
  <c r="D43" i="1" s="1"/>
  <c r="C9" i="1"/>
  <c r="D44" i="1" s="1"/>
  <c r="C10" i="1"/>
  <c r="D45" i="1" s="1"/>
  <c r="C11" i="1"/>
  <c r="D46" i="1" s="1"/>
  <c r="C12" i="1"/>
  <c r="D47" i="1" s="1"/>
  <c r="C13" i="1"/>
  <c r="D48" i="1" s="1"/>
  <c r="C14" i="1"/>
  <c r="D49" i="1" s="1"/>
  <c r="C15" i="1"/>
  <c r="D50" i="1" s="1"/>
  <c r="C16" i="1"/>
  <c r="D51" i="1" s="1"/>
  <c r="C3" i="1"/>
  <c r="D38" i="1" s="1"/>
  <c r="U4" i="1"/>
  <c r="U5" i="1"/>
  <c r="U6" i="1"/>
  <c r="U7" i="1"/>
  <c r="U8" i="1"/>
  <c r="U9" i="1"/>
  <c r="U10" i="1"/>
  <c r="U11" i="1"/>
  <c r="U12" i="1"/>
  <c r="U13" i="1"/>
  <c r="U14" i="1"/>
  <c r="U3" i="1"/>
  <c r="R15" i="1"/>
  <c r="S15" i="1"/>
  <c r="Q15" i="1"/>
  <c r="B11" i="1"/>
  <c r="A61" i="2"/>
  <c r="L14" i="2"/>
  <c r="L13" i="2"/>
  <c r="L12" i="2"/>
  <c r="L11" i="2"/>
  <c r="T38" i="5" l="1"/>
  <c r="S38" i="8" s="1"/>
  <c r="T37" i="5"/>
  <c r="S37" i="8" s="1"/>
  <c r="T40" i="5"/>
  <c r="S40" i="8" s="1"/>
  <c r="T39" i="5"/>
  <c r="S39" i="8" s="1"/>
  <c r="AA4" i="3"/>
  <c r="K29" i="3" s="1"/>
  <c r="Q29" i="3" s="1"/>
  <c r="R41" i="3"/>
  <c r="R50" i="3"/>
  <c r="R45" i="3"/>
  <c r="AA5" i="3"/>
  <c r="K30" i="3" s="1"/>
  <c r="Q30" i="3" s="1"/>
  <c r="AA6" i="3"/>
  <c r="K31" i="3" s="1"/>
  <c r="Q31" i="3" s="1"/>
  <c r="X41" i="3"/>
  <c r="Y41" i="3" s="1"/>
  <c r="X52" i="3"/>
  <c r="R14" i="10"/>
  <c r="AA3" i="3"/>
  <c r="K28" i="3" s="1"/>
  <c r="Q28" i="3" s="1"/>
  <c r="Z3" i="3"/>
  <c r="Q45" i="3"/>
  <c r="W41" i="3"/>
  <c r="Z41" i="3" s="1"/>
  <c r="W45" i="3"/>
  <c r="Z45" i="3" s="1"/>
  <c r="AN8" i="3"/>
  <c r="H215" i="10"/>
  <c r="I215" i="10" s="1"/>
  <c r="AN5" i="3"/>
  <c r="G11" i="1"/>
  <c r="E46" i="3" s="1"/>
  <c r="B11" i="10"/>
  <c r="AN5" i="1"/>
  <c r="AN19" i="1"/>
  <c r="H11" i="10" s="1"/>
  <c r="AM27" i="1"/>
  <c r="AN27" i="1" s="1"/>
  <c r="H10" i="10" s="1"/>
  <c r="AN12" i="1"/>
  <c r="AN12" i="3"/>
  <c r="I219" i="10"/>
  <c r="AN8" i="1"/>
  <c r="Q41" i="3"/>
  <c r="Z6" i="3"/>
  <c r="X44" i="3"/>
  <c r="Q52" i="3"/>
  <c r="W35" i="3"/>
  <c r="W44" i="3"/>
  <c r="Z44" i="3" s="1"/>
  <c r="W27" i="3"/>
  <c r="W51" i="3"/>
  <c r="W34" i="3"/>
  <c r="Q42" i="3"/>
  <c r="W25" i="3"/>
  <c r="Q49" i="3"/>
  <c r="W32" i="3"/>
  <c r="W48" i="3"/>
  <c r="W31" i="3"/>
  <c r="W46" i="3"/>
  <c r="Z46" i="3" s="1"/>
  <c r="W29" i="3"/>
  <c r="Z7" i="3"/>
  <c r="Z8" i="3"/>
  <c r="Z4" i="3"/>
  <c r="Z14" i="3"/>
  <c r="Z13" i="3"/>
  <c r="Z10" i="3"/>
  <c r="Z11" i="3"/>
  <c r="Z12" i="3"/>
  <c r="W47" i="3"/>
  <c r="W30" i="3"/>
  <c r="Z9" i="3"/>
  <c r="Q43" i="3"/>
  <c r="W26" i="3"/>
  <c r="Z5" i="3"/>
  <c r="AA52" i="3"/>
  <c r="K37" i="4"/>
  <c r="R37" i="4" s="1"/>
  <c r="K39" i="4"/>
  <c r="R39" i="4" s="1"/>
  <c r="K40" i="4"/>
  <c r="R40" i="4" s="1"/>
  <c r="K38" i="4"/>
  <c r="R38" i="4" s="1"/>
  <c r="AN18" i="3"/>
  <c r="R11" i="10" s="1"/>
  <c r="Q51" i="3"/>
  <c r="AN39" i="1"/>
  <c r="X35" i="3"/>
  <c r="Z35" i="3"/>
  <c r="Y35" i="3"/>
  <c r="Z34" i="3"/>
  <c r="Y34" i="3"/>
  <c r="X34" i="3"/>
  <c r="X33" i="3"/>
  <c r="Z33" i="3"/>
  <c r="Y33" i="3"/>
  <c r="Y32" i="3"/>
  <c r="Z32" i="3"/>
  <c r="X32" i="3"/>
  <c r="R43" i="3"/>
  <c r="Q47" i="3"/>
  <c r="R51" i="3"/>
  <c r="AB52" i="3"/>
  <c r="AN39" i="3"/>
  <c r="AM27" i="3"/>
  <c r="AN27" i="3" s="1"/>
  <c r="R10" i="10" s="1"/>
  <c r="Y52" i="3"/>
  <c r="R48" i="3"/>
  <c r="X47" i="3"/>
  <c r="R46" i="3"/>
  <c r="Q48" i="3"/>
  <c r="Q46" i="3"/>
  <c r="R49" i="3"/>
  <c r="X51" i="3"/>
  <c r="W43" i="3"/>
  <c r="Z43" i="3" s="1"/>
  <c r="W50" i="3"/>
  <c r="W42" i="3"/>
  <c r="Z42" i="3" s="1"/>
  <c r="W49" i="3"/>
  <c r="B16" i="1"/>
  <c r="B12" i="1"/>
  <c r="B13" i="1"/>
  <c r="B10" i="1"/>
  <c r="B14" i="1"/>
  <c r="B15" i="1"/>
  <c r="G5" i="1"/>
  <c r="B7" i="1"/>
  <c r="G7" i="1" s="1"/>
  <c r="B4" i="1"/>
  <c r="B4" i="10" s="1"/>
  <c r="B3" i="1"/>
  <c r="B3" i="10" s="1"/>
  <c r="B6" i="1"/>
  <c r="B6" i="10" s="1"/>
  <c r="B8" i="1"/>
  <c r="B8" i="10" s="1"/>
  <c r="B9" i="1"/>
  <c r="B9" i="10" s="1"/>
  <c r="AA41" i="3" l="1"/>
  <c r="Y45" i="3"/>
  <c r="AA45" i="3"/>
  <c r="AB45" i="3"/>
  <c r="AA48" i="3"/>
  <c r="AB48" i="3"/>
  <c r="Y44" i="3"/>
  <c r="AA44" i="3"/>
  <c r="T45" i="3"/>
  <c r="AB41" i="3"/>
  <c r="AB44" i="3"/>
  <c r="B37" i="4"/>
  <c r="S45" i="3"/>
  <c r="AN36" i="1"/>
  <c r="D11" i="1"/>
  <c r="F11" i="1" s="1"/>
  <c r="C6" i="10"/>
  <c r="U38" i="8"/>
  <c r="U37" i="8"/>
  <c r="S39" i="9"/>
  <c r="U39" i="9" s="1"/>
  <c r="U40" i="8"/>
  <c r="C3" i="10"/>
  <c r="C16" i="10"/>
  <c r="AA46" i="3"/>
  <c r="AB51" i="3"/>
  <c r="C9" i="10"/>
  <c r="F46" i="1"/>
  <c r="C7" i="10"/>
  <c r="C14" i="10"/>
  <c r="C8" i="10"/>
  <c r="C13" i="10"/>
  <c r="C15" i="10"/>
  <c r="C4" i="10"/>
  <c r="C5" i="10"/>
  <c r="C10" i="10"/>
  <c r="C11" i="10"/>
  <c r="C12" i="10"/>
  <c r="G15" i="1"/>
  <c r="F50" i="1" s="1"/>
  <c r="B15" i="10"/>
  <c r="G14" i="1"/>
  <c r="F49" i="1" s="1"/>
  <c r="B14" i="10"/>
  <c r="G10" i="1"/>
  <c r="D10" i="1" s="1"/>
  <c r="F10" i="1" s="1"/>
  <c r="B10" i="10"/>
  <c r="G13" i="1"/>
  <c r="E48" i="3" s="1"/>
  <c r="B13" i="10"/>
  <c r="G12" i="1"/>
  <c r="E47" i="3" s="1"/>
  <c r="B12" i="10"/>
  <c r="G16" i="1"/>
  <c r="F51" i="1" s="1"/>
  <c r="B16" i="10"/>
  <c r="E42" i="3"/>
  <c r="B7" i="10"/>
  <c r="G3" i="1"/>
  <c r="D3" i="1" s="1"/>
  <c r="F3" i="1" s="1"/>
  <c r="E40" i="3"/>
  <c r="F40" i="1"/>
  <c r="S42" i="3"/>
  <c r="Y46" i="3"/>
  <c r="AA51" i="3"/>
  <c r="T42" i="3"/>
  <c r="S44" i="3"/>
  <c r="U45" i="3"/>
  <c r="AB46" i="3"/>
  <c r="U41" i="3"/>
  <c r="Y51" i="3"/>
  <c r="AA47" i="3"/>
  <c r="AB47" i="3"/>
  <c r="AA33" i="3"/>
  <c r="AA35" i="3"/>
  <c r="B34" i="4"/>
  <c r="AA34" i="3"/>
  <c r="B36" i="4"/>
  <c r="AA32" i="3"/>
  <c r="B35" i="4"/>
  <c r="B14" i="3"/>
  <c r="L14" i="10" s="1"/>
  <c r="D5" i="1"/>
  <c r="T41" i="3"/>
  <c r="S46" i="3"/>
  <c r="T43" i="3"/>
  <c r="U44" i="3"/>
  <c r="S41" i="3"/>
  <c r="T44" i="3"/>
  <c r="U46" i="3"/>
  <c r="U42" i="3"/>
  <c r="S43" i="3"/>
  <c r="T46" i="3"/>
  <c r="U43" i="3"/>
  <c r="B12" i="3"/>
  <c r="L12" i="10" s="1"/>
  <c r="AA49" i="3"/>
  <c r="AB49" i="3"/>
  <c r="Y49" i="3"/>
  <c r="AA42" i="3"/>
  <c r="Y42" i="3"/>
  <c r="AB42" i="3"/>
  <c r="AA50" i="3"/>
  <c r="AB50" i="3"/>
  <c r="Y50" i="3"/>
  <c r="AA43" i="3"/>
  <c r="Y43" i="3"/>
  <c r="AB43" i="3"/>
  <c r="G6" i="1"/>
  <c r="G8" i="1"/>
  <c r="G9" i="1"/>
  <c r="G4" i="1"/>
  <c r="W7" i="3" l="1"/>
  <c r="W4" i="3"/>
  <c r="D11" i="10"/>
  <c r="S40" i="9"/>
  <c r="U40" i="9" s="1"/>
  <c r="S37" i="9"/>
  <c r="U37" i="9" s="1"/>
  <c r="U39" i="8"/>
  <c r="S38" i="9"/>
  <c r="U38" i="9" s="1"/>
  <c r="D15" i="1"/>
  <c r="F15" i="1" s="1"/>
  <c r="E49" i="3"/>
  <c r="G14" i="3" s="1"/>
  <c r="F49" i="3" s="1"/>
  <c r="M14" i="10" s="1"/>
  <c r="D14" i="1"/>
  <c r="F14" i="1" s="1"/>
  <c r="D13" i="1"/>
  <c r="F13" i="1" s="1"/>
  <c r="E50" i="3"/>
  <c r="D16" i="1"/>
  <c r="F16" i="1" s="1"/>
  <c r="D12" i="1"/>
  <c r="F12" i="1" s="1"/>
  <c r="E51" i="3"/>
  <c r="D7" i="1"/>
  <c r="F7" i="1" s="1"/>
  <c r="F42" i="1"/>
  <c r="F48" i="1"/>
  <c r="F45" i="1"/>
  <c r="E45" i="3"/>
  <c r="F5" i="1"/>
  <c r="D5" i="10"/>
  <c r="F47" i="1"/>
  <c r="D3" i="10"/>
  <c r="D10" i="10"/>
  <c r="E63" i="3"/>
  <c r="G12" i="3"/>
  <c r="F47" i="3" s="1"/>
  <c r="M12" i="10" s="1"/>
  <c r="E39" i="3"/>
  <c r="F39" i="1"/>
  <c r="E44" i="3"/>
  <c r="F44" i="1"/>
  <c r="E38" i="3"/>
  <c r="F38" i="1"/>
  <c r="E43" i="3"/>
  <c r="F43" i="1"/>
  <c r="E41" i="3"/>
  <c r="F41" i="1"/>
  <c r="W3" i="3"/>
  <c r="W6" i="3"/>
  <c r="W8" i="3"/>
  <c r="W5" i="3"/>
  <c r="D9" i="1"/>
  <c r="D6" i="1"/>
  <c r="D4" i="1"/>
  <c r="D8" i="1"/>
  <c r="V5" i="3" l="1"/>
  <c r="V8" i="3"/>
  <c r="V10" i="3"/>
  <c r="V9" i="3"/>
  <c r="T35" i="5" s="1"/>
  <c r="B9" i="3"/>
  <c r="L9" i="10" s="1"/>
  <c r="V4" i="3"/>
  <c r="B5" i="3"/>
  <c r="V6" i="3"/>
  <c r="V7" i="3"/>
  <c r="B4" i="3"/>
  <c r="L4" i="10" s="1"/>
  <c r="V3" i="3"/>
  <c r="B11" i="3"/>
  <c r="E65" i="3"/>
  <c r="D14" i="10"/>
  <c r="D13" i="10"/>
  <c r="D15" i="10"/>
  <c r="D16" i="10"/>
  <c r="E49" i="4"/>
  <c r="E65" i="4" s="1"/>
  <c r="D14" i="3"/>
  <c r="F14" i="3" s="1"/>
  <c r="D12" i="10"/>
  <c r="D7" i="10"/>
  <c r="F4" i="1"/>
  <c r="D4" i="10"/>
  <c r="F6" i="1"/>
  <c r="D6" i="10"/>
  <c r="F9" i="1"/>
  <c r="D9" i="10"/>
  <c r="F8" i="1"/>
  <c r="D8" i="10"/>
  <c r="D12" i="3"/>
  <c r="F12" i="3" s="1"/>
  <c r="E47" i="4"/>
  <c r="E63" i="4" s="1"/>
  <c r="F52" i="1"/>
  <c r="T36" i="5" l="1"/>
  <c r="S36" i="8" s="1"/>
  <c r="U36" i="8" s="1"/>
  <c r="T34" i="5"/>
  <c r="S34" i="4"/>
  <c r="T33" i="5"/>
  <c r="S33" i="4"/>
  <c r="T31" i="5"/>
  <c r="S31" i="4"/>
  <c r="T30" i="5"/>
  <c r="S30" i="4"/>
  <c r="T32" i="5"/>
  <c r="S32" i="8" s="1"/>
  <c r="U32" i="8" s="1"/>
  <c r="S32" i="4"/>
  <c r="B13" i="3"/>
  <c r="L13" i="10" s="1"/>
  <c r="B3" i="3"/>
  <c r="L3" i="10" s="1"/>
  <c r="B16" i="3"/>
  <c r="B8" i="3"/>
  <c r="L8" i="10" s="1"/>
  <c r="B6" i="3"/>
  <c r="L6" i="10" s="1"/>
  <c r="B15" i="3"/>
  <c r="AM6" i="3"/>
  <c r="H213" i="10" s="1"/>
  <c r="I213" i="10" s="1"/>
  <c r="K19" i="10"/>
  <c r="M19" i="10" s="1"/>
  <c r="O24" i="10" s="1"/>
  <c r="B7" i="3"/>
  <c r="L7" i="10" s="1"/>
  <c r="B10" i="3"/>
  <c r="Z31" i="3"/>
  <c r="Y31" i="3"/>
  <c r="K36" i="4"/>
  <c r="R36" i="4" s="1"/>
  <c r="X31" i="3"/>
  <c r="Z29" i="3"/>
  <c r="Y29" i="3"/>
  <c r="K34" i="4"/>
  <c r="R34" i="4" s="1"/>
  <c r="X29" i="3"/>
  <c r="U15" i="3"/>
  <c r="S35" i="8"/>
  <c r="U35" i="8" s="1"/>
  <c r="K35" i="4"/>
  <c r="R35" i="4" s="1"/>
  <c r="X30" i="3"/>
  <c r="Y30" i="3"/>
  <c r="Z30" i="3"/>
  <c r="Z27" i="3"/>
  <c r="K32" i="4"/>
  <c r="R32" i="4" s="1"/>
  <c r="X27" i="3"/>
  <c r="Y27" i="3"/>
  <c r="X24" i="3"/>
  <c r="Y24" i="3"/>
  <c r="T29" i="5"/>
  <c r="S29" i="8" s="1"/>
  <c r="Z24" i="3"/>
  <c r="K29" i="4"/>
  <c r="R29" i="4" s="1"/>
  <c r="S29" i="4"/>
  <c r="L5" i="10"/>
  <c r="G5" i="3"/>
  <c r="G4" i="3"/>
  <c r="K30" i="4"/>
  <c r="R30" i="4" s="1"/>
  <c r="X25" i="3"/>
  <c r="Z25" i="3"/>
  <c r="Y25" i="3"/>
  <c r="G9" i="3"/>
  <c r="G11" i="3"/>
  <c r="L11" i="10"/>
  <c r="K31" i="4"/>
  <c r="R31" i="4" s="1"/>
  <c r="X26" i="3"/>
  <c r="Z26" i="3"/>
  <c r="S31" i="8"/>
  <c r="Y26" i="3"/>
  <c r="Z28" i="3"/>
  <c r="K33" i="4"/>
  <c r="R33" i="4" s="1"/>
  <c r="X28" i="3"/>
  <c r="Y28" i="3"/>
  <c r="N14" i="10"/>
  <c r="G18" i="1"/>
  <c r="AG27" i="1" s="1"/>
  <c r="AG28" i="1" s="1"/>
  <c r="G14" i="4"/>
  <c r="F49" i="4" s="1"/>
  <c r="AN38" i="1"/>
  <c r="D17" i="10"/>
  <c r="F19" i="10" s="1"/>
  <c r="G2" i="10" s="1"/>
  <c r="N12" i="10"/>
  <c r="G12" i="4"/>
  <c r="F47" i="4" s="1"/>
  <c r="L15" i="10" l="1"/>
  <c r="G15" i="3"/>
  <c r="L16" i="10"/>
  <c r="G16" i="3"/>
  <c r="L10" i="10"/>
  <c r="G10" i="3"/>
  <c r="F45" i="3" s="1"/>
  <c r="M10" i="10" s="1"/>
  <c r="AA29" i="3"/>
  <c r="AN6" i="3"/>
  <c r="AN36" i="3" s="1"/>
  <c r="G13" i="3"/>
  <c r="E48" i="4" s="1"/>
  <c r="G13" i="4" s="1"/>
  <c r="G3" i="3"/>
  <c r="E38" i="4" s="1"/>
  <c r="G3" i="4" s="1"/>
  <c r="F38" i="4" s="1"/>
  <c r="D15" i="3"/>
  <c r="G6" i="3"/>
  <c r="E41" i="4" s="1"/>
  <c r="G6" i="4" s="1"/>
  <c r="U34" i="4"/>
  <c r="G8" i="3"/>
  <c r="D8" i="3" s="1"/>
  <c r="AA31" i="3"/>
  <c r="G7" i="3"/>
  <c r="F42" i="3" s="1"/>
  <c r="M7" i="10" s="1"/>
  <c r="U34" i="5"/>
  <c r="S36" i="9"/>
  <c r="U36" i="9" s="1"/>
  <c r="S34" i="8"/>
  <c r="U34" i="8" s="1"/>
  <c r="U33" i="5"/>
  <c r="AA27" i="3"/>
  <c r="AA30" i="3"/>
  <c r="S35" i="9"/>
  <c r="U35" i="9" s="1"/>
  <c r="AA26" i="3"/>
  <c r="U33" i="4"/>
  <c r="U31" i="8"/>
  <c r="S31" i="9"/>
  <c r="U31" i="9" s="1"/>
  <c r="U31" i="5"/>
  <c r="U32" i="5"/>
  <c r="AA28" i="3"/>
  <c r="AA25" i="3"/>
  <c r="U30" i="4"/>
  <c r="AA24" i="3"/>
  <c r="U31" i="4"/>
  <c r="S33" i="8"/>
  <c r="U33" i="8" s="1"/>
  <c r="S30" i="8"/>
  <c r="U30" i="8" s="1"/>
  <c r="U29" i="4"/>
  <c r="F46" i="3"/>
  <c r="M11" i="10" s="1"/>
  <c r="E46" i="4"/>
  <c r="D11" i="3"/>
  <c r="S29" i="9"/>
  <c r="U29" i="9" s="1"/>
  <c r="U29" i="8"/>
  <c r="U29" i="5"/>
  <c r="N19" i="10"/>
  <c r="F44" i="3"/>
  <c r="M9" i="10" s="1"/>
  <c r="D9" i="3"/>
  <c r="E44" i="4"/>
  <c r="G9" i="4" s="1"/>
  <c r="F44" i="4" s="1"/>
  <c r="D4" i="3"/>
  <c r="E39" i="4"/>
  <c r="G4" i="4" s="1"/>
  <c r="F39" i="4" s="1"/>
  <c r="F39" i="3"/>
  <c r="M4" i="10" s="1"/>
  <c r="F40" i="3"/>
  <c r="M5" i="10" s="1"/>
  <c r="D5" i="3"/>
  <c r="E40" i="4"/>
  <c r="G5" i="4" s="1"/>
  <c r="D5" i="4" s="1"/>
  <c r="U32" i="4"/>
  <c r="U30" i="5"/>
  <c r="S32" i="9"/>
  <c r="U32" i="9" s="1"/>
  <c r="AH28" i="1"/>
  <c r="E49" i="5"/>
  <c r="D14" i="4"/>
  <c r="F14" i="4" s="1"/>
  <c r="D12" i="4"/>
  <c r="F12" i="4" s="1"/>
  <c r="E47" i="5"/>
  <c r="G12" i="5" s="1"/>
  <c r="F47" i="5" s="1"/>
  <c r="G14" i="5" l="1"/>
  <c r="F49" i="5" s="1"/>
  <c r="F41" i="3"/>
  <c r="M6" i="10" s="1"/>
  <c r="D13" i="3"/>
  <c r="E64" i="3" s="1"/>
  <c r="F48" i="3"/>
  <c r="M13" i="10" s="1"/>
  <c r="F50" i="3"/>
  <c r="M15" i="10" s="1"/>
  <c r="N15" i="10" s="1"/>
  <c r="E43" i="4"/>
  <c r="G8" i="4" s="1"/>
  <c r="F43" i="4" s="1"/>
  <c r="N4" i="10"/>
  <c r="D10" i="3"/>
  <c r="E61" i="3" s="1"/>
  <c r="E45" i="4"/>
  <c r="F43" i="3"/>
  <c r="M8" i="10" s="1"/>
  <c r="N8" i="10" s="1"/>
  <c r="F38" i="3"/>
  <c r="M3" i="10" s="1"/>
  <c r="D3" i="3"/>
  <c r="E54" i="3" s="1"/>
  <c r="E50" i="4"/>
  <c r="G15" i="4" s="1"/>
  <c r="D15" i="4" s="1"/>
  <c r="D6" i="3"/>
  <c r="S34" i="9"/>
  <c r="U34" i="9" s="1"/>
  <c r="E42" i="4"/>
  <c r="G7" i="4" s="1"/>
  <c r="D7" i="3"/>
  <c r="N7" i="10" s="1"/>
  <c r="F51" i="3"/>
  <c r="M16" i="10" s="1"/>
  <c r="D16" i="3"/>
  <c r="E51" i="4"/>
  <c r="G16" i="4" s="1"/>
  <c r="N9" i="10"/>
  <c r="S33" i="9"/>
  <c r="U33" i="9" s="1"/>
  <c r="D4" i="4"/>
  <c r="F4" i="4" s="1"/>
  <c r="E39" i="5"/>
  <c r="G4" i="5" s="1"/>
  <c r="F39" i="5" s="1"/>
  <c r="E40" i="5"/>
  <c r="G5" i="5" s="1"/>
  <c r="F40" i="5" s="1"/>
  <c r="F48" i="4"/>
  <c r="D13" i="4"/>
  <c r="E48" i="5"/>
  <c r="G13" i="5" s="1"/>
  <c r="D9" i="4"/>
  <c r="F9" i="4" s="1"/>
  <c r="E44" i="5"/>
  <c r="G9" i="5" s="1"/>
  <c r="F44" i="5" s="1"/>
  <c r="F4" i="3"/>
  <c r="E55" i="3"/>
  <c r="F41" i="4"/>
  <c r="E41" i="5"/>
  <c r="D6" i="4"/>
  <c r="F8" i="3"/>
  <c r="E59" i="3"/>
  <c r="F9" i="3"/>
  <c r="E60" i="3"/>
  <c r="N11" i="10"/>
  <c r="F11" i="3"/>
  <c r="E62" i="3"/>
  <c r="G11" i="4"/>
  <c r="F46" i="4" s="1"/>
  <c r="N24" i="10"/>
  <c r="R24" i="10"/>
  <c r="S30" i="9"/>
  <c r="U30" i="9" s="1"/>
  <c r="F40" i="4"/>
  <c r="N5" i="10"/>
  <c r="E56" i="3"/>
  <c r="F5" i="3"/>
  <c r="F15" i="3"/>
  <c r="E66" i="3"/>
  <c r="Q3" i="10"/>
  <c r="R3" i="10" s="1"/>
  <c r="Q226" i="10"/>
  <c r="R226" i="10" s="1"/>
  <c r="H12" i="10"/>
  <c r="AN36" i="5"/>
  <c r="AG31" i="1"/>
  <c r="E49" i="8"/>
  <c r="G14" i="8" s="1"/>
  <c r="D14" i="8" s="1"/>
  <c r="F14" i="8" s="1"/>
  <c r="D14" i="5"/>
  <c r="F14" i="5" s="1"/>
  <c r="D12" i="5"/>
  <c r="F12" i="5" s="1"/>
  <c r="E47" i="8"/>
  <c r="G12" i="8" s="1"/>
  <c r="D12" i="8" s="1"/>
  <c r="F12" i="8" s="1"/>
  <c r="F5" i="4"/>
  <c r="E56" i="4"/>
  <c r="E38" i="5"/>
  <c r="D3" i="4"/>
  <c r="F16" i="3" l="1"/>
  <c r="E67" i="3"/>
  <c r="G10" i="4"/>
  <c r="E45" i="5" s="1"/>
  <c r="G10" i="5" s="1"/>
  <c r="F45" i="5" s="1"/>
  <c r="N13" i="10"/>
  <c r="N6" i="10"/>
  <c r="F10" i="3"/>
  <c r="F13" i="3"/>
  <c r="E43" i="5"/>
  <c r="G8" i="5" s="1"/>
  <c r="E43" i="8" s="1"/>
  <c r="G8" i="8" s="1"/>
  <c r="D8" i="8" s="1"/>
  <c r="F8" i="8" s="1"/>
  <c r="D8" i="4"/>
  <c r="F8" i="4" s="1"/>
  <c r="F45" i="4"/>
  <c r="F50" i="4"/>
  <c r="F6" i="3"/>
  <c r="G18" i="3" s="1"/>
  <c r="AG28" i="3" s="1"/>
  <c r="AG29" i="3" s="1"/>
  <c r="N10" i="10"/>
  <c r="E57" i="3"/>
  <c r="F3" i="3"/>
  <c r="N3" i="10"/>
  <c r="E50" i="5"/>
  <c r="E58" i="3"/>
  <c r="F7" i="3"/>
  <c r="N16" i="10"/>
  <c r="AN38" i="3"/>
  <c r="F42" i="4"/>
  <c r="E42" i="5"/>
  <c r="G7" i="5" s="1"/>
  <c r="D7" i="4"/>
  <c r="E55" i="4"/>
  <c r="E60" i="4"/>
  <c r="E40" i="8"/>
  <c r="G5" i="8" s="1"/>
  <c r="E40" i="9" s="1"/>
  <c r="G5" i="9" s="1"/>
  <c r="D5" i="9" s="1"/>
  <c r="F5" i="9" s="1"/>
  <c r="E39" i="8"/>
  <c r="G4" i="8" s="1"/>
  <c r="D4" i="8" s="1"/>
  <c r="F4" i="8" s="1"/>
  <c r="D4" i="5"/>
  <c r="F4" i="5" s="1"/>
  <c r="D5" i="5"/>
  <c r="F5" i="5" s="1"/>
  <c r="D9" i="5"/>
  <c r="F9" i="5" s="1"/>
  <c r="F13" i="4"/>
  <c r="E64" i="4"/>
  <c r="E44" i="8"/>
  <c r="G9" i="8" s="1"/>
  <c r="E44" i="9" s="1"/>
  <c r="G9" i="9" s="1"/>
  <c r="D9" i="9" s="1"/>
  <c r="F9" i="9" s="1"/>
  <c r="F6" i="4"/>
  <c r="E57" i="4"/>
  <c r="D11" i="4"/>
  <c r="E46" i="5"/>
  <c r="F15" i="4"/>
  <c r="E66" i="4"/>
  <c r="G6" i="5"/>
  <c r="F41" i="5" s="1"/>
  <c r="F48" i="5"/>
  <c r="Y11" i="1"/>
  <c r="AA226" i="10"/>
  <c r="AB226" i="10" s="1"/>
  <c r="AB236" i="10" s="1"/>
  <c r="AB239" i="10" s="1"/>
  <c r="AB240" i="10" s="1"/>
  <c r="AB241" i="10" s="1"/>
  <c r="E49" i="9"/>
  <c r="G14" i="9" s="1"/>
  <c r="D14" i="9" s="1"/>
  <c r="F14" i="9" s="1"/>
  <c r="E47" i="9"/>
  <c r="G12" i="9" s="1"/>
  <c r="D12" i="9" s="1"/>
  <c r="F12" i="9" s="1"/>
  <c r="F3" i="4"/>
  <c r="E54" i="4"/>
  <c r="G3" i="5"/>
  <c r="F38" i="5" s="1"/>
  <c r="E51" i="5"/>
  <c r="G16" i="5" s="1"/>
  <c r="F51" i="4"/>
  <c r="D16" i="4"/>
  <c r="G15" i="5" l="1"/>
  <c r="E50" i="8" s="1"/>
  <c r="G15" i="8" s="1"/>
  <c r="D10" i="4"/>
  <c r="F10" i="4" s="1"/>
  <c r="E59" i="4"/>
  <c r="E68" i="3"/>
  <c r="H224" i="10" s="1"/>
  <c r="N17" i="10"/>
  <c r="P19" i="10" s="1"/>
  <c r="Q2" i="10" s="1"/>
  <c r="R8" i="10" s="1"/>
  <c r="F43" i="5"/>
  <c r="D8" i="5"/>
  <c r="F8" i="5" s="1"/>
  <c r="AN41" i="3"/>
  <c r="AN42" i="3" s="1"/>
  <c r="R9" i="10" s="1"/>
  <c r="D15" i="5"/>
  <c r="F15" i="5" s="1"/>
  <c r="F50" i="5"/>
  <c r="E39" i="9"/>
  <c r="G4" i="9" s="1"/>
  <c r="D4" i="9" s="1"/>
  <c r="F4" i="9" s="1"/>
  <c r="E43" i="9"/>
  <c r="G8" i="9" s="1"/>
  <c r="D8" i="9" s="1"/>
  <c r="F8" i="9" s="1"/>
  <c r="F42" i="5"/>
  <c r="D7" i="5"/>
  <c r="F7" i="5" s="1"/>
  <c r="E42" i="8"/>
  <c r="G7" i="8" s="1"/>
  <c r="D5" i="8"/>
  <c r="F5" i="8" s="1"/>
  <c r="F7" i="4"/>
  <c r="E58" i="4"/>
  <c r="D9" i="8"/>
  <c r="F9" i="8" s="1"/>
  <c r="D6" i="5"/>
  <c r="F6" i="5" s="1"/>
  <c r="E41" i="8"/>
  <c r="G6" i="8" s="1"/>
  <c r="G11" i="5"/>
  <c r="F46" i="5" s="1"/>
  <c r="F11" i="4"/>
  <c r="G18" i="4" s="1"/>
  <c r="AG28" i="4" s="1"/>
  <c r="AG29" i="4" s="1"/>
  <c r="E62" i="4"/>
  <c r="D10" i="5"/>
  <c r="F10" i="5" s="1"/>
  <c r="E45" i="8"/>
  <c r="G10" i="8" s="1"/>
  <c r="E48" i="8"/>
  <c r="G13" i="8" s="1"/>
  <c r="D13" i="5"/>
  <c r="F13" i="5" s="1"/>
  <c r="AH29" i="3"/>
  <c r="AG31" i="3"/>
  <c r="AA11" i="3" s="1"/>
  <c r="G3" i="10"/>
  <c r="H3" i="10" s="1"/>
  <c r="AN41" i="1"/>
  <c r="F16" i="4"/>
  <c r="E67" i="4"/>
  <c r="E38" i="8"/>
  <c r="G3" i="8" s="1"/>
  <c r="D3" i="5"/>
  <c r="F3" i="5" s="1"/>
  <c r="F51" i="5"/>
  <c r="AN38" i="4"/>
  <c r="D15" i="8" l="1"/>
  <c r="F15" i="8" s="1"/>
  <c r="E50" i="9"/>
  <c r="G15" i="9" s="1"/>
  <c r="D15" i="9" s="1"/>
  <c r="F15" i="9" s="1"/>
  <c r="E61" i="4"/>
  <c r="E68" i="4" s="1"/>
  <c r="Q224" i="10" s="1"/>
  <c r="Q225" i="10" s="1"/>
  <c r="R231" i="10" s="1"/>
  <c r="R13" i="10"/>
  <c r="R16" i="10" s="1"/>
  <c r="R17" i="10" s="1"/>
  <c r="R18" i="10" s="1"/>
  <c r="D7" i="8"/>
  <c r="F7" i="8" s="1"/>
  <c r="E42" i="9"/>
  <c r="G7" i="9" s="1"/>
  <c r="D7" i="9" s="1"/>
  <c r="F7" i="9" s="1"/>
  <c r="E48" i="9"/>
  <c r="G13" i="9" s="1"/>
  <c r="D13" i="9" s="1"/>
  <c r="F13" i="9" s="1"/>
  <c r="D13" i="8"/>
  <c r="F13" i="8" s="1"/>
  <c r="AG31" i="4"/>
  <c r="AB11" i="4" s="1"/>
  <c r="AH29" i="4"/>
  <c r="E45" i="9"/>
  <c r="G10" i="9" s="1"/>
  <c r="D10" i="9" s="1"/>
  <c r="F10" i="9" s="1"/>
  <c r="D10" i="8"/>
  <c r="F10" i="8" s="1"/>
  <c r="D11" i="5"/>
  <c r="F11" i="5" s="1"/>
  <c r="G18" i="5" s="1"/>
  <c r="AG28" i="5" s="1"/>
  <c r="AG29" i="5" s="1"/>
  <c r="E46" i="8"/>
  <c r="G11" i="8" s="1"/>
  <c r="D6" i="8"/>
  <c r="F6" i="8" s="1"/>
  <c r="E41" i="9"/>
  <c r="G6" i="9" s="1"/>
  <c r="D6" i="9" s="1"/>
  <c r="F6" i="9" s="1"/>
  <c r="AN41" i="4"/>
  <c r="AN42" i="4" s="1"/>
  <c r="R232" i="10" s="1"/>
  <c r="AN44" i="3"/>
  <c r="AN42" i="1"/>
  <c r="H9" i="10" s="1"/>
  <c r="E38" i="9"/>
  <c r="G3" i="9" s="1"/>
  <c r="D3" i="9" s="1"/>
  <c r="F3" i="9" s="1"/>
  <c r="D3" i="8"/>
  <c r="F3" i="8" s="1"/>
  <c r="E51" i="8"/>
  <c r="G16" i="8" s="1"/>
  <c r="D16" i="5"/>
  <c r="R236" i="10" l="1"/>
  <c r="R239" i="10" s="1"/>
  <c r="R240" i="10" s="1"/>
  <c r="R241" i="10" s="1"/>
  <c r="E46" i="9"/>
  <c r="G11" i="9" s="1"/>
  <c r="D11" i="9" s="1"/>
  <c r="F11" i="9" s="1"/>
  <c r="G18" i="9" s="1"/>
  <c r="AG28" i="9" s="1"/>
  <c r="AG29" i="9" s="1"/>
  <c r="D11" i="8"/>
  <c r="F11" i="8" s="1"/>
  <c r="G18" i="8" s="1"/>
  <c r="AG28" i="8" s="1"/>
  <c r="AG29" i="8" s="1"/>
  <c r="AG31" i="5"/>
  <c r="AB11" i="5" s="1"/>
  <c r="AH29" i="5"/>
  <c r="AN44" i="4"/>
  <c r="AN44" i="1"/>
  <c r="F16" i="5"/>
  <c r="AN41" i="5" s="1"/>
  <c r="AN42" i="5" s="1"/>
  <c r="AN38" i="5"/>
  <c r="E51" i="9"/>
  <c r="G16" i="9" s="1"/>
  <c r="D16" i="8"/>
  <c r="F16" i="8" s="1"/>
  <c r="AN41" i="8" l="1"/>
  <c r="AN42" i="8" s="1"/>
  <c r="AG31" i="8"/>
  <c r="AH29" i="8"/>
  <c r="AG31" i="9"/>
  <c r="AH29" i="9"/>
  <c r="AN44" i="5"/>
  <c r="AN38" i="8"/>
  <c r="D16" i="9"/>
  <c r="F16" i="9" s="1"/>
  <c r="AN41" i="9" s="1"/>
  <c r="AN42" i="9" s="1"/>
  <c r="AN44" i="8" l="1"/>
  <c r="AN38" i="9"/>
  <c r="AN44" i="9" s="1"/>
  <c r="H8" i="10" l="1"/>
  <c r="H13" i="10" s="1"/>
  <c r="H16" i="10" s="1"/>
  <c r="H17" i="10" s="1"/>
  <c r="H18" i="10" l="1"/>
  <c r="X29" i="9" l="1"/>
  <c r="V30" i="9" s="1"/>
  <c r="Y30" i="9" s="1"/>
  <c r="X4" i="9" s="1"/>
  <c r="X31" i="9"/>
  <c r="X32" i="9"/>
  <c r="V39" i="9" s="1"/>
  <c r="Y39" i="9" s="1"/>
  <c r="X13" i="9" s="1"/>
  <c r="X30" i="9"/>
  <c r="V32" i="9" s="1"/>
  <c r="Y32" i="9" s="1"/>
  <c r="X6" i="9" s="1"/>
  <c r="V35" i="9" l="1"/>
  <c r="Y35" i="9" s="1"/>
  <c r="X9" i="9" s="1"/>
  <c r="V34" i="9"/>
  <c r="Y34" i="9" s="1"/>
  <c r="X8" i="9" s="1"/>
  <c r="V31" i="9"/>
  <c r="Y31" i="9" s="1"/>
  <c r="X5" i="9" s="1"/>
  <c r="V33" i="9"/>
  <c r="Y33" i="9" s="1"/>
  <c r="X7" i="9" s="1"/>
  <c r="V29" i="9"/>
  <c r="Y29" i="9" s="1"/>
  <c r="X3" i="9" s="1"/>
  <c r="V37" i="9"/>
  <c r="Y37" i="9" s="1"/>
  <c r="X11" i="9" s="1"/>
  <c r="V36" i="9"/>
  <c r="Y36" i="9" s="1"/>
  <c r="X10" i="9" s="1"/>
  <c r="V40" i="9"/>
  <c r="Y40" i="9" s="1"/>
  <c r="X14" i="9" s="1"/>
  <c r="V38" i="9"/>
  <c r="Y38" i="9" s="1"/>
  <c r="X12" i="9" s="1"/>
  <c r="S38" i="4" l="1"/>
  <c r="U38" i="5" s="1"/>
  <c r="S40" i="4"/>
  <c r="U40" i="5" s="1"/>
  <c r="S35" i="4"/>
  <c r="U35" i="4" s="1"/>
  <c r="S36" i="4"/>
  <c r="U36" i="5" s="1"/>
  <c r="S39" i="4"/>
  <c r="U39" i="5" s="1"/>
  <c r="S37" i="4"/>
  <c r="U37" i="4" s="1"/>
  <c r="Y48" i="3"/>
  <c r="Z52" i="3"/>
  <c r="Z49" i="3"/>
  <c r="Y47" i="3"/>
  <c r="Z51" i="3"/>
  <c r="Z50" i="3"/>
  <c r="U51" i="3"/>
  <c r="S49" i="3"/>
  <c r="S48" i="3"/>
  <c r="T52" i="3"/>
  <c r="U52" i="3"/>
  <c r="S50" i="3"/>
  <c r="T47" i="3"/>
  <c r="U48" i="3"/>
  <c r="U50" i="3"/>
  <c r="T49" i="3"/>
  <c r="T51" i="3"/>
  <c r="Z48" i="3"/>
  <c r="S47" i="3"/>
  <c r="Z47" i="3"/>
  <c r="S52" i="3"/>
  <c r="T50" i="3"/>
  <c r="T48" i="3"/>
  <c r="U49" i="3"/>
  <c r="S51" i="3"/>
  <c r="U47" i="3"/>
  <c r="W14" i="3" l="1"/>
  <c r="U37" i="5"/>
  <c r="W11" i="3"/>
  <c r="W10" i="3"/>
  <c r="W12" i="3"/>
  <c r="W9" i="3"/>
  <c r="W13" i="3"/>
  <c r="U39" i="4"/>
  <c r="U40" i="4"/>
  <c r="U35" i="5"/>
  <c r="U36" i="4"/>
  <c r="U38" i="4"/>
  <c r="B37" i="9"/>
  <c r="B37" i="8"/>
  <c r="B47" i="5"/>
  <c r="X32" i="8"/>
  <c r="AA11" i="8" s="1"/>
  <c r="X32" i="5"/>
  <c r="S39" i="5" s="1"/>
  <c r="X32" i="4"/>
  <c r="AA12" i="4" s="1"/>
  <c r="V40" i="8" l="1"/>
  <c r="Y40" i="8" s="1"/>
  <c r="X14" i="8" s="1"/>
  <c r="AA13" i="5"/>
  <c r="AA13" i="8"/>
  <c r="AA10" i="8"/>
  <c r="V36" i="8"/>
  <c r="Y36" i="8" s="1"/>
  <c r="X10" i="8" s="1"/>
  <c r="V39" i="8"/>
  <c r="Y39" i="8" s="1"/>
  <c r="X13" i="8" s="1"/>
  <c r="AA10" i="5"/>
  <c r="V37" i="8"/>
  <c r="Y37" i="8" s="1"/>
  <c r="X11" i="8" s="1"/>
  <c r="X75" i="5"/>
  <c r="W75" i="5"/>
  <c r="V39" i="4"/>
  <c r="Y39" i="4" s="1"/>
  <c r="X13" i="4" s="1"/>
  <c r="V40" i="4"/>
  <c r="Y40" i="4" s="1"/>
  <c r="X14" i="4" s="1"/>
  <c r="J36" i="5"/>
  <c r="S40" i="5"/>
  <c r="AA14" i="4"/>
  <c r="V38" i="4"/>
  <c r="Y38" i="4" s="1"/>
  <c r="X12" i="4" s="1"/>
  <c r="AA12" i="5"/>
  <c r="AA12" i="8"/>
  <c r="AA11" i="5"/>
  <c r="J39" i="5"/>
  <c r="J37" i="5"/>
  <c r="AA11" i="4"/>
  <c r="AA14" i="5"/>
  <c r="J40" i="5"/>
  <c r="S38" i="5"/>
  <c r="S37" i="5"/>
  <c r="V37" i="4"/>
  <c r="Y37" i="4" s="1"/>
  <c r="X11" i="4" s="1"/>
  <c r="AA10" i="4"/>
  <c r="AA14" i="8"/>
  <c r="J38" i="5"/>
  <c r="V36" i="4"/>
  <c r="Y36" i="4" s="1"/>
  <c r="X10" i="4" s="1"/>
  <c r="AA13" i="4"/>
  <c r="V38" i="8"/>
  <c r="Y38" i="8" s="1"/>
  <c r="X12" i="8" s="1"/>
  <c r="S36" i="5"/>
  <c r="X76" i="5" l="1"/>
  <c r="W76" i="5"/>
  <c r="Q36" i="5"/>
  <c r="T72" i="5"/>
  <c r="U72" i="5"/>
  <c r="V72" i="5"/>
  <c r="T76" i="5"/>
  <c r="V76" i="5"/>
  <c r="U76" i="5"/>
  <c r="Q40" i="5"/>
  <c r="T74" i="5"/>
  <c r="U74" i="5"/>
  <c r="Q38" i="5"/>
  <c r="V74" i="5"/>
  <c r="X72" i="5"/>
  <c r="W72" i="5"/>
  <c r="T75" i="5"/>
  <c r="U75" i="5"/>
  <c r="Q39" i="5"/>
  <c r="V75" i="5"/>
  <c r="W73" i="5"/>
  <c r="X73" i="5"/>
  <c r="W74" i="5"/>
  <c r="X74" i="5"/>
  <c r="T73" i="5"/>
  <c r="U73" i="5"/>
  <c r="Q37" i="5"/>
  <c r="V73" i="5"/>
  <c r="S74" i="5" l="1"/>
  <c r="R74" i="5"/>
  <c r="S76" i="5"/>
  <c r="R76" i="5"/>
  <c r="S73" i="5"/>
  <c r="R73" i="5"/>
  <c r="R75" i="5"/>
  <c r="S75" i="5"/>
  <c r="R72" i="5"/>
  <c r="S72" i="5"/>
  <c r="X10" i="5" l="1"/>
  <c r="Y72" i="5"/>
  <c r="Y75" i="5"/>
  <c r="X13" i="5"/>
  <c r="Y76" i="5"/>
  <c r="X14" i="5"/>
  <c r="X12" i="5"/>
  <c r="Y74" i="5"/>
  <c r="Y73" i="5"/>
  <c r="X11" i="5"/>
  <c r="T88" i="5" l="1"/>
  <c r="T54" i="5" s="1"/>
  <c r="S88" i="5"/>
  <c r="S54" i="5" s="1"/>
  <c r="U88" i="5"/>
  <c r="U54" i="5" s="1"/>
  <c r="V88" i="5"/>
  <c r="V54" i="5" s="1"/>
  <c r="R88" i="5"/>
  <c r="R54" i="5" s="1"/>
  <c r="W88" i="5"/>
  <c r="W54" i="5" s="1"/>
  <c r="X88" i="5"/>
  <c r="X54" i="5" s="1"/>
  <c r="V89" i="5"/>
  <c r="V55" i="5" s="1"/>
  <c r="X89" i="5"/>
  <c r="X55" i="5" s="1"/>
  <c r="R89" i="5"/>
  <c r="R55" i="5" s="1"/>
  <c r="W89" i="5"/>
  <c r="W55" i="5" s="1"/>
  <c r="U89" i="5"/>
  <c r="U55" i="5" s="1"/>
  <c r="T89" i="5"/>
  <c r="T55" i="5" s="1"/>
  <c r="S89" i="5"/>
  <c r="S55" i="5" s="1"/>
  <c r="W87" i="5"/>
  <c r="W53" i="5" s="1"/>
  <c r="S87" i="5"/>
  <c r="S53" i="5" s="1"/>
  <c r="T87" i="5"/>
  <c r="T53" i="5" s="1"/>
  <c r="R87" i="5"/>
  <c r="R53" i="5" s="1"/>
  <c r="X87" i="5"/>
  <c r="X53" i="5" s="1"/>
  <c r="U87" i="5"/>
  <c r="U53" i="5" s="1"/>
  <c r="V87" i="5"/>
  <c r="V53" i="5" s="1"/>
  <c r="T86" i="5"/>
  <c r="T52" i="5" s="1"/>
  <c r="W86" i="5"/>
  <c r="W52" i="5" s="1"/>
  <c r="V86" i="5"/>
  <c r="V52" i="5" s="1"/>
  <c r="R86" i="5"/>
  <c r="R52" i="5" s="1"/>
  <c r="S86" i="5"/>
  <c r="S52" i="5" s="1"/>
  <c r="X86" i="5"/>
  <c r="X52" i="5" s="1"/>
  <c r="U86" i="5"/>
  <c r="U52" i="5" s="1"/>
  <c r="X90" i="5"/>
  <c r="X56" i="5" s="1"/>
  <c r="T90" i="5"/>
  <c r="T56" i="5" s="1"/>
  <c r="V90" i="5"/>
  <c r="V56" i="5" s="1"/>
  <c r="U90" i="5"/>
  <c r="U56" i="5" s="1"/>
  <c r="R90" i="5"/>
  <c r="R56" i="5" s="1"/>
  <c r="S90" i="5"/>
  <c r="S56" i="5" s="1"/>
  <c r="W90" i="5"/>
  <c r="W56" i="5" s="1"/>
  <c r="Y55" i="5" l="1"/>
  <c r="Y53" i="5"/>
  <c r="Y56" i="5"/>
  <c r="Y54" i="5"/>
  <c r="Y52" i="5"/>
  <c r="V33" i="4"/>
  <c r="Y33" i="4" s="1"/>
  <c r="X7" i="4" s="1"/>
  <c r="AA9" i="4"/>
  <c r="AA7" i="4"/>
  <c r="X31" i="4"/>
  <c r="V35" i="4" s="1"/>
  <c r="Y35" i="4" s="1"/>
  <c r="X9" i="4" s="1"/>
  <c r="AA4" i="8"/>
  <c r="X30" i="5"/>
  <c r="S30" i="5" s="1"/>
  <c r="AA6" i="4"/>
  <c r="X29" i="5"/>
  <c r="AA3" i="5" s="1"/>
  <c r="X29" i="8"/>
  <c r="V29" i="8" s="1"/>
  <c r="Y29" i="8" s="1"/>
  <c r="X3" i="8" s="1"/>
  <c r="X30" i="8"/>
  <c r="V32" i="8" s="1"/>
  <c r="Y32" i="8" s="1"/>
  <c r="X6" i="8" s="1"/>
  <c r="X31" i="5"/>
  <c r="J33" i="5" s="1"/>
  <c r="AA9" i="8"/>
  <c r="V35" i="8"/>
  <c r="Y35" i="8" s="1"/>
  <c r="X9" i="8" s="1"/>
  <c r="V33" i="8"/>
  <c r="Y33" i="8" s="1"/>
  <c r="X7" i="8" s="1"/>
  <c r="X31" i="8"/>
  <c r="AA8" i="8" s="1"/>
  <c r="B34" i="9"/>
  <c r="B34" i="8"/>
  <c r="B44" i="5"/>
  <c r="B36" i="9"/>
  <c r="B36" i="8"/>
  <c r="B46" i="5"/>
  <c r="B35" i="8"/>
  <c r="B35" i="9"/>
  <c r="B45" i="5"/>
  <c r="X30" i="4"/>
  <c r="V31" i="4" s="1"/>
  <c r="Y31" i="4" s="1"/>
  <c r="X5" i="4" s="1"/>
  <c r="X29" i="4"/>
  <c r="AA3" i="4" s="1"/>
  <c r="V34" i="8" l="1"/>
  <c r="Y34" i="8" s="1"/>
  <c r="X8" i="8" s="1"/>
  <c r="AA5" i="8"/>
  <c r="AA9" i="5"/>
  <c r="AA7" i="5"/>
  <c r="V30" i="8"/>
  <c r="Y30" i="8" s="1"/>
  <c r="X4" i="8" s="1"/>
  <c r="J34" i="5"/>
  <c r="U70" i="5" s="1"/>
  <c r="V31" i="8"/>
  <c r="Y31" i="8" s="1"/>
  <c r="X5" i="8" s="1"/>
  <c r="Q33" i="5"/>
  <c r="T69" i="5"/>
  <c r="V69" i="5"/>
  <c r="U69" i="5"/>
  <c r="X66" i="5"/>
  <c r="W66" i="5"/>
  <c r="S33" i="5"/>
  <c r="J35" i="5"/>
  <c r="J32" i="5"/>
  <c r="V29" i="4"/>
  <c r="Y29" i="4" s="1"/>
  <c r="X3" i="4" s="1"/>
  <c r="AA6" i="8"/>
  <c r="AA8" i="4"/>
  <c r="Q31" i="5"/>
  <c r="S29" i="5"/>
  <c r="J30" i="5"/>
  <c r="J31" i="5"/>
  <c r="V32" i="4"/>
  <c r="Y32" i="4" s="1"/>
  <c r="X6" i="4" s="1"/>
  <c r="Q30" i="5"/>
  <c r="S34" i="5"/>
  <c r="S35" i="5"/>
  <c r="AA4" i="4"/>
  <c r="V34" i="4"/>
  <c r="Y34" i="4" s="1"/>
  <c r="X8" i="4" s="1"/>
  <c r="V30" i="4"/>
  <c r="Y30" i="4" s="1"/>
  <c r="X4" i="4" s="1"/>
  <c r="AA3" i="8"/>
  <c r="AA5" i="4"/>
  <c r="AA6" i="5"/>
  <c r="Q29" i="5"/>
  <c r="J29" i="5"/>
  <c r="S32" i="5"/>
  <c r="Q32" i="5"/>
  <c r="AA7" i="8"/>
  <c r="AA4" i="5"/>
  <c r="S31" i="5"/>
  <c r="AA8" i="5"/>
  <c r="AA5" i="5"/>
  <c r="V70" i="5" l="1"/>
  <c r="T70" i="5"/>
  <c r="Q34" i="5"/>
  <c r="R70" i="5" s="1"/>
  <c r="Q35" i="5"/>
  <c r="U71" i="5"/>
  <c r="T71" i="5"/>
  <c r="V71" i="5"/>
  <c r="U68" i="5"/>
  <c r="T68" i="5"/>
  <c r="V68" i="5"/>
  <c r="W69" i="5"/>
  <c r="X69" i="5"/>
  <c r="R68" i="5"/>
  <c r="S68" i="5"/>
  <c r="S66" i="5"/>
  <c r="R66" i="5"/>
  <c r="W68" i="5"/>
  <c r="X68" i="5"/>
  <c r="V67" i="5"/>
  <c r="U67" i="5"/>
  <c r="T67" i="5"/>
  <c r="X70" i="5"/>
  <c r="W70" i="5"/>
  <c r="U66" i="5"/>
  <c r="V66" i="5"/>
  <c r="T66" i="5"/>
  <c r="W71" i="5"/>
  <c r="X71" i="5"/>
  <c r="W65" i="5"/>
  <c r="X65" i="5"/>
  <c r="T65" i="5"/>
  <c r="V65" i="5"/>
  <c r="U65" i="5"/>
  <c r="S67" i="5"/>
  <c r="R67" i="5"/>
  <c r="R65" i="5"/>
  <c r="S65" i="5"/>
  <c r="S69" i="5"/>
  <c r="R69" i="5"/>
  <c r="X67" i="5"/>
  <c r="W67" i="5"/>
  <c r="S70" i="5" l="1"/>
  <c r="Y68" i="5"/>
  <c r="X6" i="5"/>
  <c r="X7" i="5"/>
  <c r="Y69" i="5"/>
  <c r="X8" i="5"/>
  <c r="Y70" i="5"/>
  <c r="X3" i="5"/>
  <c r="Y65" i="5"/>
  <c r="Y67" i="5"/>
  <c r="X5" i="5"/>
  <c r="Y66" i="5"/>
  <c r="X4" i="5"/>
  <c r="R71" i="5"/>
  <c r="S71" i="5"/>
  <c r="T80" i="5" l="1"/>
  <c r="T46" i="5" s="1"/>
  <c r="X80" i="5"/>
  <c r="X46" i="5" s="1"/>
  <c r="U80" i="5"/>
  <c r="U46" i="5" s="1"/>
  <c r="R80" i="5"/>
  <c r="R46" i="5" s="1"/>
  <c r="S80" i="5"/>
  <c r="S46" i="5" s="1"/>
  <c r="W80" i="5"/>
  <c r="W46" i="5" s="1"/>
  <c r="V80" i="5"/>
  <c r="V46" i="5" s="1"/>
  <c r="X9" i="5"/>
  <c r="Y71" i="5"/>
  <c r="X84" i="5"/>
  <c r="X50" i="5" s="1"/>
  <c r="U84" i="5"/>
  <c r="U50" i="5" s="1"/>
  <c r="R84" i="5"/>
  <c r="R50" i="5" s="1"/>
  <c r="V84" i="5"/>
  <c r="V50" i="5" s="1"/>
  <c r="T84" i="5"/>
  <c r="T50" i="5" s="1"/>
  <c r="W84" i="5"/>
  <c r="W50" i="5" s="1"/>
  <c r="S84" i="5"/>
  <c r="S50" i="5" s="1"/>
  <c r="U81" i="5"/>
  <c r="U47" i="5" s="1"/>
  <c r="R81" i="5"/>
  <c r="R47" i="5" s="1"/>
  <c r="T81" i="5"/>
  <c r="T47" i="5" s="1"/>
  <c r="X81" i="5"/>
  <c r="X47" i="5" s="1"/>
  <c r="W81" i="5"/>
  <c r="W47" i="5" s="1"/>
  <c r="V81" i="5"/>
  <c r="V47" i="5" s="1"/>
  <c r="S81" i="5"/>
  <c r="S47" i="5" s="1"/>
  <c r="W79" i="5"/>
  <c r="W45" i="5" s="1"/>
  <c r="R79" i="5"/>
  <c r="R45" i="5" s="1"/>
  <c r="T79" i="5"/>
  <c r="T45" i="5" s="1"/>
  <c r="V79" i="5"/>
  <c r="V45" i="5" s="1"/>
  <c r="U79" i="5"/>
  <c r="U45" i="5" s="1"/>
  <c r="S79" i="5"/>
  <c r="S45" i="5" s="1"/>
  <c r="X79" i="5"/>
  <c r="X45" i="5" s="1"/>
  <c r="W83" i="5"/>
  <c r="W49" i="5" s="1"/>
  <c r="S83" i="5"/>
  <c r="S49" i="5" s="1"/>
  <c r="T83" i="5"/>
  <c r="T49" i="5" s="1"/>
  <c r="X83" i="5"/>
  <c r="X49" i="5" s="1"/>
  <c r="R83" i="5"/>
  <c r="R49" i="5" s="1"/>
  <c r="V83" i="5"/>
  <c r="V49" i="5" s="1"/>
  <c r="U83" i="5"/>
  <c r="U49" i="5" s="1"/>
  <c r="T82" i="5"/>
  <c r="T48" i="5" s="1"/>
  <c r="U82" i="5"/>
  <c r="U48" i="5" s="1"/>
  <c r="W82" i="5"/>
  <c r="W48" i="5" s="1"/>
  <c r="X82" i="5"/>
  <c r="X48" i="5" s="1"/>
  <c r="V82" i="5"/>
  <c r="V48" i="5" s="1"/>
  <c r="S82" i="5"/>
  <c r="S48" i="5" s="1"/>
  <c r="R82" i="5"/>
  <c r="R48" i="5" s="1"/>
  <c r="Y48" i="5" l="1"/>
  <c r="V85" i="5"/>
  <c r="V51" i="5" s="1"/>
  <c r="U85" i="5"/>
  <c r="U51" i="5" s="1"/>
  <c r="W85" i="5"/>
  <c r="W51" i="5" s="1"/>
  <c r="T85" i="5"/>
  <c r="T51" i="5" s="1"/>
  <c r="R85" i="5"/>
  <c r="R51" i="5" s="1"/>
  <c r="X85" i="5"/>
  <c r="X51" i="5" s="1"/>
  <c r="S85" i="5"/>
  <c r="S51" i="5" s="1"/>
  <c r="Y47" i="5"/>
  <c r="Y46" i="5"/>
  <c r="Y45" i="5"/>
  <c r="Y49" i="5"/>
  <c r="Y50" i="5"/>
  <c r="Y51" i="5" l="1"/>
</calcChain>
</file>

<file path=xl/sharedStrings.xml><?xml version="1.0" encoding="utf-8"?>
<sst xmlns="http://schemas.openxmlformats.org/spreadsheetml/2006/main" count="1690" uniqueCount="450">
  <si>
    <t>公司初始现金</t>
  </si>
  <si>
    <t>正式经营开始之前每家公司获得的注册资金（实收资本）</t>
  </si>
  <si>
    <t>市场名称</t>
    <phoneticPr fontId="2" type="noConversion"/>
  </si>
  <si>
    <t>每期开发成本</t>
    <phoneticPr fontId="2" type="noConversion"/>
  </si>
  <si>
    <t>开发周期</t>
    <phoneticPr fontId="2" type="noConversion"/>
  </si>
  <si>
    <t>公司注册设立费用</t>
  </si>
  <si>
    <t>公司设立开办过程中所发生的所有相关的费用。该笔费用在第一季度初自动扣除</t>
  </si>
  <si>
    <t>华东</t>
    <phoneticPr fontId="1" type="noConversion"/>
  </si>
  <si>
    <t>办公室租金</t>
  </si>
  <si>
    <t>公司租赁办公场地的费用，每季度初自动扣除当季的租金</t>
  </si>
  <si>
    <t>华北</t>
    <phoneticPr fontId="2" type="noConversion"/>
  </si>
  <si>
    <t>所得税率</t>
  </si>
  <si>
    <t>企业经营当季如果有利润，按该税率在下季初缴纳所得税</t>
  </si>
  <si>
    <t>华南</t>
    <phoneticPr fontId="2" type="noConversion"/>
  </si>
  <si>
    <t>营业税率</t>
  </si>
  <si>
    <t>营改增改革后，停征营业税。</t>
  </si>
  <si>
    <t>华中</t>
    <phoneticPr fontId="2" type="noConversion"/>
  </si>
  <si>
    <t>增值税率</t>
  </si>
  <si>
    <t>销项税-进项税</t>
    <phoneticPr fontId="1" type="noConversion"/>
  </si>
  <si>
    <t>西南</t>
    <phoneticPr fontId="2" type="noConversion"/>
  </si>
  <si>
    <t>城建税率</t>
  </si>
  <si>
    <t>根据企业实际缴纳增值税</t>
    <phoneticPr fontId="1" type="noConversion"/>
  </si>
  <si>
    <t>东北</t>
    <phoneticPr fontId="1" type="noConversion"/>
  </si>
  <si>
    <t>教育附加税率</t>
  </si>
  <si>
    <t>根据企业应缴纳的增值税，按该税率缴纳教育附加税</t>
  </si>
  <si>
    <t>西北</t>
    <phoneticPr fontId="1" type="noConversion"/>
  </si>
  <si>
    <t>地方教育附加税率</t>
  </si>
  <si>
    <t>根据企业应缴纳的增值税</t>
    <phoneticPr fontId="1" type="noConversion"/>
  </si>
  <si>
    <t>行政管理费</t>
  </si>
  <si>
    <t>公司每季度运营的行政管理费用</t>
  </si>
  <si>
    <t>群体名称</t>
  </si>
  <si>
    <t>报价权重</t>
  </si>
  <si>
    <t>品牌权重</t>
  </si>
  <si>
    <t>功能权重</t>
    <phoneticPr fontId="3" type="noConversion"/>
  </si>
  <si>
    <t>销售权重</t>
    <phoneticPr fontId="3" type="noConversion"/>
  </si>
  <si>
    <t>口碑权重</t>
    <phoneticPr fontId="1" type="noConversion"/>
  </si>
  <si>
    <t>合计</t>
    <phoneticPr fontId="1" type="noConversion"/>
  </si>
  <si>
    <t>小组人员工资</t>
  </si>
  <si>
    <t>小组管理团队所有人员的季度工资，不分人数多少</t>
  </si>
  <si>
    <t>商务人士</t>
    <phoneticPr fontId="1" type="noConversion"/>
  </si>
  <si>
    <t>养老保险比率</t>
  </si>
  <si>
    <t>根据工资总额按该比率缴纳养老保险费用</t>
  </si>
  <si>
    <t>公司白领</t>
    <phoneticPr fontId="1" type="noConversion"/>
  </si>
  <si>
    <t>失业保险比率</t>
  </si>
  <si>
    <t>根据工资总额按该比率缴纳失业保险费用</t>
  </si>
  <si>
    <t>青少年群体</t>
    <phoneticPr fontId="1" type="noConversion"/>
  </si>
  <si>
    <t>工伤保险比率</t>
  </si>
  <si>
    <t>根据工资总额按该比率缴纳工伤保险费用</t>
  </si>
  <si>
    <t>老年群体</t>
    <phoneticPr fontId="1" type="noConversion"/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</si>
  <si>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</si>
  <si>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</si>
  <si>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</si>
  <si>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</si>
  <si>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  <phoneticPr fontId="2" type="noConversion"/>
  </si>
  <si>
    <t>聘用价格</t>
    <phoneticPr fontId="2" type="noConversion"/>
  </si>
  <si>
    <t>生产销售能力</t>
    <phoneticPr fontId="2" type="noConversion"/>
  </si>
  <si>
    <t>培训费用</t>
    <phoneticPr fontId="2" type="noConversion"/>
  </si>
  <si>
    <t>培训提升</t>
    <phoneticPr fontId="2" type="noConversion"/>
  </si>
  <si>
    <t>员工工资</t>
    <phoneticPr fontId="2" type="noConversion"/>
  </si>
  <si>
    <t>试用期</t>
    <phoneticPr fontId="2" type="noConversion"/>
  </si>
  <si>
    <t>辞退补偿费用</t>
    <phoneticPr fontId="2" type="noConversion"/>
  </si>
  <si>
    <t>未办理保险罚款</t>
  </si>
  <si>
    <t>没有给员工办理保险的情况下按该金额缴纳罚款</t>
    <phoneticPr fontId="1" type="noConversion"/>
  </si>
  <si>
    <t>销售员</t>
    <phoneticPr fontId="2" type="noConversion"/>
  </si>
  <si>
    <t>普通借款利率</t>
  </si>
  <si>
    <t>正常向银行申请借款的利率</t>
  </si>
  <si>
    <t>生产工人</t>
    <phoneticPr fontId="2" type="noConversion"/>
  </si>
  <si>
    <t>普通借款还款周期(季度)</t>
  </si>
  <si>
    <t>普通借款还款周期</t>
  </si>
  <si>
    <t>紧急借款利率</t>
  </si>
  <si>
    <t>公司资金链断裂时，紧急借款时的利率</t>
    <phoneticPr fontId="1" type="noConversion"/>
  </si>
  <si>
    <t>厂房设置：</t>
    <phoneticPr fontId="2" type="noConversion"/>
  </si>
  <si>
    <t>紧急借款还款周期(季度)</t>
  </si>
  <si>
    <t>紧急借款还款周期</t>
  </si>
  <si>
    <t>大厂房</t>
    <phoneticPr fontId="2" type="noConversion"/>
  </si>
  <si>
    <t>中厂房</t>
    <phoneticPr fontId="2" type="noConversion"/>
  </si>
  <si>
    <t>小厂房</t>
    <phoneticPr fontId="2" type="noConversion"/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</si>
  <si>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</si>
  <si>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</si>
  <si>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</si>
  <si>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</si>
  <si>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</si>
  <si>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  <phoneticPr fontId="2" type="noConversion"/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</si>
  <si>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</si>
  <si>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</si>
  <si>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</si>
  <si>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</si>
  <si>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</si>
  <si>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</si>
  <si>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</si>
  <si>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</si>
  <si>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</si>
  <si>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</si>
  <si>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</si>
  <si>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</si>
  <si>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  <phoneticPr fontId="2" type="noConversion"/>
  </si>
  <si>
    <t>厂房折旧率</t>
  </si>
  <si>
    <t>每季度按该折旧率对购买的厂房原值计提折旧</t>
  </si>
  <si>
    <t>柔性线</t>
  </si>
  <si>
    <t>自动线</t>
  </si>
  <si>
    <t>半自动线</t>
    <phoneticPr fontId="1" type="noConversion"/>
  </si>
  <si>
    <t>手工线</t>
    <phoneticPr fontId="1" type="noConversion"/>
  </si>
  <si>
    <t>设备折旧率</t>
  </si>
  <si>
    <t>每季度按该折旧率对购买的设备原值计提折旧</t>
  </si>
  <si>
    <t>购买价格</t>
  </si>
  <si>
    <t>未交付订单的罚金比率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</si>
  <si>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</si>
  <si>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</si>
  <si>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</si>
  <si>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</si>
  <si>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</si>
  <si>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</si>
  <si>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</si>
  <si>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</si>
  <si>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</si>
  <si>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</si>
  <si>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</si>
  <si>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</si>
  <si>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</si>
  <si>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</si>
  <si>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</si>
  <si>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</si>
  <si>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</si>
  <si>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</si>
  <si>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</si>
  <si>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</si>
  <si>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</si>
  <si>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</si>
  <si>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</si>
  <si>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  <phoneticPr fontId="2" type="noConversion"/>
  </si>
  <si>
    <t>周期</t>
    <phoneticPr fontId="2" type="noConversion"/>
  </si>
  <si>
    <t>成本</t>
    <phoneticPr fontId="2" type="noConversion"/>
  </si>
  <si>
    <t>工人上限</t>
  </si>
  <si>
    <t>CCC认证</t>
    <phoneticPr fontId="2" type="noConversion"/>
  </si>
  <si>
    <t>升级费用</t>
  </si>
  <si>
    <t>SRC认证</t>
    <phoneticPr fontId="2" type="noConversion"/>
  </si>
  <si>
    <t>升级提升</t>
  </si>
  <si>
    <t>搬迁费用</t>
  </si>
  <si>
    <t>原料价格表</t>
  </si>
  <si>
    <t>1季度</t>
    <phoneticPr fontId="1" type="noConversion"/>
  </si>
  <si>
    <t>2季度</t>
    <phoneticPr fontId="1" type="noConversion"/>
  </si>
  <si>
    <t>3季度</t>
    <phoneticPr fontId="1" type="noConversion"/>
  </si>
  <si>
    <t>4季度</t>
  </si>
  <si>
    <t>到货周期</t>
    <phoneticPr fontId="1" type="noConversion"/>
  </si>
  <si>
    <t>付款周期</t>
    <phoneticPr fontId="1" type="noConversion"/>
  </si>
  <si>
    <t>研发系数</t>
    <phoneticPr fontId="1" type="noConversion"/>
  </si>
  <si>
    <t>紧急采购</t>
    <phoneticPr fontId="2" type="noConversion"/>
  </si>
  <si>
    <t>高亮LED</t>
  </si>
  <si>
    <t>原材料折扣：</t>
    <phoneticPr fontId="2" type="noConversion"/>
  </si>
  <si>
    <t>批量上限值</t>
    <phoneticPr fontId="1" type="noConversion"/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</si>
  <si>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</si>
  <si>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</si>
  <si>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</si>
  <si>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</si>
  <si>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</si>
  <si>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</si>
  <si>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</si>
  <si>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</si>
  <si>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</si>
  <si>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</si>
  <si>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</si>
  <si>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</si>
  <si>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</si>
  <si>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塑胶</t>
    <phoneticPr fontId="3" type="noConversion"/>
  </si>
  <si>
    <t>金属</t>
    <phoneticPr fontId="3" type="noConversion"/>
  </si>
  <si>
    <t>订单违约金 = (该订单最高限价 * 未交付订单数量) * 该比例</t>
    <phoneticPr fontId="1" type="noConversion"/>
  </si>
  <si>
    <t>品种</t>
  </si>
  <si>
    <t>产品名称</t>
  </si>
  <si>
    <t>手工投产</t>
  </si>
  <si>
    <t>半自动投产</t>
    <phoneticPr fontId="3" type="noConversion"/>
  </si>
  <si>
    <t>自动投产</t>
    <phoneticPr fontId="3" type="noConversion"/>
  </si>
  <si>
    <t>柔性投产</t>
    <phoneticPr fontId="3" type="noConversion"/>
  </si>
  <si>
    <t>成品</t>
  </si>
  <si>
    <t>建议</t>
    <phoneticPr fontId="3" type="noConversion"/>
  </si>
  <si>
    <t>广告</t>
  </si>
  <si>
    <t>广告</t>
    <phoneticPr fontId="3" type="noConversion"/>
  </si>
  <si>
    <t>S</t>
    <phoneticPr fontId="3" type="noConversion"/>
  </si>
  <si>
    <t>B</t>
    <phoneticPr fontId="3" type="noConversion"/>
  </si>
  <si>
    <t>Q</t>
    <phoneticPr fontId="3" type="noConversion"/>
  </si>
  <si>
    <t>顺序购买数量</t>
  </si>
  <si>
    <t>单价</t>
    <phoneticPr fontId="3" type="noConversion"/>
  </si>
  <si>
    <t>实际价格</t>
    <phoneticPr fontId="3" type="noConversion"/>
  </si>
  <si>
    <t xml:space="preserve"> 付款周期</t>
    <phoneticPr fontId="3" type="noConversion"/>
  </si>
  <si>
    <t>实际购买</t>
  </si>
  <si>
    <t>预购数量</t>
    <phoneticPr fontId="3" type="noConversion"/>
  </si>
  <si>
    <t>高亮LED屏幕</t>
  </si>
  <si>
    <t>TFT全彩触摸屏</t>
  </si>
  <si>
    <t>L</t>
    <phoneticPr fontId="1" type="noConversion"/>
  </si>
  <si>
    <t>消费群体</t>
    <phoneticPr fontId="3" type="noConversion"/>
  </si>
  <si>
    <t>华东需求量</t>
    <phoneticPr fontId="3" type="noConversion"/>
  </si>
  <si>
    <t>产品设计数量</t>
    <phoneticPr fontId="3" type="noConversion"/>
  </si>
  <si>
    <t>人均广告</t>
    <phoneticPr fontId="3" type="noConversion"/>
  </si>
  <si>
    <t>理论单量</t>
    <phoneticPr fontId="3" type="noConversion"/>
  </si>
  <si>
    <t>L</t>
    <phoneticPr fontId="3" type="noConversion"/>
  </si>
  <si>
    <t>不操作</t>
    <phoneticPr fontId="3" type="noConversion"/>
  </si>
  <si>
    <t>实际小组数量</t>
    <phoneticPr fontId="3" type="noConversion"/>
  </si>
  <si>
    <t>单量小组数</t>
    <phoneticPr fontId="3" type="noConversion"/>
  </si>
  <si>
    <t>材料费用</t>
    <phoneticPr fontId="4" type="noConversion"/>
  </si>
  <si>
    <t>第一季度广告分</t>
    <phoneticPr fontId="3" type="noConversion"/>
  </si>
  <si>
    <t>预测广告分</t>
    <phoneticPr fontId="3" type="noConversion"/>
  </si>
  <si>
    <t>现金流</t>
  </si>
  <si>
    <t>季度初现金</t>
  </si>
  <si>
    <t>厂房购买</t>
  </si>
  <si>
    <t>购买小厂房</t>
  </si>
  <si>
    <t>购买中厂房</t>
  </si>
  <si>
    <t>购买大厂房</t>
  </si>
  <si>
    <t>厂房租赁</t>
    <phoneticPr fontId="3" type="noConversion"/>
  </si>
  <si>
    <t>租用小厂房</t>
  </si>
  <si>
    <t>租用中厂房</t>
  </si>
  <si>
    <t>租用大厂房</t>
  </si>
  <si>
    <t>设备购买</t>
  </si>
  <si>
    <t>手工线</t>
  </si>
  <si>
    <t>半自动线</t>
  </si>
  <si>
    <t>全自动线</t>
  </si>
  <si>
    <t>柔性线</t>
    <phoneticPr fontId="3" type="noConversion"/>
  </si>
  <si>
    <t>设计数量</t>
  </si>
  <si>
    <t>研发数量</t>
  </si>
  <si>
    <t>市场开发</t>
  </si>
  <si>
    <t>华北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</si>
  <si>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</si>
  <si>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</si>
  <si>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</si>
  <si>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</si>
  <si>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  <phoneticPr fontId="3" type="noConversion"/>
  </si>
  <si>
    <t>工人招聘</t>
  </si>
  <si>
    <t>销售招聘</t>
  </si>
  <si>
    <t>广告投入</t>
  </si>
  <si>
    <t>原材料当季费用</t>
  </si>
  <si>
    <t>判断</t>
  </si>
  <si>
    <t>借款</t>
  </si>
  <si>
    <t>交单前的现金流</t>
    <phoneticPr fontId="3" type="noConversion"/>
  </si>
  <si>
    <t>交单后现金流</t>
    <phoneticPr fontId="3" type="noConversion"/>
  </si>
  <si>
    <t>一账期可贴现额</t>
    <phoneticPr fontId="3" type="noConversion"/>
  </si>
  <si>
    <t>二账期可贴现额</t>
    <phoneticPr fontId="3" type="noConversion"/>
  </si>
  <si>
    <t>第
一
季
度
末</t>
    <phoneticPr fontId="3" type="noConversion"/>
  </si>
  <si>
    <t>项目</t>
    <phoneticPr fontId="3" type="noConversion"/>
  </si>
  <si>
    <t>数量</t>
    <phoneticPr fontId="3" type="noConversion"/>
  </si>
  <si>
    <t>总费用</t>
    <phoneticPr fontId="3" type="noConversion"/>
  </si>
  <si>
    <t>制造费用</t>
    <phoneticPr fontId="3" type="noConversion"/>
  </si>
  <si>
    <t>生产加工费</t>
  </si>
  <si>
    <t>产房租金</t>
  </si>
  <si>
    <t>小厂房</t>
  </si>
  <si>
    <t>中厂房</t>
  </si>
  <si>
    <t>大厂房</t>
  </si>
  <si>
    <t>生产工人工资与五险</t>
    <phoneticPr fontId="3" type="noConversion"/>
  </si>
  <si>
    <t>维护费</t>
  </si>
  <si>
    <t>管理人员和五险</t>
    <phoneticPr fontId="3" type="noConversion"/>
  </si>
  <si>
    <t>基本行政管理费用</t>
    <phoneticPr fontId="3" type="noConversion"/>
  </si>
  <si>
    <t>生产工人</t>
    <phoneticPr fontId="3" type="noConversion"/>
  </si>
  <si>
    <t>销售人员</t>
    <phoneticPr fontId="3" type="noConversion"/>
  </si>
  <si>
    <t>生产设备出售</t>
    <phoneticPr fontId="3" type="noConversion"/>
  </si>
  <si>
    <t>厂房出售</t>
    <phoneticPr fontId="3" type="noConversion"/>
  </si>
  <si>
    <t>大厂房</t>
    <phoneticPr fontId="3" type="noConversion"/>
  </si>
  <si>
    <t>中厂房</t>
    <phoneticPr fontId="3" type="noConversion"/>
  </si>
  <si>
    <t>小厂房</t>
    <phoneticPr fontId="3" type="noConversion"/>
  </si>
  <si>
    <t>销售人员工资和五险</t>
    <phoneticPr fontId="3" type="noConversion"/>
  </si>
  <si>
    <t>订单违约金</t>
    <phoneticPr fontId="3" type="noConversion"/>
  </si>
  <si>
    <t>违约订单
最高限价</t>
    <phoneticPr fontId="3" type="noConversion"/>
  </si>
  <si>
    <t>一账期实际贴现</t>
    <phoneticPr fontId="3" type="noConversion"/>
  </si>
  <si>
    <t>二账期实际贴现</t>
    <phoneticPr fontId="3" type="noConversion"/>
  </si>
  <si>
    <t>判断</t>
    <phoneticPr fontId="3" type="noConversion"/>
  </si>
  <si>
    <t>第
二
季
度
初</t>
    <phoneticPr fontId="3" type="noConversion"/>
  </si>
  <si>
    <t>应收账款</t>
    <phoneticPr fontId="3" type="noConversion"/>
  </si>
  <si>
    <t>应付账款</t>
    <phoneticPr fontId="3" type="noConversion"/>
  </si>
  <si>
    <t>材料预购费用</t>
    <phoneticPr fontId="3" type="noConversion"/>
  </si>
  <si>
    <t>办公室租金</t>
    <phoneticPr fontId="3" type="noConversion"/>
  </si>
  <si>
    <t>增值税</t>
    <phoneticPr fontId="3" type="noConversion"/>
  </si>
  <si>
    <t>其他税收</t>
    <phoneticPr fontId="3" type="noConversion"/>
  </si>
  <si>
    <t>所得税</t>
    <phoneticPr fontId="3" type="noConversion"/>
  </si>
  <si>
    <t>柔性线</t>
    <phoneticPr fontId="1" type="noConversion"/>
  </si>
  <si>
    <t>自动线</t>
    <phoneticPr fontId="1" type="noConversion"/>
  </si>
  <si>
    <t>上季度库存</t>
    <phoneticPr fontId="1" type="noConversion"/>
  </si>
  <si>
    <t>华北需求量</t>
    <phoneticPr fontId="3" type="noConversion"/>
  </si>
  <si>
    <t>华南需求量</t>
    <phoneticPr fontId="3" type="noConversion"/>
  </si>
  <si>
    <t>累计广告</t>
    <phoneticPr fontId="3" type="noConversion"/>
  </si>
  <si>
    <t>理论需求量</t>
    <phoneticPr fontId="3" type="noConversion"/>
  </si>
  <si>
    <t>累计</t>
    <phoneticPr fontId="3" type="noConversion"/>
  </si>
  <si>
    <t>销售分</t>
  </si>
  <si>
    <t>华东</t>
  </si>
  <si>
    <t>华北</t>
  </si>
  <si>
    <t>华南</t>
  </si>
  <si>
    <t>功能分</t>
  </si>
  <si>
    <t>价格分</t>
  </si>
  <si>
    <t>口碑分</t>
  </si>
  <si>
    <t>广告分</t>
  </si>
  <si>
    <t>人数</t>
  </si>
  <si>
    <t>商务</t>
  </si>
  <si>
    <t>研发</t>
  </si>
  <si>
    <t>第一季度总设计-小组数量</t>
    <phoneticPr fontId="3" type="noConversion"/>
  </si>
  <si>
    <t>不研发</t>
  </si>
  <si>
    <t>一般等于小组数量</t>
  </si>
  <si>
    <t>白领</t>
    <phoneticPr fontId="3" type="noConversion"/>
  </si>
  <si>
    <t>第一季度总设计-第一季度卖产品种类</t>
  </si>
  <si>
    <t>数0研发</t>
  </si>
  <si>
    <t>青年</t>
  </si>
  <si>
    <t>一般等于小组
数量</t>
    <phoneticPr fontId="3" type="noConversion"/>
  </si>
  <si>
    <t>数三青</t>
  </si>
  <si>
    <t>老年</t>
  </si>
  <si>
    <t>正常</t>
  </si>
  <si>
    <t>数三老</t>
  </si>
  <si>
    <t>借款</t>
    <phoneticPr fontId="3" type="noConversion"/>
  </si>
  <si>
    <t>预购实际价格</t>
    <phoneticPr fontId="3" type="noConversion"/>
  </si>
  <si>
    <t>季度初库存数量</t>
    <phoneticPr fontId="3" type="noConversion"/>
  </si>
  <si>
    <t>第二季度广告分</t>
    <phoneticPr fontId="3" type="noConversion"/>
  </si>
  <si>
    <t>上限设置</t>
    <phoneticPr fontId="3" type="noConversion"/>
  </si>
  <si>
    <t>修正</t>
    <phoneticPr fontId="1" type="noConversion"/>
  </si>
  <si>
    <t>预购实际价格</t>
  </si>
  <si>
    <t>华中需求量</t>
    <phoneticPr fontId="3" type="noConversion"/>
  </si>
  <si>
    <t>西南需求量</t>
    <phoneticPr fontId="3" type="noConversion"/>
  </si>
  <si>
    <t>理
论
单
量</t>
    <phoneticPr fontId="3" type="noConversion"/>
  </si>
  <si>
    <t>被删/不玩</t>
    <phoneticPr fontId="3" type="noConversion"/>
  </si>
  <si>
    <t>口碑变化</t>
    <phoneticPr fontId="3" type="noConversion"/>
  </si>
  <si>
    <t>广告分</t>
    <phoneticPr fontId="3" type="noConversion"/>
  </si>
  <si>
    <t>广告分剔除</t>
    <phoneticPr fontId="3" type="noConversion"/>
  </si>
  <si>
    <t>新加广告分</t>
    <phoneticPr fontId="3" type="noConversion"/>
  </si>
  <si>
    <t>最终分</t>
    <phoneticPr fontId="3" type="noConversion"/>
  </si>
  <si>
    <t>第三季度广告分</t>
    <phoneticPr fontId="3" type="noConversion"/>
  </si>
  <si>
    <t>贴现</t>
    <phoneticPr fontId="3" type="noConversion"/>
  </si>
  <si>
    <t>东北需求量</t>
    <phoneticPr fontId="3" type="noConversion"/>
  </si>
  <si>
    <t>西北需求量</t>
    <phoneticPr fontId="3" type="noConversion"/>
  </si>
  <si>
    <t>东北西北</t>
    <phoneticPr fontId="3" type="noConversion"/>
  </si>
  <si>
    <t>口碑分</t>
    <phoneticPr fontId="3" type="noConversion"/>
  </si>
  <si>
    <t>正常分</t>
    <phoneticPr fontId="3" type="noConversion"/>
  </si>
  <si>
    <t>未开资质</t>
    <phoneticPr fontId="3" type="noConversion"/>
  </si>
  <si>
    <t>华东华北分</t>
    <phoneticPr fontId="3" type="noConversion"/>
  </si>
  <si>
    <t>未开市场</t>
    <phoneticPr fontId="3" type="noConversion"/>
  </si>
  <si>
    <t>人数</t>
    <phoneticPr fontId="3" type="noConversion"/>
  </si>
  <si>
    <t>产品名称</t>
    <phoneticPr fontId="3" type="noConversion"/>
  </si>
  <si>
    <t>华东</t>
    <phoneticPr fontId="3" type="noConversion"/>
  </si>
  <si>
    <t>与已有产品之间的差额</t>
    <phoneticPr fontId="3" type="noConversion"/>
  </si>
  <si>
    <t>差额</t>
    <phoneticPr fontId="3" type="noConversion"/>
  </si>
  <si>
    <t>第
二
季
度
末</t>
    <phoneticPr fontId="3" type="noConversion"/>
  </si>
  <si>
    <t>第
三
季
度
初</t>
    <phoneticPr fontId="3" type="noConversion"/>
  </si>
  <si>
    <t>第
三
季
度
末</t>
    <phoneticPr fontId="3" type="noConversion"/>
  </si>
  <si>
    <t>第
四
季
度
初</t>
    <phoneticPr fontId="3" type="noConversion"/>
  </si>
  <si>
    <t>第
四
季
度
末</t>
    <phoneticPr fontId="3" type="noConversion"/>
  </si>
  <si>
    <t>第
五
季
度
初</t>
    <phoneticPr fontId="3" type="noConversion"/>
  </si>
  <si>
    <t>理论单量</t>
    <phoneticPr fontId="1" type="noConversion"/>
  </si>
  <si>
    <t>贴先后金额</t>
    <phoneticPr fontId="1" type="noConversion"/>
  </si>
  <si>
    <t>第三季度</t>
    <phoneticPr fontId="1" type="noConversion"/>
  </si>
  <si>
    <t>第二季度</t>
    <phoneticPr fontId="1" type="noConversion"/>
  </si>
  <si>
    <t>第一季度</t>
    <phoneticPr fontId="1" type="noConversion"/>
  </si>
  <si>
    <t>第四季度</t>
    <phoneticPr fontId="1" type="noConversion"/>
  </si>
  <si>
    <t>数量</t>
    <phoneticPr fontId="1" type="noConversion"/>
  </si>
  <si>
    <t>OLED</t>
    <phoneticPr fontId="1" type="noConversion"/>
  </si>
  <si>
    <t>S</t>
    <phoneticPr fontId="1" type="noConversion"/>
  </si>
  <si>
    <t>B</t>
    <phoneticPr fontId="1" type="noConversion"/>
  </si>
  <si>
    <t>Q</t>
    <phoneticPr fontId="1" type="noConversion"/>
  </si>
  <si>
    <t>白领</t>
  </si>
  <si>
    <t>群体</t>
    <phoneticPr fontId="1" type="noConversion"/>
  </si>
  <si>
    <t>5季度</t>
    <phoneticPr fontId="1" type="noConversion"/>
  </si>
  <si>
    <t>6季度</t>
    <phoneticPr fontId="1" type="noConversion"/>
  </si>
  <si>
    <t>资质认证CCC</t>
    <phoneticPr fontId="3" type="noConversion"/>
  </si>
  <si>
    <t>资质认证SRRC</t>
    <phoneticPr fontId="3" type="noConversion"/>
  </si>
  <si>
    <t>季度末库存</t>
    <phoneticPr fontId="3" type="noConversion"/>
  </si>
  <si>
    <t>当季花费的材料费</t>
    <phoneticPr fontId="1" type="noConversion"/>
  </si>
  <si>
    <t>当季花费材料费</t>
    <phoneticPr fontId="1" type="noConversion"/>
  </si>
  <si>
    <t>当季折旧费</t>
    <phoneticPr fontId="1" type="noConversion"/>
  </si>
  <si>
    <t>营业成本</t>
    <phoneticPr fontId="1" type="noConversion"/>
  </si>
  <si>
    <t>材料费</t>
    <phoneticPr fontId="1" type="noConversion"/>
  </si>
  <si>
    <t>大厂房</t>
    <phoneticPr fontId="1" type="noConversion"/>
  </si>
  <si>
    <t>中厂房</t>
    <phoneticPr fontId="1" type="noConversion"/>
  </si>
  <si>
    <t>小厂房</t>
    <phoneticPr fontId="1" type="noConversion"/>
  </si>
  <si>
    <t>制造费</t>
    <phoneticPr fontId="1" type="noConversion"/>
  </si>
  <si>
    <t>折旧费</t>
    <phoneticPr fontId="2" type="noConversion"/>
  </si>
  <si>
    <t>已购置1季度</t>
    <phoneticPr fontId="1" type="noConversion"/>
  </si>
  <si>
    <t>已购置2季度</t>
    <phoneticPr fontId="1" type="noConversion"/>
  </si>
  <si>
    <t>已购置3季度</t>
    <phoneticPr fontId="1" type="noConversion"/>
  </si>
  <si>
    <t>已购置5季度</t>
    <phoneticPr fontId="1" type="noConversion"/>
  </si>
  <si>
    <t>已购置4季度</t>
    <phoneticPr fontId="1" type="noConversion"/>
  </si>
  <si>
    <t>已购置6季度</t>
    <phoneticPr fontId="1" type="noConversion"/>
  </si>
  <si>
    <t>厂房</t>
    <phoneticPr fontId="1" type="noConversion"/>
  </si>
  <si>
    <t>产线</t>
    <phoneticPr fontId="1" type="noConversion"/>
  </si>
  <si>
    <t>费用</t>
    <phoneticPr fontId="1" type="noConversion"/>
  </si>
  <si>
    <t>一、营业收入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</si>
  <si>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</si>
  <si>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</si>
  <si>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</si>
  <si>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</si>
  <si>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</si>
  <si>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</si>
  <si>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</si>
  <si>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</si>
  <si>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</si>
  <si>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减：所得税</t>
  </si>
  <si>
    <t>五、净利润</t>
  </si>
  <si>
    <t>一账期</t>
    <phoneticPr fontId="1" type="noConversion"/>
  </si>
  <si>
    <t>二账期</t>
    <phoneticPr fontId="1" type="noConversion"/>
  </si>
  <si>
    <t>三账期</t>
    <phoneticPr fontId="1" type="noConversion"/>
  </si>
  <si>
    <t>四账期</t>
    <phoneticPr fontId="1" type="noConversion"/>
  </si>
  <si>
    <t>零账期</t>
    <phoneticPr fontId="1" type="noConversion"/>
  </si>
  <si>
    <t>产品设计</t>
  </si>
  <si>
    <t>序号</t>
  </si>
  <si>
    <t>人群</t>
  </si>
  <si>
    <t>青少年</t>
  </si>
  <si>
    <t>TFT</t>
  </si>
  <si>
    <t>OLED</t>
  </si>
  <si>
    <t>腕带材质</t>
  </si>
  <si>
    <t>待机时间</t>
  </si>
  <si>
    <t>附加功能</t>
  </si>
  <si>
    <t>有氧</t>
  </si>
  <si>
    <t>心率</t>
  </si>
  <si>
    <t>GPS</t>
  </si>
  <si>
    <t xml:space="preserve"> 产品设计基础分</t>
    <phoneticPr fontId="1" type="noConversion"/>
  </si>
  <si>
    <t>高亮</t>
    <phoneticPr fontId="1" type="noConversion"/>
  </si>
  <si>
    <t>材料</t>
    <phoneticPr fontId="1" type="noConversion"/>
  </si>
  <si>
    <t>总分</t>
    <phoneticPr fontId="1" type="noConversion"/>
  </si>
  <si>
    <t>产品配置</t>
    <phoneticPr fontId="1" type="noConversion"/>
  </si>
  <si>
    <t>TFT</t>
    <phoneticPr fontId="1" type="noConversion"/>
  </si>
  <si>
    <t>生产所用材料总额</t>
    <phoneticPr fontId="1" type="noConversion"/>
  </si>
  <si>
    <t>库存材料总额</t>
    <phoneticPr fontId="1" type="noConversion"/>
  </si>
  <si>
    <t>销售产品材料费</t>
    <phoneticPr fontId="1" type="noConversion"/>
  </si>
  <si>
    <t>销售产品加工费</t>
    <phoneticPr fontId="1" type="noConversion"/>
  </si>
  <si>
    <t>维护费</t>
    <phoneticPr fontId="1" type="noConversion"/>
  </si>
  <si>
    <t>库存产品数量</t>
    <phoneticPr fontId="1" type="noConversion"/>
  </si>
  <si>
    <t>投产产品数量</t>
    <phoneticPr fontId="1" type="noConversion"/>
  </si>
  <si>
    <t>销售产品维护费</t>
    <phoneticPr fontId="1" type="noConversion"/>
  </si>
  <si>
    <t>销售当季所产产品数量</t>
    <phoneticPr fontId="1" type="noConversion"/>
  </si>
  <si>
    <t>比例</t>
    <phoneticPr fontId="1" type="noConversion"/>
  </si>
  <si>
    <t>租金</t>
    <phoneticPr fontId="1" type="noConversion"/>
  </si>
  <si>
    <t>工人工资</t>
    <phoneticPr fontId="1" type="noConversion"/>
  </si>
  <si>
    <t>工人数量</t>
    <phoneticPr fontId="1" type="noConversion"/>
  </si>
  <si>
    <t>工人工资费</t>
    <phoneticPr fontId="1" type="noConversion"/>
  </si>
  <si>
    <t>产品数量</t>
    <phoneticPr fontId="1" type="noConversion"/>
  </si>
  <si>
    <t>厂房租金费用</t>
    <phoneticPr fontId="1" type="noConversion"/>
  </si>
  <si>
    <t>材料总计费</t>
    <phoneticPr fontId="1" type="noConversion"/>
  </si>
  <si>
    <t>本季库存</t>
    <phoneticPr fontId="3" type="noConversion"/>
  </si>
  <si>
    <t>第
七
季
度
初</t>
    <phoneticPr fontId="3" type="noConversion"/>
  </si>
  <si>
    <t>第
六
季
度
末</t>
    <phoneticPr fontId="3" type="noConversion"/>
  </si>
  <si>
    <t>第
六
季
度
初</t>
    <phoneticPr fontId="3" type="noConversion"/>
  </si>
  <si>
    <t>第
五
季
度
末</t>
    <phoneticPr fontId="3" type="noConversion"/>
  </si>
  <si>
    <t>屏幕类型</t>
    <phoneticPr fontId="1" type="noConversion"/>
  </si>
  <si>
    <t>华东需求量</t>
  </si>
  <si>
    <t>华北需求量</t>
  </si>
  <si>
    <t>华南需求量</t>
  </si>
  <si>
    <t>华中需求量</t>
  </si>
  <si>
    <t>西南需求量</t>
  </si>
  <si>
    <t>东北需求量</t>
  </si>
  <si>
    <t>西北需求量</t>
  </si>
  <si>
    <t>最高参考价格</t>
    <phoneticPr fontId="2" type="noConversion"/>
  </si>
  <si>
    <t>余额</t>
    <phoneticPr fontId="1" type="noConversion"/>
  </si>
  <si>
    <t>产品评价分</t>
    <phoneticPr fontId="3" type="noConversion"/>
  </si>
  <si>
    <t>不研发</t>
    <phoneticPr fontId="1" type="noConversion"/>
  </si>
  <si>
    <t>经验值</t>
    <phoneticPr fontId="1" type="noConversion"/>
  </si>
  <si>
    <t>销售人数：</t>
    <phoneticPr fontId="1" type="noConversion"/>
  </si>
  <si>
    <t>经验值</t>
    <phoneticPr fontId="3" type="noConversion"/>
  </si>
  <si>
    <t>广告分</t>
    <phoneticPr fontId="1" type="noConversion"/>
  </si>
  <si>
    <t>所投广告</t>
    <phoneticPr fontId="1" type="noConversion"/>
  </si>
  <si>
    <t>权重</t>
    <phoneticPr fontId="1" type="noConversion"/>
  </si>
  <si>
    <t>找一组青年广告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</si>
</sst>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"/>
  </numFmts>
  <fonts count="3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10"/>
      <name val="等线"/>
      <family val="3"/>
      <charset val="134"/>
      <scheme val="minor"/>
    </font>
    <font>
      <b/>
      <sz val="11"/>
      <color indexed="63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sz val="12"/>
      <color indexed="10"/>
      <name val="等线"/>
      <family val="3"/>
      <charset val="134"/>
      <scheme val="minor"/>
    </font>
    <font>
      <sz val="11"/>
      <color theme="1"/>
      <name val="FangSong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0"/>
      <color rgb="FF000000"/>
      <name val="Arial"/>
      <family val="2"/>
    </font>
    <font>
      <b/>
      <sz val="36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0F8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9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4" fontId="6" fillId="3" borderId="1" xfId="1" applyNumberFormat="1" applyFont="1" applyFill="1" applyBorder="1" applyAlignment="1">
      <alignment horizontal="center" vertical="center" wrapText="1"/>
    </xf>
    <xf numFmtId="10" fontId="6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0" fontId="8" fillId="0" borderId="3" xfId="1" applyFont="1" applyBorder="1" applyAlignment="1" applyProtection="1">
      <alignment horizontal="center" shrinkToFit="1"/>
      <protection hidden="1"/>
    </xf>
    <xf numFmtId="0" fontId="9" fillId="0" borderId="5" xfId="1" applyFont="1" applyBorder="1" applyAlignment="1" applyProtection="1">
      <alignment horizontal="center" shrinkToFit="1"/>
      <protection hidden="1"/>
    </xf>
    <xf numFmtId="0" fontId="10" fillId="0" borderId="5" xfId="1" applyFont="1" applyBorder="1" applyAlignment="1" applyProtection="1">
      <alignment horizontal="center" shrinkToFit="1"/>
      <protection hidden="1"/>
    </xf>
    <xf numFmtId="0" fontId="9" fillId="0" borderId="3" xfId="1" applyFont="1" applyBorder="1" applyAlignment="1" applyProtection="1">
      <alignment horizontal="center" shrinkToFit="1"/>
      <protection hidden="1"/>
    </xf>
    <xf numFmtId="0" fontId="11" fillId="4" borderId="6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vertical="center" shrinkToFit="1"/>
      <protection hidden="1"/>
    </xf>
    <xf numFmtId="0" fontId="7" fillId="4" borderId="2" xfId="1" applyFont="1" applyFill="1" applyBorder="1" applyAlignment="1">
      <alignment horizontal="center" vertical="center"/>
    </xf>
    <xf numFmtId="0" fontId="11" fillId="5" borderId="6" xfId="1" applyFont="1" applyFill="1" applyBorder="1" applyAlignment="1" applyProtection="1">
      <alignment horizontal="center" shrinkToFit="1"/>
      <protection hidden="1"/>
    </xf>
    <xf numFmtId="0" fontId="7" fillId="5" borderId="2" xfId="1" applyFont="1" applyFill="1" applyBorder="1" applyAlignment="1">
      <alignment horizontal="center" vertical="center"/>
    </xf>
    <xf numFmtId="0" fontId="11" fillId="6" borderId="6" xfId="1" applyFont="1" applyFill="1" applyBorder="1" applyAlignment="1" applyProtection="1">
      <alignment horizontal="center" shrinkToFit="1"/>
      <protection hidden="1"/>
    </xf>
    <xf numFmtId="0" fontId="7" fillId="6" borderId="2" xfId="1" applyFont="1" applyFill="1" applyBorder="1" applyAlignment="1">
      <alignment horizontal="center" vertical="center"/>
    </xf>
    <xf numFmtId="0" fontId="11" fillId="0" borderId="7" xfId="1" applyFont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3" borderId="1" xfId="1" applyFont="1" applyFill="1" applyBorder="1" applyAlignment="1" applyProtection="1">
      <alignment horizontal="center" vertical="center" shrinkToFit="1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7" fillId="3" borderId="11" xfId="1" applyFont="1" applyFill="1" applyBorder="1" applyAlignment="1" applyProtection="1">
      <alignment horizontal="center" vertical="center" shrinkToFit="1"/>
      <protection hidden="1"/>
    </xf>
    <xf numFmtId="0" fontId="7" fillId="0" borderId="12" xfId="1" applyFont="1" applyBorder="1" applyAlignment="1" applyProtection="1">
      <alignment horizontal="center" vertical="center" shrinkToFit="1"/>
      <protection hidden="1"/>
    </xf>
    <xf numFmtId="0" fontId="7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8" xfId="1" applyFont="1" applyBorder="1" applyAlignment="1" applyProtection="1">
      <alignment horizontal="center" vertical="center" shrinkToFit="1"/>
      <protection hidden="1"/>
    </xf>
    <xf numFmtId="0" fontId="7" fillId="3" borderId="14" xfId="1" applyFont="1" applyFill="1" applyBorder="1" applyAlignment="1" applyProtection="1">
      <alignment horizontal="center" vertical="center" shrinkToFit="1"/>
      <protection hidden="1"/>
    </xf>
    <xf numFmtId="0" fontId="6" fillId="3" borderId="1" xfId="1" applyFont="1" applyFill="1" applyBorder="1" applyAlignment="1">
      <alignment horizontal="center" vertical="center" wrapText="1"/>
    </xf>
    <xf numFmtId="0" fontId="8" fillId="0" borderId="0" xfId="1" applyFont="1" applyAlignment="1" applyProtection="1">
      <alignment horizontal="center" vertical="center" shrinkToFit="1"/>
      <protection hidden="1"/>
    </xf>
    <xf numFmtId="4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6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10" fontId="7" fillId="3" borderId="8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4" xfId="1" applyNumberFormat="1" applyFont="1" applyFill="1" applyBorder="1" applyAlignment="1" applyProtection="1">
      <alignment horizontal="center" vertical="center" shrinkToFit="1"/>
      <protection hidden="1"/>
    </xf>
    <xf numFmtId="0" fontId="13" fillId="0" borderId="5" xfId="1" applyFont="1" applyBorder="1" applyAlignment="1" applyProtection="1">
      <alignment horizontal="center" vertical="center" shrinkToFit="1"/>
      <protection hidden="1"/>
    </xf>
    <xf numFmtId="0" fontId="13" fillId="0" borderId="10" xfId="1" applyFont="1" applyBorder="1" applyAlignment="1" applyProtection="1">
      <alignment horizontal="center" vertical="center" shrinkToFit="1"/>
      <protection hidden="1"/>
    </xf>
    <xf numFmtId="10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2" borderId="1" xfId="1" applyFont="1" applyFill="1" applyBorder="1" applyAlignment="1" applyProtection="1">
      <alignment horizontal="center" vertical="center" shrinkToFit="1"/>
      <protection hidden="1"/>
    </xf>
    <xf numFmtId="0" fontId="7" fillId="2" borderId="11" xfId="1" applyFont="1" applyFill="1" applyBorder="1" applyAlignment="1" applyProtection="1">
      <alignment horizontal="center" vertical="center" shrinkToFit="1"/>
      <protection hidden="1"/>
    </xf>
    <xf numFmtId="0" fontId="14" fillId="3" borderId="1" xfId="1" applyFont="1" applyFill="1" applyBorder="1" applyAlignment="1" applyProtection="1">
      <alignment horizontal="center" vertical="center" shrinkToFit="1"/>
      <protection hidden="1"/>
    </xf>
    <xf numFmtId="0" fontId="14" fillId="3" borderId="11" xfId="1" applyFont="1" applyFill="1" applyBorder="1" applyAlignment="1" applyProtection="1">
      <alignment horizontal="center" vertical="center" shrinkToFit="1"/>
      <protection hidden="1"/>
    </xf>
    <xf numFmtId="4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15" fillId="0" borderId="23" xfId="1" applyFont="1" applyBorder="1" applyAlignment="1" applyProtection="1">
      <alignment horizontal="center" shrinkToFit="1"/>
      <protection hidden="1"/>
    </xf>
    <xf numFmtId="0" fontId="7" fillId="7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 applyProtection="1">
      <alignment horizontal="center" shrinkToFit="1"/>
      <protection hidden="1"/>
    </xf>
    <xf numFmtId="0" fontId="7" fillId="0" borderId="1" xfId="1" applyFont="1" applyBorder="1" applyAlignment="1" applyProtection="1">
      <alignment horizontal="center" vertical="center"/>
      <protection hidden="1"/>
    </xf>
    <xf numFmtId="9" fontId="15" fillId="3" borderId="1" xfId="1" applyNumberFormat="1" applyFont="1" applyFill="1" applyBorder="1" applyAlignment="1" applyProtection="1">
      <alignment horizontal="center" shrinkToFit="1"/>
      <protection hidden="1"/>
    </xf>
    <xf numFmtId="0" fontId="7" fillId="3" borderId="1" xfId="1" applyFont="1" applyFill="1" applyBorder="1" applyAlignment="1" applyProtection="1">
      <alignment horizontal="center" shrinkToFit="1"/>
      <protection hidden="1"/>
    </xf>
    <xf numFmtId="9" fontId="7" fillId="3" borderId="1" xfId="1" applyNumberFormat="1" applyFont="1" applyFill="1" applyBorder="1" applyAlignment="1" applyProtection="1">
      <alignment horizontal="center" shrinkToFit="1"/>
      <protection hidden="1"/>
    </xf>
    <xf numFmtId="0" fontId="7" fillId="8" borderId="1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7" fillId="0" borderId="5" xfId="1" applyFont="1" applyBorder="1" applyAlignment="1" applyProtection="1">
      <alignment horizontal="center" vertical="center"/>
      <protection hidden="1"/>
    </xf>
    <xf numFmtId="0" fontId="7" fillId="0" borderId="21" xfId="1" applyFont="1" applyBorder="1" applyAlignment="1" applyProtection="1">
      <alignment horizontal="center" vertical="center"/>
      <protection hidden="1"/>
    </xf>
    <xf numFmtId="0" fontId="7" fillId="0" borderId="22" xfId="1" applyFont="1" applyBorder="1" applyAlignment="1" applyProtection="1">
      <alignment horizontal="center" vertical="center"/>
      <protection hidden="1"/>
    </xf>
    <xf numFmtId="0" fontId="8" fillId="0" borderId="15" xfId="1" applyFont="1" applyBorder="1" applyAlignment="1" applyProtection="1">
      <alignment horizontal="left" vertical="center" shrinkToFit="1"/>
      <protection hidden="1"/>
    </xf>
    <xf numFmtId="0" fontId="17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9" fillId="16" borderId="26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1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19" borderId="12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7" fillId="21" borderId="12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7" fillId="23" borderId="12" xfId="0" applyFont="1" applyFill="1" applyBorder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176" fontId="0" fillId="0" borderId="0" xfId="0" applyNumberFormat="1" applyAlignment="1"/>
    <xf numFmtId="0" fontId="22" fillId="6" borderId="1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22" fillId="6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4" fontId="17" fillId="12" borderId="1" xfId="0" applyNumberFormat="1" applyFont="1" applyFill="1" applyBorder="1" applyAlignment="1">
      <alignment horizontal="center" vertical="center"/>
    </xf>
    <xf numFmtId="0" fontId="17" fillId="25" borderId="2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 shrinkToFit="1"/>
    </xf>
    <xf numFmtId="4" fontId="17" fillId="0" borderId="1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4" fontId="17" fillId="13" borderId="1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76" fontId="22" fillId="13" borderId="1" xfId="0" applyNumberFormat="1" applyFont="1" applyFill="1" applyBorder="1" applyAlignment="1">
      <alignment horizontal="center" vertical="center"/>
    </xf>
    <xf numFmtId="176" fontId="13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29" borderId="1" xfId="0" applyFill="1" applyBorder="1" applyAlignment="1">
      <alignment vertical="center"/>
    </xf>
    <xf numFmtId="0" fontId="0" fillId="30" borderId="1" xfId="0" applyFill="1" applyBorder="1" applyAlignment="1" applyProtection="1">
      <alignment horizontal="center" vertical="center"/>
      <protection hidden="1"/>
    </xf>
    <xf numFmtId="2" fontId="2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176" fontId="22" fillId="0" borderId="37" xfId="0" applyNumberFormat="1" applyFont="1" applyFill="1" applyBorder="1" applyAlignment="1">
      <alignment horizontal="center" vertical="center"/>
    </xf>
    <xf numFmtId="176" fontId="13" fillId="0" borderId="37" xfId="0" applyNumberFormat="1" applyFont="1" applyFill="1" applyBorder="1" applyAlignment="1">
      <alignment horizontal="center" vertical="center"/>
    </xf>
    <xf numFmtId="176" fontId="17" fillId="0" borderId="37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176" fontId="17" fillId="0" borderId="38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28" borderId="0" xfId="0" applyFont="1" applyFill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7" fillId="12" borderId="1" xfId="0" applyFont="1" applyFill="1" applyBorder="1" applyAlignment="1">
      <alignment horizontal="center" vertical="center"/>
    </xf>
    <xf numFmtId="4" fontId="30" fillId="3" borderId="1" xfId="1" applyNumberFormat="1" applyFont="1" applyFill="1" applyBorder="1" applyAlignment="1">
      <alignment horizontal="center" vertical="center" wrapText="1"/>
    </xf>
    <xf numFmtId="0" fontId="30" fillId="0" borderId="6" xfId="1" applyFont="1" applyBorder="1" applyAlignment="1" applyProtection="1">
      <alignment horizontal="center" vertical="center" shrinkToFit="1"/>
      <protection hidden="1"/>
    </xf>
    <xf numFmtId="0" fontId="31" fillId="0" borderId="0" xfId="0" applyFont="1">
      <alignment vertical="center"/>
    </xf>
    <xf numFmtId="0" fontId="32" fillId="2" borderId="0" xfId="0" applyFont="1" applyFill="1" applyAlignment="1">
      <alignment horizontal="center" vertical="center"/>
    </xf>
    <xf numFmtId="0" fontId="31" fillId="0" borderId="0" xfId="0" applyFont="1" applyAlignment="1"/>
    <xf numFmtId="0" fontId="32" fillId="2" borderId="1" xfId="0" applyFont="1" applyFill="1" applyBorder="1" applyAlignment="1">
      <alignment horizontal="center" vertical="center"/>
    </xf>
    <xf numFmtId="0" fontId="31" fillId="0" borderId="1" xfId="0" applyFont="1" applyBorder="1" applyAlignment="1"/>
    <xf numFmtId="0" fontId="32" fillId="1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7" fillId="12" borderId="1" xfId="1" applyFont="1" applyFill="1" applyBorder="1" applyAlignment="1" applyProtection="1">
      <alignment horizontal="center" shrinkToFit="1"/>
      <protection hidden="1"/>
    </xf>
    <xf numFmtId="0" fontId="7" fillId="12" borderId="6" xfId="1" applyFont="1" applyFill="1" applyBorder="1" applyAlignment="1" applyProtection="1">
      <alignment horizontal="center" vertical="center" shrinkToFit="1"/>
      <protection hidden="1"/>
    </xf>
    <xf numFmtId="0" fontId="7" fillId="12" borderId="13" xfId="1" applyFont="1" applyFill="1" applyBorder="1" applyAlignment="1" applyProtection="1">
      <alignment horizontal="center" vertical="center" shrinkToFit="1"/>
      <protection hidden="1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4" borderId="1" xfId="1" applyFont="1" applyFill="1" applyBorder="1" applyAlignment="1">
      <alignment horizontal="center" vertical="center" wrapText="1"/>
    </xf>
    <xf numFmtId="0" fontId="7" fillId="34" borderId="6" xfId="1" applyFont="1" applyFill="1" applyBorder="1" applyAlignment="1" applyProtection="1">
      <alignment horizontal="center" vertical="center" shrinkToFit="1"/>
      <protection hidden="1"/>
    </xf>
    <xf numFmtId="0" fontId="17" fillId="34" borderId="24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0" fillId="34" borderId="1" xfId="0" applyFill="1" applyBorder="1" applyAlignment="1" applyProtection="1">
      <alignment horizontal="center" vertical="center"/>
      <protection hidden="1"/>
    </xf>
    <xf numFmtId="0" fontId="13" fillId="11" borderId="1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33" fillId="35" borderId="39" xfId="0" applyFont="1" applyFill="1" applyBorder="1" applyAlignment="1">
      <alignment horizontal="center" vertical="center"/>
    </xf>
    <xf numFmtId="0" fontId="33" fillId="36" borderId="39" xfId="0" applyFont="1" applyFill="1" applyBorder="1" applyAlignment="1">
      <alignment horizontal="center" vertical="center"/>
    </xf>
    <xf numFmtId="0" fontId="33" fillId="35" borderId="40" xfId="0" applyFont="1" applyFill="1" applyBorder="1" applyAlignment="1">
      <alignment horizontal="center" vertical="center"/>
    </xf>
    <xf numFmtId="0" fontId="34" fillId="35" borderId="3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2" fontId="25" fillId="5" borderId="0" xfId="0" applyNumberFormat="1" applyFont="1" applyFill="1" applyAlignment="1">
      <alignment horizontal="center" vertical="center"/>
    </xf>
    <xf numFmtId="0" fontId="0" fillId="30" borderId="0" xfId="0" applyFill="1" applyAlignment="1"/>
    <xf numFmtId="0" fontId="0" fillId="30" borderId="0" xfId="0" applyFill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7" fillId="11" borderId="22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34" fillId="35" borderId="43" xfId="0" applyFont="1" applyFill="1" applyBorder="1" applyAlignment="1">
      <alignment horizontal="center" vertical="center"/>
    </xf>
    <xf numFmtId="177" fontId="17" fillId="14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6" borderId="1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18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5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36" fillId="2" borderId="0" xfId="0" applyFont="1" applyFill="1" applyAlignment="1">
      <alignment horizontal="center" vertical="center"/>
    </xf>
    <xf numFmtId="0" fontId="0" fillId="37" borderId="0" xfId="0" applyFill="1">
      <alignment vertical="center"/>
    </xf>
    <xf numFmtId="0" fontId="36" fillId="37" borderId="0" xfId="0" applyFont="1" applyFill="1" applyAlignment="1">
      <alignment horizontal="center" vertical="center"/>
    </xf>
    <xf numFmtId="0" fontId="17" fillId="38" borderId="1" xfId="0" applyFont="1" applyFill="1" applyBorder="1" applyAlignment="1">
      <alignment horizontal="center" vertical="center"/>
    </xf>
    <xf numFmtId="0" fontId="13" fillId="38" borderId="1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6" xfId="1" applyFont="1" applyBorder="1" applyAlignment="1" applyProtection="1">
      <alignment horizontal="center" vertical="center" shrinkToFit="1"/>
      <protection hidden="1"/>
    </xf>
    <xf numFmtId="0" fontId="7" fillId="0" borderId="17" xfId="1" applyFont="1" applyBorder="1" applyAlignment="1" applyProtection="1">
      <alignment horizontal="center" vertical="center" shrinkToFit="1"/>
      <protection hidden="1"/>
    </xf>
    <xf numFmtId="0" fontId="7" fillId="0" borderId="3" xfId="1" applyFont="1" applyBorder="1" applyAlignment="1" applyProtection="1">
      <alignment horizontal="center" vertical="center" shrinkToFit="1"/>
      <protection hidden="1"/>
    </xf>
    <xf numFmtId="0" fontId="7" fillId="0" borderId="18" xfId="1" applyFont="1" applyBorder="1" applyAlignment="1" applyProtection="1">
      <alignment horizontal="center" vertical="center" shrinkToFit="1"/>
      <protection hidden="1"/>
    </xf>
    <xf numFmtId="0" fontId="8" fillId="0" borderId="19" xfId="1" applyFont="1" applyBorder="1" applyAlignment="1" applyProtection="1">
      <alignment horizontal="left" shrinkToFit="1"/>
      <protection hidden="1"/>
    </xf>
    <xf numFmtId="0" fontId="8" fillId="0" borderId="20" xfId="1" applyFont="1" applyBorder="1" applyAlignment="1" applyProtection="1">
      <alignment horizontal="left" shrinkToFit="1"/>
      <protection hidden="1"/>
    </xf>
    <xf numFmtId="0" fontId="0" fillId="29" borderId="22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17" fillId="28" borderId="4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1" fillId="34" borderId="12" xfId="0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6" borderId="0" xfId="0" applyFont="1" applyFill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2" borderId="42" xfId="0" applyFont="1" applyFill="1" applyBorder="1" applyAlignment="1">
      <alignment horizontal="center" vertical="center"/>
    </xf>
    <xf numFmtId="0" fontId="33" fillId="35" borderId="41" xfId="0" applyFont="1" applyFill="1" applyBorder="1" applyAlignment="1">
      <alignment horizontal="center" vertical="center"/>
    </xf>
    <xf numFmtId="0" fontId="33" fillId="35" borderId="23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176" fontId="17" fillId="0" borderId="35" xfId="0" applyNumberFormat="1" applyFont="1" applyFill="1" applyBorder="1" applyAlignment="1">
      <alignment horizontal="center" vertical="center"/>
    </xf>
    <xf numFmtId="176" fontId="17" fillId="0" borderId="36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 shrinkToFit="1"/>
    </xf>
    <xf numFmtId="0" fontId="17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shrinkToFit="1"/>
    </xf>
    <xf numFmtId="0" fontId="27" fillId="0" borderId="19" xfId="0" applyFont="1" applyFill="1" applyBorder="1" applyAlignment="1">
      <alignment horizontal="center" vertical="center" shrinkToFit="1"/>
    </xf>
    <xf numFmtId="0" fontId="27" fillId="0" borderId="20" xfId="0" applyFont="1" applyFill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left" vertical="center" shrinkToFit="1"/>
    </xf>
    <xf numFmtId="0" fontId="17" fillId="0" borderId="1" xfId="0" applyFont="1" applyFill="1" applyBorder="1" applyAlignment="1">
      <alignment horizontal="center" vertical="center" wrapText="1" shrinkToFit="1"/>
    </xf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 wrapText="1" shrinkToFit="1"/>
    </xf>
    <xf numFmtId="0" fontId="27" fillId="0" borderId="2" xfId="0" applyFont="1" applyBorder="1" applyAlignment="1">
      <alignment horizontal="center" vertical="center" shrinkToFit="1"/>
    </xf>
    <xf numFmtId="0" fontId="27" fillId="0" borderId="30" xfId="0" applyFont="1" applyBorder="1" applyAlignment="1">
      <alignment horizontal="center" vertical="center" shrinkToFit="1"/>
    </xf>
    <xf numFmtId="0" fontId="27" fillId="0" borderId="27" xfId="0" applyFont="1" applyBorder="1" applyAlignment="1">
      <alignment horizontal="center" vertical="center" shrinkToFit="1"/>
    </xf>
    <xf numFmtId="176" fontId="17" fillId="13" borderId="2" xfId="0" applyNumberFormat="1" applyFont="1" applyFill="1" applyBorder="1" applyAlignment="1">
      <alignment horizontal="center" vertical="center"/>
    </xf>
    <xf numFmtId="176" fontId="17" fillId="13" borderId="27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24" xfId="0" applyFont="1" applyBorder="1" applyAlignment="1">
      <alignment horizontal="center" vertical="center" shrinkToFit="1"/>
    </xf>
    <xf numFmtId="0" fontId="27" fillId="0" borderId="22" xfId="0" applyFont="1" applyBorder="1" applyAlignment="1">
      <alignment horizontal="center" vertical="center" shrinkToFit="1"/>
    </xf>
    <xf numFmtId="0" fontId="27" fillId="0" borderId="23" xfId="0" applyFont="1" applyBorder="1" applyAlignment="1">
      <alignment horizontal="center" vertical="center" shrinkToFit="1"/>
    </xf>
  </cellXfs>
  <cellStyles count="2">
    <cellStyle name="常规" xfId="0" builtinId="0"/>
    <cellStyle name="常规 2" xfId="1" xr:uid="{1D184C0B-7D82-4329-85E1-CB314FEDC9E4}"/>
  </cellStyles>
  <dxfs count="4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32</xdr:row>
      <xdr:rowOff>161365</xdr:rowOff>
    </xdr:from>
    <xdr:to>
      <xdr:col>17</xdr:col>
      <xdr:colOff>439270</xdr:colOff>
      <xdr:row>38</xdr:row>
      <xdr:rowOff>152400</xdr:rowOff>
    </xdr:to>
    <xdr:sp macro="" textlink="">
      <xdr:nvSpPr>
        <xdr:cNvPr id="2" name="闪电形 1">
          <a:extLst>
            <a:ext uri="{FF2B5EF4-FFF2-40B4-BE49-F238E27FC236}">
              <a16:creationId xmlns:a16="http://schemas.microsoft.com/office/drawing/2014/main" id="{4BD3769C-2909-873E-5361-B4603515195F}"/>
            </a:ext>
          </a:extLst>
        </xdr:cNvPr>
        <xdr:cNvSpPr/>
      </xdr:nvSpPr>
      <xdr:spPr>
        <a:xfrm>
          <a:off x="6893859" y="8758518"/>
          <a:ext cx="753035" cy="106680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F389-23E0-4742-9763-F00EB896B026}">
  <sheetPr codeName="Sheet1"/>
  <dimension ref="A1:P172"/>
  <sheetViews>
    <sheetView topLeftCell="D1" zoomScale="98" zoomScaleNormal="100" workbookViewId="0">
      <selection activeCell="E15" sqref="E15"/>
    </sheetView>
  </sheetViews>
  <sheetFormatPr defaultRowHeight="14.4"/>
  <cols>
    <col min="1" max="1" width="28.21875" style="68" customWidth="1"/>
    <col min="2" max="2" width="19.33203125" style="68" customWidth="1"/>
    <col min="3" max="3" width="101.88671875" style="68" bestFit="1" customWidth="1"/>
    <col min="4" max="4" width="8.88671875" style="68"/>
    <col min="5" max="5" width="19.109375" style="68" customWidth="1"/>
    <col min="6" max="6" width="13.109375" style="68" customWidth="1"/>
    <col min="7" max="7" width="19.21875" style="68" customWidth="1"/>
    <col min="8" max="8" width="9" style="68" customWidth="1"/>
    <col min="9" max="9" width="19.109375" style="68" customWidth="1"/>
    <col min="10" max="10" width="8.88671875" style="68"/>
    <col min="11" max="11" width="11" style="68" customWidth="1"/>
    <col min="12" max="12" width="14.21875" style="68" bestFit="1" customWidth="1"/>
    <col min="13" max="14" width="8.88671875" style="68"/>
    <col min="15" max="15" width="11.88671875" style="68" bestFit="1" customWidth="1"/>
    <col min="16" max="16384" width="8.88671875" style="68"/>
  </cols>
  <sheetData>
    <row r="1" spans="1:13" ht="25.2" customHeight="1">
      <c r="A1" s="218" t="s">
        <v>0</v>
      </c>
      <c r="B1" s="201">
        <v>600000</v>
      </c>
      <c r="C1" s="3" t="s">
        <v>1</v>
      </c>
      <c r="D1" s="67"/>
      <c r="E1" s="218" t="s">
        <v>2</v>
      </c>
      <c r="F1" s="218" t="s">
        <v>3</v>
      </c>
      <c r="G1" s="218" t="s">
        <v>4</v>
      </c>
      <c r="H1" s="67"/>
      <c r="I1" s="67"/>
      <c r="J1" s="67"/>
      <c r="K1" s="67"/>
      <c r="L1" s="67"/>
      <c r="M1" s="67"/>
    </row>
    <row r="2" spans="1:13" ht="16.05" customHeight="1">
      <c r="A2" s="218" t="s">
        <v>5</v>
      </c>
      <c r="B2" s="4">
        <v>3000</v>
      </c>
      <c r="C2" s="3" t="s">
        <v>6</v>
      </c>
      <c r="D2" s="67"/>
      <c r="E2" s="210" t="s">
        <v>7</v>
      </c>
      <c r="F2" s="62">
        <v>0</v>
      </c>
      <c r="G2" s="62">
        <v>0</v>
      </c>
      <c r="H2" s="67"/>
      <c r="I2" s="67"/>
      <c r="J2" s="67"/>
      <c r="K2" s="67"/>
      <c r="L2" s="67"/>
      <c r="M2" s="67"/>
    </row>
    <row r="3" spans="1:13" ht="16.05" customHeight="1">
      <c r="A3" s="218" t="s">
        <v>8</v>
      </c>
      <c r="B3" s="4">
        <v>10000</v>
      </c>
      <c r="C3" s="3" t="s">
        <v>9</v>
      </c>
      <c r="D3" s="67"/>
      <c r="E3" s="210" t="s">
        <v>10</v>
      </c>
      <c r="F3" s="62">
        <v>20000</v>
      </c>
      <c r="G3" s="62">
        <v>1</v>
      </c>
      <c r="H3" s="67"/>
      <c r="I3" s="67"/>
      <c r="J3" s="67"/>
      <c r="K3" s="67"/>
      <c r="L3" s="67"/>
      <c r="M3" s="67"/>
    </row>
    <row r="4" spans="1:13" ht="16.05" customHeight="1">
      <c r="A4" s="218" t="s">
        <v>11</v>
      </c>
      <c r="B4" s="5">
        <v>0.25</v>
      </c>
      <c r="C4" s="3" t="s">
        <v>12</v>
      </c>
      <c r="D4" s="67"/>
      <c r="E4" s="210" t="s">
        <v>13</v>
      </c>
      <c r="F4" s="62">
        <v>20000</v>
      </c>
      <c r="G4" s="62">
        <v>2</v>
      </c>
      <c r="H4" s="67"/>
      <c r="I4" s="67"/>
      <c r="J4" s="67"/>
      <c r="K4" s="67"/>
      <c r="L4" s="67"/>
      <c r="M4" s="67"/>
    </row>
    <row r="5" spans="1:13" ht="16.05" customHeight="1">
      <c r="A5" s="3" t="s">
        <v>14</v>
      </c>
      <c r="B5" s="5">
        <v>0</v>
      </c>
      <c r="C5" s="3" t="s">
        <v>15</v>
      </c>
      <c r="D5" s="67"/>
      <c r="E5" s="210" t="s">
        <v>16</v>
      </c>
      <c r="F5" s="62">
        <v>20000</v>
      </c>
      <c r="G5" s="62">
        <v>2</v>
      </c>
      <c r="H5" s="67"/>
      <c r="I5" s="67"/>
      <c r="J5" s="67"/>
      <c r="K5" s="67"/>
      <c r="L5" s="67"/>
      <c r="M5" s="67"/>
    </row>
    <row r="6" spans="1:13" ht="16.05" customHeight="1">
      <c r="A6" s="218" t="s">
        <v>17</v>
      </c>
      <c r="B6" s="5">
        <v>0.17</v>
      </c>
      <c r="C6" s="3" t="s">
        <v>18</v>
      </c>
      <c r="D6" s="67"/>
      <c r="E6" s="210" t="s">
        <v>19</v>
      </c>
      <c r="F6" s="62">
        <v>20000</v>
      </c>
      <c r="G6" s="62">
        <v>2</v>
      </c>
      <c r="H6" s="67"/>
      <c r="I6" s="67"/>
      <c r="J6" s="67"/>
      <c r="K6" s="67"/>
      <c r="L6" s="67"/>
      <c r="M6" s="67"/>
    </row>
    <row r="7" spans="1:13" ht="16.05" customHeight="1">
      <c r="A7" s="218" t="s">
        <v>20</v>
      </c>
      <c r="B7" s="5">
        <v>7.0000000000000007E-2</v>
      </c>
      <c r="C7" s="3" t="s">
        <v>21</v>
      </c>
      <c r="D7" s="67"/>
      <c r="E7" s="210" t="s">
        <v>22</v>
      </c>
      <c r="F7" s="62">
        <v>20000</v>
      </c>
      <c r="G7" s="57">
        <v>3</v>
      </c>
      <c r="H7" s="67"/>
      <c r="I7" s="67"/>
      <c r="J7" s="67"/>
      <c r="K7" s="67"/>
      <c r="L7" s="67"/>
      <c r="M7" s="67"/>
    </row>
    <row r="8" spans="1:13" ht="16.05" customHeight="1">
      <c r="A8" s="218" t="s">
        <v>23</v>
      </c>
      <c r="B8" s="5">
        <v>0.03</v>
      </c>
      <c r="C8" s="3" t="s">
        <v>24</v>
      </c>
      <c r="D8" s="67"/>
      <c r="E8" s="210" t="s">
        <v>25</v>
      </c>
      <c r="F8" s="62">
        <v>20000</v>
      </c>
      <c r="G8" s="57">
        <v>3</v>
      </c>
      <c r="H8" s="67"/>
      <c r="I8" s="67"/>
      <c r="J8" s="67"/>
      <c r="K8" s="67"/>
      <c r="L8" s="67"/>
      <c r="M8" s="67"/>
    </row>
    <row r="9" spans="1:13" ht="16.05" customHeight="1" thickBot="1">
      <c r="A9" s="218" t="s">
        <v>26</v>
      </c>
      <c r="B9" s="5">
        <v>0.02</v>
      </c>
      <c r="C9" s="3" t="s">
        <v>27</v>
      </c>
      <c r="D9" s="67"/>
      <c r="E9" s="67"/>
      <c r="F9" s="67"/>
      <c r="G9" s="67"/>
      <c r="H9" s="67"/>
      <c r="I9" s="67"/>
      <c r="J9" s="67"/>
      <c r="K9" s="67"/>
      <c r="L9" s="67"/>
      <c r="M9" s="67"/>
    </row>
    <row r="10" spans="1:13" ht="16.05" customHeight="1">
      <c r="A10" s="218" t="s">
        <v>28</v>
      </c>
      <c r="B10" s="6">
        <v>1000</v>
      </c>
      <c r="C10" s="3" t="s">
        <v>29</v>
      </c>
      <c r="D10" s="67"/>
      <c r="E10" s="7" t="s">
        <v>30</v>
      </c>
      <c r="F10" s="218" t="s">
        <v>439</v>
      </c>
      <c r="G10" s="8" t="s">
        <v>31</v>
      </c>
      <c r="H10" s="8" t="s">
        <v>32</v>
      </c>
      <c r="I10" s="9" t="s">
        <v>33</v>
      </c>
      <c r="J10" s="9" t="s">
        <v>34</v>
      </c>
      <c r="K10" s="8" t="s">
        <v>35</v>
      </c>
      <c r="L10" s="10" t="s">
        <v>36</v>
      </c>
      <c r="M10" s="67"/>
    </row>
    <row r="11" spans="1:13" ht="16.05" customHeight="1">
      <c r="A11" s="218" t="s">
        <v>37</v>
      </c>
      <c r="B11" s="4">
        <v>10000</v>
      </c>
      <c r="C11" s="3" t="s">
        <v>38</v>
      </c>
      <c r="D11" s="67"/>
      <c r="E11" s="11" t="s">
        <v>39</v>
      </c>
      <c r="F11" s="12">
        <v>1000</v>
      </c>
      <c r="G11" s="13">
        <v>10</v>
      </c>
      <c r="H11" s="13">
        <v>15</v>
      </c>
      <c r="I11" s="218">
        <v>60</v>
      </c>
      <c r="J11" s="13">
        <v>10</v>
      </c>
      <c r="K11" s="13">
        <v>5</v>
      </c>
      <c r="L11" s="14">
        <f>SUM(G11:K11)</f>
        <v>100</v>
      </c>
      <c r="M11" s="67"/>
    </row>
    <row r="12" spans="1:13" ht="16.05" customHeight="1">
      <c r="A12" s="218" t="s">
        <v>40</v>
      </c>
      <c r="B12" s="5">
        <v>0.2</v>
      </c>
      <c r="C12" s="3" t="s">
        <v>41</v>
      </c>
      <c r="D12" s="67"/>
      <c r="E12" s="15" t="s">
        <v>42</v>
      </c>
      <c r="F12" s="12">
        <v>800</v>
      </c>
      <c r="G12" s="13">
        <v>15</v>
      </c>
      <c r="H12" s="218">
        <v>25</v>
      </c>
      <c r="I12" s="13">
        <v>50</v>
      </c>
      <c r="J12" s="13">
        <v>5</v>
      </c>
      <c r="K12" s="13">
        <v>5</v>
      </c>
      <c r="L12" s="16">
        <f>SUM(G12:K12)</f>
        <v>100</v>
      </c>
      <c r="M12" s="67"/>
    </row>
    <row r="13" spans="1:13" ht="16.05" customHeight="1">
      <c r="A13" s="218" t="s">
        <v>43</v>
      </c>
      <c r="B13" s="5">
        <v>0.02</v>
      </c>
      <c r="C13" s="3" t="s">
        <v>44</v>
      </c>
      <c r="D13" s="67"/>
      <c r="E13" s="17" t="s">
        <v>45</v>
      </c>
      <c r="F13" s="12">
        <v>600</v>
      </c>
      <c r="G13" s="13">
        <v>25</v>
      </c>
      <c r="H13" s="13">
        <v>15</v>
      </c>
      <c r="I13" s="13">
        <v>40</v>
      </c>
      <c r="J13" s="13">
        <v>5</v>
      </c>
      <c r="K13" s="13">
        <v>15</v>
      </c>
      <c r="L13" s="18">
        <f>SUM(G13:K13)</f>
        <v>100</v>
      </c>
      <c r="M13" s="67"/>
    </row>
    <row r="14" spans="1:13" ht="16.05" customHeight="1" thickBot="1">
      <c r="A14" s="218" t="s">
        <v>46</v>
      </c>
      <c r="B14" s="5">
        <v>5.0000000000000001E-3</v>
      </c>
      <c r="C14" s="3" t="s">
        <v>47</v>
      </c>
      <c r="D14" s="67"/>
      <c r="E14" s="19" t="s">
        <v>48</v>
      </c>
      <c r="F14" s="20">
        <v>400</v>
      </c>
      <c r="G14" s="218">
        <v>50</v>
      </c>
      <c r="H14" s="21">
        <v>5</v>
      </c>
      <c r="I14" s="21">
        <v>30</v>
      </c>
      <c r="J14" s="21">
        <v>10</v>
      </c>
      <c r="K14" s="13">
        <v>5</v>
      </c>
      <c r="L14" s="22">
        <f>SUM(G14:K14)</f>
        <v>100</v>
      </c>
      <c r="M14" s="67"/>
    </row>
    <row r="15" spans="1:13" ht="16.05" customHeight="1" thickBot="1">
      <c r="A15" s="218" t="s">
        <v>49</v>
      </c>
      <c r="B15" s="5">
        <v>6.0000000000000001E-3</v>
      </c>
      <c r="C15" s="3" t="s">
        <v>50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3" ht="16.05" customHeight="1">
      <c r="A16" s="218" t="s">
        <v>51</v>
      </c>
      <c r="B16" s="5">
        <v>0.115</v>
      </c>
      <c r="C16" s="3" t="s">
        <v>52</v>
      </c>
      <c r="D16" s="67"/>
      <c r="E16" s="218" t="s">
        <v>53</v>
      </c>
      <c r="F16" s="24" t="s">
        <v>54</v>
      </c>
      <c r="G16" s="24" t="s">
        <v>55</v>
      </c>
      <c r="H16" s="24" t="s">
        <v>56</v>
      </c>
      <c r="I16" s="24" t="s">
        <v>57</v>
      </c>
      <c r="J16" s="24" t="s">
        <v>58</v>
      </c>
      <c r="K16" s="24" t="s">
        <v>59</v>
      </c>
      <c r="L16" s="25" t="s">
        <v>60</v>
      </c>
      <c r="M16" s="67"/>
    </row>
    <row r="17" spans="1:13" ht="16.05" customHeight="1">
      <c r="A17" s="218" t="s">
        <v>61</v>
      </c>
      <c r="B17" s="4">
        <v>2000</v>
      </c>
      <c r="C17" s="3" t="s">
        <v>62</v>
      </c>
      <c r="D17" s="67"/>
      <c r="E17" s="211" t="s">
        <v>63</v>
      </c>
      <c r="F17" s="27">
        <v>500</v>
      </c>
      <c r="G17" s="27">
        <v>100</v>
      </c>
      <c r="H17" s="28">
        <v>500</v>
      </c>
      <c r="I17" s="28">
        <v>0.05</v>
      </c>
      <c r="J17" s="29">
        <v>4000</v>
      </c>
      <c r="K17" s="27">
        <v>1</v>
      </c>
      <c r="L17" s="30">
        <v>4000</v>
      </c>
      <c r="M17" s="67"/>
    </row>
    <row r="18" spans="1:13" ht="16.05" customHeight="1" thickBot="1">
      <c r="A18" s="218" t="s">
        <v>64</v>
      </c>
      <c r="B18" s="5">
        <v>0.05</v>
      </c>
      <c r="C18" s="3" t="s">
        <v>65</v>
      </c>
      <c r="D18" s="67"/>
      <c r="E18" s="212" t="s">
        <v>66</v>
      </c>
      <c r="F18" s="31">
        <v>300</v>
      </c>
      <c r="G18" s="31">
        <v>90</v>
      </c>
      <c r="H18" s="32">
        <v>300</v>
      </c>
      <c r="I18" s="32">
        <v>0.03</v>
      </c>
      <c r="J18" s="33">
        <v>3600</v>
      </c>
      <c r="K18" s="31">
        <v>1</v>
      </c>
      <c r="L18" s="30">
        <v>2000</v>
      </c>
      <c r="M18" s="67"/>
    </row>
    <row r="19" spans="1:13" ht="16.05" customHeight="1">
      <c r="A19" s="3" t="s">
        <v>67</v>
      </c>
      <c r="B19" s="34">
        <v>3</v>
      </c>
      <c r="C19" s="218" t="s">
        <v>68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6.05" customHeight="1" thickBot="1">
      <c r="A20" s="218" t="s">
        <v>69</v>
      </c>
      <c r="B20" s="5">
        <v>0.2</v>
      </c>
      <c r="C20" s="3" t="s">
        <v>70</v>
      </c>
      <c r="D20" s="67"/>
      <c r="E20" s="72" t="s">
        <v>71</v>
      </c>
      <c r="F20" s="35"/>
      <c r="G20" s="35"/>
      <c r="H20" s="35"/>
      <c r="I20" s="35"/>
      <c r="J20" s="35"/>
      <c r="K20" s="54"/>
      <c r="L20" s="67"/>
      <c r="M20" s="67"/>
    </row>
    <row r="21" spans="1:13" ht="16.05" customHeight="1">
      <c r="A21" s="3" t="s">
        <v>72</v>
      </c>
      <c r="B21" s="34">
        <v>3</v>
      </c>
      <c r="C21" s="218" t="s">
        <v>73</v>
      </c>
      <c r="D21" s="67"/>
      <c r="E21" s="279" t="s">
        <v>74</v>
      </c>
      <c r="F21" s="280"/>
      <c r="G21" s="281" t="s">
        <v>75</v>
      </c>
      <c r="H21" s="280"/>
      <c r="I21" s="281" t="s">
        <v>76</v>
      </c>
      <c r="J21" s="282"/>
      <c r="K21" s="54"/>
      <c r="L21" s="67"/>
      <c r="M21" s="67"/>
    </row>
    <row r="22" spans="1:13" ht="16.05" customHeight="1">
      <c r="A22" s="3" t="s">
        <v>77</v>
      </c>
      <c r="B22" s="4">
        <v>200000</v>
      </c>
      <c r="C22" s="3" t="s">
        <v>78</v>
      </c>
      <c r="D22" s="67"/>
      <c r="E22" s="26" t="s">
        <v>79</v>
      </c>
      <c r="F22" s="27">
        <v>6</v>
      </c>
      <c r="G22" s="28" t="s">
        <v>79</v>
      </c>
      <c r="H22" s="27">
        <v>4</v>
      </c>
      <c r="I22" s="28" t="s">
        <v>79</v>
      </c>
      <c r="J22" s="29">
        <v>2</v>
      </c>
      <c r="K22" s="54"/>
      <c r="L22" s="67"/>
      <c r="M22" s="67"/>
    </row>
    <row r="23" spans="1:13" ht="16.05" customHeight="1">
      <c r="A23" s="3" t="s">
        <v>80</v>
      </c>
      <c r="B23" s="5">
        <v>0.03</v>
      </c>
      <c r="C23" s="3" t="s">
        <v>81</v>
      </c>
      <c r="D23" s="67"/>
      <c r="E23" s="26" t="s">
        <v>82</v>
      </c>
      <c r="F23" s="36">
        <v>120000</v>
      </c>
      <c r="G23" s="28" t="s">
        <v>83</v>
      </c>
      <c r="H23" s="36">
        <v>80000</v>
      </c>
      <c r="I23" s="28" t="s">
        <v>83</v>
      </c>
      <c r="J23" s="37">
        <v>50000</v>
      </c>
      <c r="K23" s="54"/>
      <c r="L23" s="67"/>
      <c r="M23" s="67"/>
    </row>
    <row r="24" spans="1:13" ht="16.05" customHeight="1">
      <c r="A24" s="3" t="s">
        <v>84</v>
      </c>
      <c r="B24" s="5">
        <v>0.06</v>
      </c>
      <c r="C24" s="3" t="s">
        <v>85</v>
      </c>
      <c r="D24" s="67"/>
      <c r="E24" s="38" t="s">
        <v>86</v>
      </c>
      <c r="F24" s="36">
        <v>11000</v>
      </c>
      <c r="G24" s="28" t="s">
        <v>86</v>
      </c>
      <c r="H24" s="36">
        <v>8000</v>
      </c>
      <c r="I24" s="28" t="s">
        <v>86</v>
      </c>
      <c r="J24" s="37">
        <v>5000</v>
      </c>
      <c r="K24" s="54"/>
      <c r="L24" s="67"/>
      <c r="M24" s="67"/>
    </row>
    <row r="25" spans="1:13" ht="16.05" customHeight="1" thickBot="1">
      <c r="A25" s="3" t="s">
        <v>87</v>
      </c>
      <c r="B25" s="5">
        <v>0.08</v>
      </c>
      <c r="C25" s="3" t="s">
        <v>88</v>
      </c>
      <c r="D25" s="67"/>
      <c r="E25" s="39" t="s">
        <v>89</v>
      </c>
      <c r="F25" s="40">
        <v>0.02</v>
      </c>
      <c r="G25" s="32" t="s">
        <v>89</v>
      </c>
      <c r="H25" s="40">
        <v>0.02</v>
      </c>
      <c r="I25" s="32" t="s">
        <v>89</v>
      </c>
      <c r="J25" s="41">
        <v>0.02</v>
      </c>
      <c r="K25" s="54"/>
      <c r="L25" s="67"/>
      <c r="M25" s="67"/>
    </row>
    <row r="26" spans="1:13" ht="16.05" customHeight="1">
      <c r="A26" s="3" t="s">
        <v>90</v>
      </c>
      <c r="B26" s="5">
        <v>0.1</v>
      </c>
      <c r="C26" s="3" t="s">
        <v>91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</row>
    <row r="27" spans="1:13" ht="16.05" customHeight="1" thickBot="1">
      <c r="A27" s="218" t="s">
        <v>92</v>
      </c>
      <c r="B27" s="34" t="s">
        <v>93</v>
      </c>
      <c r="C27" s="3" t="s">
        <v>94</v>
      </c>
      <c r="D27" s="67"/>
      <c r="E27" s="283" t="s">
        <v>95</v>
      </c>
      <c r="F27" s="284"/>
      <c r="G27" s="284"/>
      <c r="H27" s="284"/>
      <c r="I27" s="54"/>
      <c r="J27" s="67"/>
      <c r="K27" s="67"/>
      <c r="L27" s="67"/>
      <c r="M27" s="67"/>
    </row>
    <row r="28" spans="1:13" ht="16.05" customHeight="1">
      <c r="A28" s="3" t="s">
        <v>96</v>
      </c>
      <c r="B28" s="5">
        <v>0.02</v>
      </c>
      <c r="C28" s="3" t="s">
        <v>97</v>
      </c>
      <c r="D28" s="67"/>
      <c r="E28" s="23"/>
      <c r="F28" s="42" t="s">
        <v>98</v>
      </c>
      <c r="G28" s="42" t="s">
        <v>99</v>
      </c>
      <c r="H28" s="42" t="s">
        <v>100</v>
      </c>
      <c r="I28" s="43" t="s">
        <v>101</v>
      </c>
      <c r="J28" s="67"/>
      <c r="K28" s="67"/>
      <c r="L28" s="67"/>
      <c r="M28" s="67"/>
    </row>
    <row r="29" spans="1:13" ht="16.05" customHeight="1">
      <c r="A29" s="3" t="s">
        <v>102</v>
      </c>
      <c r="B29" s="5">
        <v>0.05</v>
      </c>
      <c r="C29" s="3" t="s">
        <v>103</v>
      </c>
      <c r="D29" s="67"/>
      <c r="E29" s="202" t="s">
        <v>104</v>
      </c>
      <c r="F29" s="36">
        <v>120000</v>
      </c>
      <c r="G29" s="36">
        <v>100000</v>
      </c>
      <c r="H29" s="36">
        <v>70000</v>
      </c>
      <c r="I29" s="37">
        <v>50000</v>
      </c>
      <c r="J29" s="67"/>
      <c r="K29" s="67"/>
      <c r="L29" s="67"/>
      <c r="M29" s="67"/>
    </row>
    <row r="30" spans="1:13" ht="16.05" customHeight="1">
      <c r="A30" s="3" t="s">
        <v>105</v>
      </c>
      <c r="B30" s="5">
        <v>0.3</v>
      </c>
      <c r="C30" s="3" t="s">
        <v>165</v>
      </c>
      <c r="D30" s="67"/>
      <c r="E30" s="202" t="s">
        <v>106</v>
      </c>
      <c r="F30" s="44">
        <v>0.9</v>
      </c>
      <c r="G30" s="44">
        <v>0.85</v>
      </c>
      <c r="H30" s="44">
        <v>0.8</v>
      </c>
      <c r="I30" s="45">
        <v>0.75</v>
      </c>
      <c r="J30" s="67"/>
      <c r="K30" s="67"/>
      <c r="L30" s="67"/>
      <c r="M30" s="67"/>
    </row>
    <row r="31" spans="1:13" ht="16.05" customHeight="1">
      <c r="A31" s="3" t="s">
        <v>107</v>
      </c>
      <c r="B31" s="4">
        <v>30000</v>
      </c>
      <c r="C31" s="3" t="s">
        <v>108</v>
      </c>
      <c r="D31" s="67"/>
      <c r="E31" s="202" t="s">
        <v>109</v>
      </c>
      <c r="F31" s="27">
        <v>1</v>
      </c>
      <c r="G31" s="27">
        <v>1</v>
      </c>
      <c r="H31" s="27">
        <v>1</v>
      </c>
      <c r="I31" s="29">
        <v>0</v>
      </c>
      <c r="J31" s="67"/>
      <c r="K31" s="67"/>
      <c r="L31" s="67"/>
      <c r="M31" s="67"/>
    </row>
    <row r="32" spans="1:13" ht="16.05" customHeight="1">
      <c r="A32" s="3" t="s">
        <v>110</v>
      </c>
      <c r="B32" s="4">
        <v>20000</v>
      </c>
      <c r="C32" s="3" t="s">
        <v>111</v>
      </c>
      <c r="D32" s="67"/>
      <c r="E32" s="26" t="s">
        <v>112</v>
      </c>
      <c r="F32" s="27">
        <v>10</v>
      </c>
      <c r="G32" s="27">
        <v>20</v>
      </c>
      <c r="H32" s="27">
        <v>25</v>
      </c>
      <c r="I32" s="29">
        <v>30</v>
      </c>
      <c r="J32" s="67"/>
      <c r="K32" s="67"/>
      <c r="L32" s="67"/>
      <c r="M32" s="67"/>
    </row>
    <row r="33" spans="1:16" ht="16.05" customHeight="1">
      <c r="A33" s="218" t="s">
        <v>113</v>
      </c>
      <c r="B33" s="34">
        <v>3</v>
      </c>
      <c r="C33" s="3" t="s">
        <v>114</v>
      </c>
      <c r="D33" s="67"/>
      <c r="E33" s="26" t="s">
        <v>115</v>
      </c>
      <c r="F33" s="36">
        <v>3000</v>
      </c>
      <c r="G33" s="36">
        <v>2500</v>
      </c>
      <c r="H33" s="36">
        <v>2000</v>
      </c>
      <c r="I33" s="37">
        <v>1500</v>
      </c>
      <c r="J33" s="67"/>
      <c r="K33" s="67"/>
      <c r="L33" s="67"/>
      <c r="M33" s="67"/>
    </row>
    <row r="34" spans="1:16" ht="16.05" customHeight="1">
      <c r="A34" s="3" t="s">
        <v>116</v>
      </c>
      <c r="B34" s="34">
        <v>5</v>
      </c>
      <c r="C34" s="3" t="s">
        <v>117</v>
      </c>
      <c r="D34" s="67"/>
      <c r="E34" s="26" t="s">
        <v>118</v>
      </c>
      <c r="F34" s="46">
        <v>1</v>
      </c>
      <c r="G34" s="46">
        <v>1</v>
      </c>
      <c r="H34" s="46">
        <v>1</v>
      </c>
      <c r="I34" s="47">
        <v>1</v>
      </c>
      <c r="J34" s="67"/>
      <c r="K34" s="67"/>
      <c r="L34" s="67"/>
      <c r="M34" s="67"/>
    </row>
    <row r="35" spans="1:16" ht="16.05" customHeight="1">
      <c r="A35" s="218" t="s">
        <v>119</v>
      </c>
      <c r="B35" s="4">
        <v>1000</v>
      </c>
      <c r="C35" s="3" t="s">
        <v>120</v>
      </c>
      <c r="D35" s="67"/>
      <c r="E35" s="26" t="s">
        <v>121</v>
      </c>
      <c r="F35" s="46">
        <v>1</v>
      </c>
      <c r="G35" s="46">
        <v>1</v>
      </c>
      <c r="H35" s="46">
        <v>0</v>
      </c>
      <c r="I35" s="47">
        <v>0</v>
      </c>
      <c r="J35" s="67"/>
      <c r="K35" s="67"/>
      <c r="L35" s="67"/>
      <c r="M35" s="67"/>
    </row>
    <row r="36" spans="1:16">
      <c r="A36" s="3" t="s">
        <v>122</v>
      </c>
      <c r="B36" s="5">
        <v>0.6</v>
      </c>
      <c r="C36" s="3" t="s">
        <v>123</v>
      </c>
      <c r="D36" s="67"/>
      <c r="E36" s="26" t="s">
        <v>124</v>
      </c>
      <c r="F36" s="27">
        <v>500</v>
      </c>
      <c r="G36" s="27">
        <v>400</v>
      </c>
      <c r="H36" s="27">
        <v>300</v>
      </c>
      <c r="I36" s="29">
        <v>200</v>
      </c>
      <c r="J36" s="67"/>
      <c r="K36" s="67"/>
      <c r="L36" s="67"/>
      <c r="M36" s="67"/>
    </row>
    <row r="37" spans="1:16">
      <c r="A37" s="67"/>
      <c r="B37" s="67"/>
      <c r="C37" s="67"/>
      <c r="D37" s="67"/>
      <c r="E37" s="26" t="s">
        <v>125</v>
      </c>
      <c r="F37" s="27" t="s">
        <v>126</v>
      </c>
      <c r="G37" s="27" t="s">
        <v>126</v>
      </c>
      <c r="H37" s="27" t="s">
        <v>127</v>
      </c>
      <c r="I37" s="29" t="s">
        <v>127</v>
      </c>
      <c r="J37" s="67"/>
      <c r="K37" s="67"/>
      <c r="L37" s="67"/>
      <c r="M37" s="67"/>
    </row>
    <row r="38" spans="1:16">
      <c r="A38" s="67"/>
      <c r="B38" s="67"/>
      <c r="C38" s="67"/>
      <c r="D38" s="67"/>
      <c r="E38" s="26" t="s">
        <v>128</v>
      </c>
      <c r="F38" s="46">
        <v>0</v>
      </c>
      <c r="G38" s="46">
        <v>0</v>
      </c>
      <c r="H38" s="46">
        <v>0</v>
      </c>
      <c r="I38" s="47">
        <v>0</v>
      </c>
      <c r="J38" s="67"/>
      <c r="K38" s="67"/>
      <c r="L38" s="67"/>
      <c r="M38" s="67"/>
    </row>
    <row r="39" spans="1:16">
      <c r="A39" s="218" t="s">
        <v>129</v>
      </c>
      <c r="B39" s="218" t="s">
        <v>130</v>
      </c>
      <c r="C39" s="218" t="s">
        <v>131</v>
      </c>
      <c r="D39" s="67"/>
      <c r="E39" s="219" t="s">
        <v>132</v>
      </c>
      <c r="F39" s="48">
        <v>5</v>
      </c>
      <c r="G39" s="48">
        <v>4</v>
      </c>
      <c r="H39" s="48">
        <v>3</v>
      </c>
      <c r="I39" s="49">
        <v>2</v>
      </c>
      <c r="J39" s="67"/>
      <c r="K39" s="67"/>
      <c r="L39" s="67"/>
      <c r="M39" s="67"/>
    </row>
    <row r="40" spans="1:16">
      <c r="A40" s="26" t="s">
        <v>133</v>
      </c>
      <c r="B40" s="28">
        <v>2</v>
      </c>
      <c r="C40" s="29">
        <v>30000</v>
      </c>
      <c r="D40" s="67"/>
      <c r="E40" s="26" t="s">
        <v>134</v>
      </c>
      <c r="F40" s="50">
        <v>1000</v>
      </c>
      <c r="G40" s="50">
        <v>1000</v>
      </c>
      <c r="H40" s="50">
        <v>1000</v>
      </c>
      <c r="I40" s="51">
        <v>1000</v>
      </c>
      <c r="J40" s="67"/>
      <c r="K40" s="67"/>
      <c r="L40" s="67"/>
      <c r="M40" s="67"/>
    </row>
    <row r="41" spans="1:16" ht="15" thickBot="1">
      <c r="A41" s="39" t="s">
        <v>135</v>
      </c>
      <c r="B41" s="32">
        <v>3</v>
      </c>
      <c r="C41" s="33">
        <v>30000</v>
      </c>
      <c r="D41" s="67"/>
      <c r="E41" s="26" t="s">
        <v>136</v>
      </c>
      <c r="F41" s="52">
        <v>0.01</v>
      </c>
      <c r="G41" s="52">
        <v>0.02</v>
      </c>
      <c r="H41" s="52">
        <v>0.03</v>
      </c>
      <c r="I41" s="53">
        <v>0.04</v>
      </c>
      <c r="J41" s="67"/>
      <c r="K41" s="67"/>
      <c r="L41" s="67"/>
      <c r="M41" s="67"/>
    </row>
    <row r="42" spans="1:16">
      <c r="A42" s="67"/>
      <c r="B42" s="67"/>
      <c r="C42" s="67"/>
      <c r="D42" s="67"/>
      <c r="E42" s="26" t="s">
        <v>137</v>
      </c>
      <c r="F42" s="50">
        <v>4000</v>
      </c>
      <c r="G42" s="50">
        <v>3000</v>
      </c>
      <c r="H42" s="50">
        <v>2000</v>
      </c>
      <c r="I42" s="51">
        <v>1000</v>
      </c>
      <c r="J42" s="67"/>
      <c r="K42" s="67"/>
      <c r="L42" s="67"/>
      <c r="M42" s="67"/>
    </row>
    <row r="43" spans="1:16" ht="15" thickBo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</row>
    <row r="44" spans="1:16" ht="15.6">
      <c r="A44" s="218" t="s">
        <v>138</v>
      </c>
      <c r="B44" s="69" t="s">
        <v>139</v>
      </c>
      <c r="C44" s="69" t="s">
        <v>140</v>
      </c>
      <c r="D44" s="69" t="s">
        <v>141</v>
      </c>
      <c r="E44" s="69" t="s">
        <v>142</v>
      </c>
      <c r="F44" s="69" t="s">
        <v>350</v>
      </c>
      <c r="G44" s="69" t="s">
        <v>351</v>
      </c>
      <c r="H44" s="70" t="s">
        <v>143</v>
      </c>
      <c r="I44" s="60" t="s">
        <v>144</v>
      </c>
      <c r="J44" s="71" t="s">
        <v>145</v>
      </c>
      <c r="M44" s="67"/>
      <c r="N44" s="54"/>
      <c r="O44" s="54"/>
      <c r="P44" s="55" t="s">
        <v>146</v>
      </c>
    </row>
    <row r="45" spans="1:16" ht="15.6">
      <c r="A45" s="56" t="s">
        <v>147</v>
      </c>
      <c r="B45" s="57">
        <v>40</v>
      </c>
      <c r="C45" s="57">
        <v>42</v>
      </c>
      <c r="D45" s="57">
        <v>38</v>
      </c>
      <c r="E45" s="57">
        <v>36</v>
      </c>
      <c r="F45" s="57">
        <v>38</v>
      </c>
      <c r="G45" s="57">
        <v>42</v>
      </c>
      <c r="H45" s="57">
        <v>0</v>
      </c>
      <c r="I45" s="57">
        <v>1</v>
      </c>
      <c r="J45" s="58">
        <v>0.1</v>
      </c>
      <c r="M45" s="67"/>
      <c r="N45" s="59" t="s">
        <v>148</v>
      </c>
      <c r="O45" s="60" t="s">
        <v>149</v>
      </c>
      <c r="P45" s="61">
        <v>1.5</v>
      </c>
    </row>
    <row r="46" spans="1:16">
      <c r="A46" s="56" t="s">
        <v>150</v>
      </c>
      <c r="B46" s="57">
        <v>80</v>
      </c>
      <c r="C46" s="57">
        <v>82</v>
      </c>
      <c r="D46" s="57">
        <v>75</v>
      </c>
      <c r="E46" s="57">
        <v>78</v>
      </c>
      <c r="F46" s="57">
        <v>80</v>
      </c>
      <c r="G46" s="57">
        <v>83</v>
      </c>
      <c r="H46" s="57">
        <v>0</v>
      </c>
      <c r="I46" s="57">
        <v>1</v>
      </c>
      <c r="J46" s="58">
        <v>0.2</v>
      </c>
      <c r="M46" s="67"/>
      <c r="N46" s="62">
        <v>0</v>
      </c>
      <c r="O46" s="62">
        <v>200</v>
      </c>
      <c r="P46" s="63">
        <v>1</v>
      </c>
    </row>
    <row r="47" spans="1:16">
      <c r="A47" s="56" t="s">
        <v>151</v>
      </c>
      <c r="B47" s="57">
        <v>110</v>
      </c>
      <c r="C47" s="57">
        <v>108</v>
      </c>
      <c r="D47" s="57">
        <v>106</v>
      </c>
      <c r="E47" s="57">
        <v>112</v>
      </c>
      <c r="F47" s="57">
        <v>114</v>
      </c>
      <c r="G47" s="57">
        <v>116</v>
      </c>
      <c r="H47" s="57">
        <v>1</v>
      </c>
      <c r="I47" s="57">
        <v>1</v>
      </c>
      <c r="J47" s="58">
        <v>0.3</v>
      </c>
      <c r="M47" s="67"/>
      <c r="N47" s="62">
        <v>201</v>
      </c>
      <c r="O47" s="62">
        <v>500</v>
      </c>
      <c r="P47" s="63">
        <v>0.95</v>
      </c>
    </row>
    <row r="48" spans="1:16">
      <c r="A48" s="64" t="s">
        <v>152</v>
      </c>
      <c r="B48" s="57">
        <v>10</v>
      </c>
      <c r="C48" s="57">
        <v>13</v>
      </c>
      <c r="D48" s="57">
        <v>14</v>
      </c>
      <c r="E48" s="57">
        <v>12</v>
      </c>
      <c r="F48" s="57">
        <v>9</v>
      </c>
      <c r="G48" s="57">
        <v>8</v>
      </c>
      <c r="H48" s="57">
        <v>0</v>
      </c>
      <c r="I48" s="57">
        <v>0</v>
      </c>
      <c r="J48" s="58">
        <v>0.1</v>
      </c>
      <c r="M48" s="67"/>
      <c r="N48" s="62">
        <v>501</v>
      </c>
      <c r="O48" s="62">
        <v>1000</v>
      </c>
      <c r="P48" s="63">
        <v>0.9</v>
      </c>
    </row>
    <row r="49" spans="1:16">
      <c r="A49" s="64" t="s">
        <v>153</v>
      </c>
      <c r="B49" s="57">
        <v>20</v>
      </c>
      <c r="C49" s="57">
        <v>18</v>
      </c>
      <c r="D49" s="57">
        <v>22</v>
      </c>
      <c r="E49" s="57">
        <v>25</v>
      </c>
      <c r="F49" s="57">
        <v>20</v>
      </c>
      <c r="G49" s="57">
        <v>17</v>
      </c>
      <c r="H49" s="57">
        <v>0</v>
      </c>
      <c r="I49" s="57">
        <v>1</v>
      </c>
      <c r="J49" s="58">
        <v>0.2</v>
      </c>
      <c r="M49" s="67"/>
      <c r="N49" s="62">
        <v>1001</v>
      </c>
      <c r="O49" s="62">
        <v>1500</v>
      </c>
      <c r="P49" s="63">
        <v>0.85</v>
      </c>
    </row>
    <row r="50" spans="1:16">
      <c r="A50" s="64" t="s">
        <v>154</v>
      </c>
      <c r="B50" s="57">
        <v>35</v>
      </c>
      <c r="C50" s="57">
        <v>30</v>
      </c>
      <c r="D50" s="57">
        <v>32</v>
      </c>
      <c r="E50" s="57">
        <v>37</v>
      </c>
      <c r="F50" s="57">
        <v>39</v>
      </c>
      <c r="G50" s="57">
        <v>40</v>
      </c>
      <c r="H50" s="57">
        <v>0</v>
      </c>
      <c r="I50" s="57">
        <v>1</v>
      </c>
      <c r="J50" s="58">
        <v>0.3</v>
      </c>
      <c r="M50" s="67"/>
      <c r="N50" s="62">
        <v>1501</v>
      </c>
      <c r="O50" s="62">
        <v>2000</v>
      </c>
      <c r="P50" s="63">
        <v>0.8</v>
      </c>
    </row>
    <row r="51" spans="1:16">
      <c r="A51" s="65" t="s">
        <v>155</v>
      </c>
      <c r="B51" s="57">
        <v>50</v>
      </c>
      <c r="C51" s="57">
        <v>51</v>
      </c>
      <c r="D51" s="57">
        <v>53</v>
      </c>
      <c r="E51" s="57">
        <v>50</v>
      </c>
      <c r="F51" s="57">
        <v>58</v>
      </c>
      <c r="G51" s="57">
        <v>58</v>
      </c>
      <c r="H51" s="57">
        <v>0</v>
      </c>
      <c r="I51" s="57">
        <v>0</v>
      </c>
      <c r="J51" s="58">
        <v>0.1</v>
      </c>
      <c r="M51" s="67"/>
      <c r="N51" s="62">
        <v>2001</v>
      </c>
      <c r="O51" s="62">
        <v>9999</v>
      </c>
      <c r="P51" s="63">
        <v>0.75</v>
      </c>
    </row>
    <row r="52" spans="1:16">
      <c r="A52" s="65" t="s">
        <v>156</v>
      </c>
      <c r="B52" s="57">
        <v>80</v>
      </c>
      <c r="C52" s="57">
        <v>75</v>
      </c>
      <c r="D52" s="57">
        <v>73</v>
      </c>
      <c r="E52" s="57">
        <v>72</v>
      </c>
      <c r="F52" s="57">
        <v>75</v>
      </c>
      <c r="G52" s="57">
        <v>78</v>
      </c>
      <c r="H52" s="57">
        <v>0</v>
      </c>
      <c r="I52" s="57">
        <v>1</v>
      </c>
      <c r="J52" s="58">
        <v>0.15</v>
      </c>
      <c r="K52" s="67"/>
      <c r="L52" s="67"/>
      <c r="M52" s="67"/>
    </row>
    <row r="53" spans="1:16">
      <c r="A53" s="65" t="s">
        <v>157</v>
      </c>
      <c r="B53" s="57">
        <v>110</v>
      </c>
      <c r="C53" s="57">
        <v>115</v>
      </c>
      <c r="D53" s="57">
        <v>115</v>
      </c>
      <c r="E53" s="57">
        <v>118</v>
      </c>
      <c r="F53" s="57">
        <v>120</v>
      </c>
      <c r="G53" s="57">
        <v>116</v>
      </c>
      <c r="H53" s="57">
        <v>0</v>
      </c>
      <c r="I53" s="57">
        <v>0</v>
      </c>
      <c r="J53" s="58">
        <v>0.2</v>
      </c>
      <c r="K53" s="67"/>
      <c r="L53" s="67"/>
      <c r="M53" s="67"/>
    </row>
    <row r="54" spans="1:16">
      <c r="A54" s="65" t="s">
        <v>158</v>
      </c>
      <c r="B54" s="57">
        <v>160</v>
      </c>
      <c r="C54" s="57">
        <v>155</v>
      </c>
      <c r="D54" s="57">
        <v>150</v>
      </c>
      <c r="E54" s="57">
        <v>150</v>
      </c>
      <c r="F54" s="57">
        <v>145</v>
      </c>
      <c r="G54" s="57">
        <v>145</v>
      </c>
      <c r="H54" s="57">
        <v>0</v>
      </c>
      <c r="I54" s="57">
        <v>1</v>
      </c>
      <c r="J54" s="58">
        <v>0.3</v>
      </c>
      <c r="K54" s="67"/>
      <c r="L54" s="67"/>
      <c r="M54" s="67"/>
    </row>
    <row r="55" spans="1:16">
      <c r="A55" s="66" t="s">
        <v>159</v>
      </c>
      <c r="B55" s="57">
        <v>50</v>
      </c>
      <c r="C55" s="57">
        <v>48</v>
      </c>
      <c r="D55" s="57">
        <v>46</v>
      </c>
      <c r="E55" s="57">
        <v>44</v>
      </c>
      <c r="F55" s="57">
        <v>47</v>
      </c>
      <c r="G55" s="57">
        <v>50</v>
      </c>
      <c r="H55" s="57">
        <v>1</v>
      </c>
      <c r="I55" s="57">
        <v>1</v>
      </c>
      <c r="J55" s="58">
        <v>0.1</v>
      </c>
      <c r="K55" s="67"/>
      <c r="L55" s="67"/>
      <c r="M55" s="67"/>
    </row>
    <row r="56" spans="1:16">
      <c r="A56" s="66" t="s">
        <v>160</v>
      </c>
      <c r="B56" s="57">
        <v>50</v>
      </c>
      <c r="C56" s="57">
        <v>48</v>
      </c>
      <c r="D56" s="57">
        <v>50</v>
      </c>
      <c r="E56" s="57">
        <v>52</v>
      </c>
      <c r="F56" s="57">
        <v>50</v>
      </c>
      <c r="G56" s="57">
        <v>48</v>
      </c>
      <c r="H56" s="57">
        <v>1</v>
      </c>
      <c r="I56" s="57">
        <v>1</v>
      </c>
      <c r="J56" s="58">
        <v>0.1</v>
      </c>
      <c r="K56" s="67"/>
      <c r="L56" s="67"/>
      <c r="M56" s="67"/>
    </row>
    <row r="57" spans="1:16">
      <c r="A57" s="66" t="s">
        <v>161</v>
      </c>
      <c r="B57" s="57">
        <v>80</v>
      </c>
      <c r="C57" s="57">
        <v>75</v>
      </c>
      <c r="D57" s="57">
        <v>78</v>
      </c>
      <c r="E57" s="57">
        <v>75</v>
      </c>
      <c r="F57" s="57">
        <v>74</v>
      </c>
      <c r="G57" s="57">
        <v>74</v>
      </c>
      <c r="H57" s="57">
        <v>1</v>
      </c>
      <c r="I57" s="57">
        <v>1</v>
      </c>
      <c r="J57" s="58">
        <v>0.2</v>
      </c>
      <c r="K57" s="67"/>
      <c r="L57" s="67"/>
      <c r="M57" s="67"/>
    </row>
    <row r="58" spans="1:16">
      <c r="A58" s="66" t="s">
        <v>162</v>
      </c>
      <c r="B58" s="57">
        <v>90</v>
      </c>
      <c r="C58" s="57">
        <v>82</v>
      </c>
      <c r="D58" s="57">
        <v>83</v>
      </c>
      <c r="E58" s="57">
        <v>85</v>
      </c>
      <c r="F58" s="57">
        <v>87</v>
      </c>
      <c r="G58" s="57">
        <v>90</v>
      </c>
      <c r="H58" s="57">
        <v>1</v>
      </c>
      <c r="I58" s="57">
        <v>1</v>
      </c>
      <c r="J58" s="58">
        <v>0.3</v>
      </c>
      <c r="K58" s="67"/>
      <c r="L58" s="67"/>
      <c r="M58" s="67"/>
    </row>
    <row r="59" spans="1:16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</row>
    <row r="60" spans="1:16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</row>
    <row r="61" spans="1:16" ht="15.6">
      <c r="A61" s="278" t="str">
        <f>A45</f>
        <v>高亮LED</v>
      </c>
      <c r="B61" s="54"/>
      <c r="C61" s="54"/>
      <c r="D61" s="55" t="s">
        <v>146</v>
      </c>
      <c r="E61" s="67"/>
      <c r="F61" s="67"/>
      <c r="G61" s="67"/>
      <c r="H61" s="67"/>
      <c r="I61" s="67"/>
      <c r="J61" s="67"/>
      <c r="K61" s="67"/>
      <c r="L61" s="67"/>
      <c r="M61" s="67"/>
    </row>
    <row r="62" spans="1:16" ht="15.6">
      <c r="A62" s="278"/>
      <c r="B62" s="59" t="s">
        <v>148</v>
      </c>
      <c r="C62" s="60" t="s">
        <v>149</v>
      </c>
      <c r="D62" s="61">
        <v>1.5</v>
      </c>
      <c r="E62" s="67"/>
      <c r="F62" s="67"/>
      <c r="G62" s="67"/>
      <c r="H62" s="67"/>
      <c r="I62" s="67"/>
      <c r="J62" s="67"/>
      <c r="K62" s="67"/>
      <c r="L62" s="67"/>
      <c r="M62" s="67"/>
    </row>
    <row r="63" spans="1:16">
      <c r="A63" s="278"/>
      <c r="B63" s="62">
        <v>0</v>
      </c>
      <c r="C63" s="62">
        <v>200</v>
      </c>
      <c r="D63" s="63">
        <v>1</v>
      </c>
      <c r="E63" s="67"/>
      <c r="F63" s="67"/>
      <c r="G63" s="67"/>
      <c r="H63" s="67"/>
      <c r="I63" s="67"/>
      <c r="J63" s="67"/>
      <c r="K63" s="67"/>
      <c r="L63" s="67"/>
      <c r="M63" s="67"/>
    </row>
    <row r="64" spans="1:16">
      <c r="A64" s="278"/>
      <c r="B64" s="62">
        <v>201</v>
      </c>
      <c r="C64" s="62">
        <v>500</v>
      </c>
      <c r="D64" s="63">
        <v>0.95</v>
      </c>
      <c r="E64" s="67"/>
      <c r="F64" s="67"/>
      <c r="G64" s="67"/>
      <c r="H64" s="67"/>
      <c r="I64" s="67"/>
      <c r="J64" s="67"/>
      <c r="K64" s="67"/>
      <c r="L64" s="67"/>
      <c r="M64" s="67"/>
    </row>
    <row r="65" spans="1:13">
      <c r="A65" s="278"/>
      <c r="B65" s="62">
        <v>501</v>
      </c>
      <c r="C65" s="62">
        <v>1000</v>
      </c>
      <c r="D65" s="63">
        <v>0.9</v>
      </c>
      <c r="E65" s="67"/>
      <c r="F65" s="67"/>
      <c r="G65" s="67"/>
      <c r="H65" s="67"/>
      <c r="I65" s="67"/>
      <c r="J65" s="67"/>
      <c r="K65" s="67"/>
      <c r="L65" s="67"/>
      <c r="M65" s="67"/>
    </row>
    <row r="66" spans="1:13">
      <c r="A66" s="278"/>
      <c r="B66" s="62">
        <v>1001</v>
      </c>
      <c r="C66" s="62">
        <v>1500</v>
      </c>
      <c r="D66" s="63">
        <v>0.85</v>
      </c>
      <c r="E66" s="67"/>
      <c r="F66" s="67"/>
      <c r="G66" s="67"/>
      <c r="H66" s="67"/>
      <c r="I66" s="67"/>
      <c r="J66" s="67"/>
      <c r="K66" s="67"/>
      <c r="L66" s="67"/>
      <c r="M66" s="67"/>
    </row>
    <row r="67" spans="1:13">
      <c r="A67" s="278"/>
      <c r="B67" s="62">
        <v>1501</v>
      </c>
      <c r="C67" s="62">
        <v>2000</v>
      </c>
      <c r="D67" s="63">
        <v>0.8</v>
      </c>
      <c r="E67" s="67"/>
      <c r="F67" s="67"/>
      <c r="G67" s="67"/>
      <c r="H67" s="67"/>
      <c r="I67" s="67"/>
      <c r="J67" s="67"/>
      <c r="K67" s="67"/>
      <c r="L67" s="67"/>
      <c r="M67" s="67"/>
    </row>
    <row r="68" spans="1:13">
      <c r="A68" s="278"/>
      <c r="B68" s="62">
        <v>2001</v>
      </c>
      <c r="C68" s="62">
        <v>9999</v>
      </c>
      <c r="D68" s="63">
        <v>0.75</v>
      </c>
      <c r="E68" s="67"/>
      <c r="F68" s="67"/>
      <c r="G68" s="67"/>
      <c r="H68" s="67"/>
      <c r="I68" s="67"/>
      <c r="J68" s="67"/>
      <c r="K68" s="67"/>
      <c r="L68" s="67"/>
      <c r="M68" s="67"/>
    </row>
    <row r="69" spans="1:13" ht="15.6">
      <c r="A69" s="278" t="s">
        <v>150</v>
      </c>
      <c r="B69" s="54"/>
      <c r="C69" s="54"/>
      <c r="D69" s="55" t="s">
        <v>146</v>
      </c>
      <c r="E69" s="67"/>
      <c r="F69" s="67"/>
      <c r="G69" s="67"/>
      <c r="H69" s="67"/>
      <c r="I69" s="67"/>
      <c r="J69" s="67"/>
      <c r="K69" s="67"/>
      <c r="L69" s="67"/>
      <c r="M69" s="67"/>
    </row>
    <row r="70" spans="1:13" ht="15.6">
      <c r="A70" s="278"/>
      <c r="B70" s="59" t="s">
        <v>148</v>
      </c>
      <c r="C70" s="60" t="s">
        <v>149</v>
      </c>
      <c r="D70" s="61">
        <v>1.5</v>
      </c>
      <c r="E70" s="67"/>
      <c r="F70" s="67"/>
      <c r="G70" s="67"/>
      <c r="H70" s="67"/>
      <c r="I70" s="67"/>
      <c r="J70" s="67"/>
      <c r="K70" s="67"/>
      <c r="L70" s="67"/>
      <c r="M70" s="67"/>
    </row>
    <row r="71" spans="1:13">
      <c r="A71" s="278"/>
      <c r="B71" s="62">
        <v>0</v>
      </c>
      <c r="C71" s="62">
        <v>200</v>
      </c>
      <c r="D71" s="63">
        <v>1</v>
      </c>
      <c r="E71" s="67"/>
      <c r="F71" s="67"/>
      <c r="G71" s="67"/>
      <c r="H71" s="67"/>
      <c r="I71" s="67"/>
      <c r="J71" s="67"/>
      <c r="K71" s="67"/>
      <c r="L71" s="67"/>
      <c r="M71" s="67"/>
    </row>
    <row r="72" spans="1:13">
      <c r="A72" s="278"/>
      <c r="B72" s="62">
        <v>201</v>
      </c>
      <c r="C72" s="62">
        <v>500</v>
      </c>
      <c r="D72" s="63">
        <v>0.95</v>
      </c>
      <c r="E72" s="67"/>
      <c r="F72" s="67"/>
      <c r="G72" s="67"/>
      <c r="H72" s="67"/>
      <c r="I72" s="67"/>
      <c r="J72" s="67"/>
      <c r="K72" s="67"/>
      <c r="L72" s="67"/>
      <c r="M72" s="67"/>
    </row>
    <row r="73" spans="1:13">
      <c r="A73" s="278"/>
      <c r="B73" s="62">
        <v>501</v>
      </c>
      <c r="C73" s="62">
        <v>1000</v>
      </c>
      <c r="D73" s="63">
        <v>0.9</v>
      </c>
      <c r="E73" s="67"/>
      <c r="F73" s="67"/>
      <c r="G73" s="67"/>
      <c r="H73" s="67"/>
      <c r="I73" s="67"/>
      <c r="J73" s="67"/>
      <c r="K73" s="67"/>
      <c r="L73" s="67"/>
      <c r="M73" s="67"/>
    </row>
    <row r="74" spans="1:13">
      <c r="A74" s="278"/>
      <c r="B74" s="62">
        <v>1001</v>
      </c>
      <c r="C74" s="62">
        <v>1500</v>
      </c>
      <c r="D74" s="63">
        <v>0.85</v>
      </c>
      <c r="E74" s="67"/>
      <c r="F74" s="67"/>
      <c r="G74" s="67"/>
      <c r="H74" s="67"/>
      <c r="I74" s="67"/>
      <c r="J74" s="67"/>
      <c r="K74" s="67"/>
      <c r="L74" s="67"/>
      <c r="M74" s="67"/>
    </row>
    <row r="75" spans="1:13">
      <c r="A75" s="278"/>
      <c r="B75" s="62">
        <v>1501</v>
      </c>
      <c r="C75" s="62">
        <v>2000</v>
      </c>
      <c r="D75" s="63">
        <v>0.8</v>
      </c>
      <c r="E75" s="67"/>
      <c r="F75" s="67"/>
      <c r="G75" s="67"/>
      <c r="H75" s="67"/>
      <c r="I75" s="67"/>
      <c r="J75" s="67"/>
      <c r="K75" s="67"/>
      <c r="L75" s="67"/>
      <c r="M75" s="67"/>
    </row>
    <row r="76" spans="1:13">
      <c r="A76" s="278"/>
      <c r="B76" s="62">
        <v>2001</v>
      </c>
      <c r="C76" s="62">
        <v>9999</v>
      </c>
      <c r="D76" s="63">
        <v>0.75</v>
      </c>
      <c r="E76" s="67"/>
      <c r="F76" s="67"/>
      <c r="G76" s="67"/>
      <c r="H76" s="67"/>
      <c r="I76" s="67"/>
      <c r="J76" s="67"/>
      <c r="K76" s="67"/>
      <c r="L76" s="67"/>
      <c r="M76" s="67"/>
    </row>
    <row r="77" spans="1:13" ht="15.6">
      <c r="A77" s="278" t="s">
        <v>151</v>
      </c>
      <c r="B77" s="54"/>
      <c r="C77" s="54"/>
      <c r="D77" s="55" t="s">
        <v>146</v>
      </c>
      <c r="E77" s="67"/>
      <c r="F77" s="67"/>
      <c r="G77" s="67"/>
      <c r="H77" s="67"/>
      <c r="I77" s="67"/>
      <c r="J77" s="67"/>
      <c r="K77" s="67"/>
      <c r="L77" s="67"/>
      <c r="M77" s="67"/>
    </row>
    <row r="78" spans="1:13" ht="15.6">
      <c r="A78" s="278"/>
      <c r="B78" s="59" t="s">
        <v>148</v>
      </c>
      <c r="C78" s="60" t="s">
        <v>149</v>
      </c>
      <c r="D78" s="61">
        <v>1.5</v>
      </c>
      <c r="E78" s="67"/>
      <c r="F78" s="67"/>
      <c r="G78" s="67"/>
      <c r="H78" s="67"/>
      <c r="I78" s="67"/>
      <c r="J78" s="67"/>
      <c r="K78" s="67"/>
      <c r="L78" s="67"/>
      <c r="M78" s="67"/>
    </row>
    <row r="79" spans="1:13">
      <c r="A79" s="278"/>
      <c r="B79" s="62">
        <v>0</v>
      </c>
      <c r="C79" s="62">
        <v>200</v>
      </c>
      <c r="D79" s="63">
        <v>1</v>
      </c>
      <c r="E79" s="67"/>
      <c r="F79" s="67"/>
      <c r="G79" s="67"/>
      <c r="H79" s="67"/>
      <c r="I79" s="67"/>
      <c r="J79" s="67"/>
      <c r="K79" s="67"/>
      <c r="L79" s="67"/>
      <c r="M79" s="67"/>
    </row>
    <row r="80" spans="1:13">
      <c r="A80" s="278"/>
      <c r="B80" s="62">
        <v>201</v>
      </c>
      <c r="C80" s="62">
        <v>500</v>
      </c>
      <c r="D80" s="63">
        <v>0.95</v>
      </c>
      <c r="E80" s="67"/>
      <c r="F80" s="67"/>
      <c r="G80" s="67"/>
      <c r="H80" s="67"/>
      <c r="I80" s="67"/>
      <c r="J80" s="67"/>
      <c r="K80" s="67"/>
      <c r="L80" s="67"/>
      <c r="M80" s="67"/>
    </row>
    <row r="81" spans="1:13">
      <c r="A81" s="278"/>
      <c r="B81" s="62">
        <v>501</v>
      </c>
      <c r="C81" s="62">
        <v>1000</v>
      </c>
      <c r="D81" s="63">
        <v>0.9</v>
      </c>
      <c r="E81" s="67"/>
      <c r="F81" s="67"/>
      <c r="G81" s="67"/>
      <c r="H81" s="67"/>
      <c r="I81" s="67"/>
      <c r="J81" s="67"/>
      <c r="K81" s="67"/>
      <c r="L81" s="67"/>
      <c r="M81" s="67"/>
    </row>
    <row r="82" spans="1:13">
      <c r="A82" s="278"/>
      <c r="B82" s="62">
        <v>1001</v>
      </c>
      <c r="C82" s="62">
        <v>1500</v>
      </c>
      <c r="D82" s="63">
        <v>0.85</v>
      </c>
      <c r="E82" s="67"/>
      <c r="F82" s="67"/>
      <c r="G82" s="67"/>
      <c r="H82" s="67"/>
      <c r="I82" s="67"/>
      <c r="J82" s="67"/>
      <c r="K82" s="67"/>
      <c r="L82" s="67"/>
      <c r="M82" s="67"/>
    </row>
    <row r="83" spans="1:13">
      <c r="A83" s="278"/>
      <c r="B83" s="62">
        <v>1501</v>
      </c>
      <c r="C83" s="62">
        <v>2000</v>
      </c>
      <c r="D83" s="63">
        <v>0.8</v>
      </c>
      <c r="E83" s="67"/>
      <c r="F83" s="67"/>
      <c r="G83" s="67"/>
      <c r="H83" s="67"/>
      <c r="I83" s="67"/>
      <c r="J83" s="67"/>
      <c r="K83" s="67"/>
      <c r="L83" s="67"/>
      <c r="M83" s="67"/>
    </row>
    <row r="84" spans="1:13">
      <c r="A84" s="278"/>
      <c r="B84" s="62">
        <v>2001</v>
      </c>
      <c r="C84" s="62">
        <v>9999</v>
      </c>
      <c r="D84" s="63">
        <v>0.75</v>
      </c>
      <c r="E84" s="67"/>
      <c r="F84" s="67"/>
      <c r="G84" s="67"/>
      <c r="H84" s="67"/>
      <c r="I84" s="67"/>
      <c r="J84" s="67"/>
      <c r="K84" s="67"/>
      <c r="L84" s="67"/>
      <c r="M84" s="67"/>
    </row>
    <row r="85" spans="1:13" ht="15.6">
      <c r="A85" s="278" t="s">
        <v>163</v>
      </c>
      <c r="B85" s="54"/>
      <c r="C85" s="54"/>
      <c r="D85" s="55" t="s">
        <v>146</v>
      </c>
      <c r="E85" s="67"/>
      <c r="F85" s="67"/>
      <c r="G85" s="67"/>
      <c r="H85" s="67"/>
      <c r="I85" s="67"/>
      <c r="J85" s="67"/>
      <c r="K85" s="67"/>
      <c r="L85" s="67"/>
      <c r="M85" s="67"/>
    </row>
    <row r="86" spans="1:13" ht="15.6">
      <c r="A86" s="278"/>
      <c r="B86" s="59" t="s">
        <v>148</v>
      </c>
      <c r="C86" s="60" t="s">
        <v>149</v>
      </c>
      <c r="D86" s="61">
        <v>1.5</v>
      </c>
      <c r="E86" s="67"/>
      <c r="F86" s="67"/>
      <c r="G86" s="67"/>
      <c r="H86" s="67"/>
      <c r="I86" s="67"/>
      <c r="J86" s="67"/>
      <c r="K86" s="67"/>
      <c r="L86" s="67"/>
      <c r="M86" s="67"/>
    </row>
    <row r="87" spans="1:13">
      <c r="A87" s="278"/>
      <c r="B87" s="62">
        <v>0</v>
      </c>
      <c r="C87" s="62">
        <v>200</v>
      </c>
      <c r="D87" s="63">
        <v>1</v>
      </c>
      <c r="E87" s="67"/>
      <c r="F87" s="67"/>
      <c r="G87" s="67"/>
      <c r="H87" s="67"/>
      <c r="I87" s="67"/>
      <c r="J87" s="67"/>
      <c r="K87" s="67"/>
      <c r="L87" s="67"/>
      <c r="M87" s="67"/>
    </row>
    <row r="88" spans="1:13">
      <c r="A88" s="278"/>
      <c r="B88" s="62">
        <v>201</v>
      </c>
      <c r="C88" s="62">
        <v>500</v>
      </c>
      <c r="D88" s="63">
        <v>0.95</v>
      </c>
      <c r="E88" s="67"/>
      <c r="F88" s="67"/>
      <c r="G88" s="67"/>
      <c r="H88" s="67"/>
      <c r="I88" s="67"/>
      <c r="J88" s="67"/>
      <c r="K88" s="67"/>
      <c r="L88" s="67"/>
      <c r="M88" s="67"/>
    </row>
    <row r="89" spans="1:13">
      <c r="A89" s="278"/>
      <c r="B89" s="62">
        <v>501</v>
      </c>
      <c r="C89" s="62">
        <v>1000</v>
      </c>
      <c r="D89" s="63">
        <v>0.9</v>
      </c>
      <c r="E89" s="67"/>
      <c r="F89" s="67"/>
      <c r="G89" s="67"/>
      <c r="H89" s="67"/>
      <c r="I89" s="67"/>
      <c r="J89" s="67"/>
      <c r="K89" s="67"/>
      <c r="L89" s="67"/>
      <c r="M89" s="67"/>
    </row>
    <row r="90" spans="1:13">
      <c r="A90" s="278"/>
      <c r="B90" s="62">
        <v>1001</v>
      </c>
      <c r="C90" s="62">
        <v>1500</v>
      </c>
      <c r="D90" s="63">
        <v>0.85</v>
      </c>
      <c r="E90" s="67"/>
      <c r="F90" s="67"/>
      <c r="G90" s="67"/>
      <c r="H90" s="67"/>
      <c r="I90" s="67"/>
      <c r="J90" s="67"/>
      <c r="K90" s="67"/>
      <c r="L90" s="67"/>
      <c r="M90" s="67"/>
    </row>
    <row r="91" spans="1:13">
      <c r="A91" s="278"/>
      <c r="B91" s="62">
        <v>1501</v>
      </c>
      <c r="C91" s="62">
        <v>2000</v>
      </c>
      <c r="D91" s="63">
        <v>0.8</v>
      </c>
      <c r="E91" s="67"/>
      <c r="F91" s="67"/>
      <c r="G91" s="67"/>
      <c r="H91" s="67"/>
      <c r="I91" s="67"/>
      <c r="J91" s="67"/>
      <c r="K91" s="67"/>
      <c r="L91" s="67"/>
      <c r="M91" s="67"/>
    </row>
    <row r="92" spans="1:13">
      <c r="A92" s="278"/>
      <c r="B92" s="62">
        <v>2001</v>
      </c>
      <c r="C92" s="62">
        <v>9999</v>
      </c>
      <c r="D92" s="63">
        <v>0.75</v>
      </c>
      <c r="E92" s="67"/>
      <c r="F92" s="67"/>
      <c r="G92" s="67"/>
      <c r="H92" s="67"/>
      <c r="I92" s="67"/>
      <c r="J92" s="67"/>
      <c r="K92" s="67"/>
      <c r="L92" s="67"/>
      <c r="M92" s="67"/>
    </row>
    <row r="93" spans="1:13" ht="15.6">
      <c r="A93" s="278" t="s">
        <v>164</v>
      </c>
      <c r="B93" s="54"/>
      <c r="C93" s="54"/>
      <c r="D93" s="55" t="s">
        <v>146</v>
      </c>
      <c r="E93" s="67"/>
      <c r="F93" s="67"/>
      <c r="G93" s="67"/>
      <c r="H93" s="67"/>
      <c r="I93" s="67"/>
      <c r="J93" s="67"/>
      <c r="K93" s="67"/>
      <c r="L93" s="67"/>
      <c r="M93" s="67"/>
    </row>
    <row r="94" spans="1:13" ht="15.6">
      <c r="A94" s="278"/>
      <c r="B94" s="59" t="s">
        <v>148</v>
      </c>
      <c r="C94" s="60" t="s">
        <v>149</v>
      </c>
      <c r="D94" s="61">
        <v>1.5</v>
      </c>
      <c r="E94" s="67"/>
      <c r="F94" s="67"/>
      <c r="G94" s="67"/>
      <c r="H94" s="67"/>
      <c r="I94" s="67"/>
      <c r="J94" s="67"/>
      <c r="K94" s="67"/>
      <c r="L94" s="67"/>
      <c r="M94" s="67"/>
    </row>
    <row r="95" spans="1:13">
      <c r="A95" s="278"/>
      <c r="B95" s="62">
        <v>0</v>
      </c>
      <c r="C95" s="62">
        <v>200</v>
      </c>
      <c r="D95" s="63">
        <v>1</v>
      </c>
      <c r="E95" s="67"/>
      <c r="F95" s="67"/>
      <c r="G95" s="67"/>
      <c r="H95" s="67"/>
      <c r="I95" s="67"/>
      <c r="J95" s="67"/>
      <c r="K95" s="67"/>
      <c r="L95" s="67"/>
      <c r="M95" s="67"/>
    </row>
    <row r="96" spans="1:13">
      <c r="A96" s="278"/>
      <c r="B96" s="62">
        <v>201</v>
      </c>
      <c r="C96" s="62">
        <v>500</v>
      </c>
      <c r="D96" s="63">
        <v>0.95</v>
      </c>
      <c r="E96" s="67"/>
      <c r="F96" s="67"/>
      <c r="G96" s="67"/>
      <c r="H96" s="67"/>
      <c r="I96" s="67"/>
      <c r="J96" s="67"/>
      <c r="K96" s="67"/>
      <c r="L96" s="67"/>
      <c r="M96" s="67"/>
    </row>
    <row r="97" spans="1:13">
      <c r="A97" s="278"/>
      <c r="B97" s="62">
        <v>501</v>
      </c>
      <c r="C97" s="62">
        <v>1000</v>
      </c>
      <c r="D97" s="63">
        <v>0.9</v>
      </c>
      <c r="E97" s="67"/>
      <c r="F97" s="67"/>
      <c r="G97" s="67"/>
      <c r="H97" s="67"/>
      <c r="I97" s="67"/>
      <c r="J97" s="67"/>
      <c r="K97" s="67"/>
      <c r="L97" s="67"/>
      <c r="M97" s="67"/>
    </row>
    <row r="98" spans="1:13">
      <c r="A98" s="278"/>
      <c r="B98" s="62">
        <v>1001</v>
      </c>
      <c r="C98" s="62">
        <v>1500</v>
      </c>
      <c r="D98" s="63">
        <v>0.85</v>
      </c>
      <c r="E98" s="67"/>
      <c r="F98" s="67"/>
      <c r="G98" s="67"/>
      <c r="H98" s="67"/>
      <c r="I98" s="67"/>
      <c r="J98" s="67"/>
      <c r="K98" s="67"/>
      <c r="L98" s="67"/>
      <c r="M98" s="67"/>
    </row>
    <row r="99" spans="1:13">
      <c r="A99" s="278"/>
      <c r="B99" s="62">
        <v>1501</v>
      </c>
      <c r="C99" s="62">
        <v>2000</v>
      </c>
      <c r="D99" s="63">
        <v>0.8</v>
      </c>
      <c r="E99" s="67"/>
      <c r="F99" s="67"/>
      <c r="G99" s="67"/>
      <c r="H99" s="67"/>
      <c r="I99" s="67"/>
      <c r="J99" s="67"/>
      <c r="K99" s="67"/>
      <c r="L99" s="67"/>
      <c r="M99" s="67"/>
    </row>
    <row r="100" spans="1:13">
      <c r="A100" s="278"/>
      <c r="B100" s="62">
        <v>2001</v>
      </c>
      <c r="C100" s="62">
        <v>9999</v>
      </c>
      <c r="D100" s="63">
        <v>0.75</v>
      </c>
      <c r="E100" s="67"/>
      <c r="F100" s="67"/>
      <c r="G100" s="67"/>
      <c r="H100" s="67"/>
      <c r="I100" s="67"/>
      <c r="J100" s="67"/>
      <c r="K100" s="67"/>
      <c r="L100" s="67"/>
      <c r="M100" s="67"/>
    </row>
    <row r="101" spans="1:13" ht="15.6">
      <c r="A101" s="278" t="s">
        <v>154</v>
      </c>
      <c r="B101" s="54"/>
      <c r="C101" s="54"/>
      <c r="D101" s="55" t="s">
        <v>146</v>
      </c>
      <c r="E101" s="67"/>
      <c r="F101" s="67"/>
      <c r="G101" s="67"/>
      <c r="H101" s="67"/>
      <c r="I101" s="67"/>
      <c r="J101" s="67"/>
      <c r="K101" s="67"/>
      <c r="L101" s="67"/>
      <c r="M101" s="67"/>
    </row>
    <row r="102" spans="1:13" ht="15.6">
      <c r="A102" s="278"/>
      <c r="B102" s="59" t="s">
        <v>148</v>
      </c>
      <c r="C102" s="60" t="s">
        <v>149</v>
      </c>
      <c r="D102" s="61">
        <v>1.5</v>
      </c>
      <c r="E102" s="67"/>
      <c r="F102" s="67"/>
      <c r="G102" s="67"/>
      <c r="H102" s="67"/>
      <c r="I102" s="67"/>
      <c r="J102" s="67"/>
      <c r="K102" s="67"/>
      <c r="L102" s="67"/>
      <c r="M102" s="67"/>
    </row>
    <row r="103" spans="1:13">
      <c r="A103" s="278"/>
      <c r="B103" s="62">
        <v>0</v>
      </c>
      <c r="C103" s="62">
        <v>200</v>
      </c>
      <c r="D103" s="63">
        <v>1</v>
      </c>
      <c r="E103" s="67"/>
      <c r="F103" s="67"/>
      <c r="G103" s="67"/>
      <c r="H103" s="67"/>
      <c r="I103" s="67"/>
      <c r="J103" s="67"/>
      <c r="K103" s="67"/>
      <c r="L103" s="67"/>
      <c r="M103" s="67"/>
    </row>
    <row r="104" spans="1:13">
      <c r="A104" s="278"/>
      <c r="B104" s="62">
        <v>201</v>
      </c>
      <c r="C104" s="62">
        <v>500</v>
      </c>
      <c r="D104" s="63">
        <v>0.95</v>
      </c>
      <c r="E104" s="67"/>
      <c r="F104" s="67"/>
      <c r="G104" s="67"/>
      <c r="H104" s="67"/>
      <c r="I104" s="67"/>
      <c r="J104" s="67"/>
      <c r="K104" s="67"/>
      <c r="L104" s="67"/>
      <c r="M104" s="67"/>
    </row>
    <row r="105" spans="1:13">
      <c r="A105" s="278"/>
      <c r="B105" s="62">
        <v>501</v>
      </c>
      <c r="C105" s="62">
        <v>1000</v>
      </c>
      <c r="D105" s="63">
        <v>0.9</v>
      </c>
      <c r="E105" s="67"/>
      <c r="F105" s="67"/>
      <c r="G105" s="67"/>
      <c r="H105" s="67"/>
      <c r="I105" s="67"/>
      <c r="J105" s="67"/>
      <c r="K105" s="67"/>
      <c r="L105" s="67"/>
      <c r="M105" s="67"/>
    </row>
    <row r="106" spans="1:13">
      <c r="A106" s="278"/>
      <c r="B106" s="62">
        <v>1001</v>
      </c>
      <c r="C106" s="62">
        <v>1500</v>
      </c>
      <c r="D106" s="63">
        <v>0.85</v>
      </c>
      <c r="E106" s="67"/>
      <c r="F106" s="67"/>
      <c r="G106" s="67"/>
      <c r="H106" s="67"/>
      <c r="I106" s="67"/>
      <c r="J106" s="67"/>
      <c r="K106" s="67"/>
      <c r="L106" s="67"/>
      <c r="M106" s="67"/>
    </row>
    <row r="107" spans="1:13">
      <c r="A107" s="278"/>
      <c r="B107" s="62">
        <v>1501</v>
      </c>
      <c r="C107" s="62">
        <v>2000</v>
      </c>
      <c r="D107" s="63">
        <v>0.8</v>
      </c>
      <c r="E107" s="67"/>
      <c r="F107" s="67"/>
      <c r="G107" s="67"/>
      <c r="H107" s="67"/>
      <c r="I107" s="67"/>
      <c r="J107" s="67"/>
      <c r="K107" s="67"/>
      <c r="L107" s="67"/>
      <c r="M107" s="67"/>
    </row>
    <row r="108" spans="1:13">
      <c r="A108" s="278"/>
      <c r="B108" s="62">
        <v>2001</v>
      </c>
      <c r="C108" s="62">
        <v>9999</v>
      </c>
      <c r="D108" s="63">
        <v>0.75</v>
      </c>
      <c r="E108" s="67"/>
      <c r="F108" s="67"/>
      <c r="G108" s="67"/>
      <c r="H108" s="67"/>
      <c r="I108" s="67"/>
      <c r="J108" s="67"/>
      <c r="K108" s="67"/>
      <c r="L108" s="67"/>
      <c r="M108" s="67"/>
    </row>
    <row r="109" spans="1:13" ht="15.6">
      <c r="A109" s="278" t="s">
        <v>155</v>
      </c>
      <c r="B109" s="54"/>
      <c r="C109" s="54"/>
      <c r="D109" s="55" t="s">
        <v>146</v>
      </c>
      <c r="E109" s="67"/>
      <c r="F109" s="67"/>
      <c r="G109" s="67"/>
      <c r="H109" s="67"/>
      <c r="I109" s="67"/>
      <c r="J109" s="67"/>
      <c r="K109" s="67"/>
      <c r="L109" s="67"/>
      <c r="M109" s="67"/>
    </row>
    <row r="110" spans="1:13" ht="15.6">
      <c r="A110" s="278"/>
      <c r="B110" s="59" t="s">
        <v>148</v>
      </c>
      <c r="C110" s="60" t="s">
        <v>149</v>
      </c>
      <c r="D110" s="61">
        <v>1.5</v>
      </c>
      <c r="E110" s="67"/>
      <c r="F110" s="67"/>
      <c r="G110" s="67"/>
      <c r="H110" s="67"/>
      <c r="I110" s="67"/>
      <c r="J110" s="67"/>
      <c r="K110" s="67"/>
      <c r="L110" s="67"/>
      <c r="M110" s="67"/>
    </row>
    <row r="111" spans="1:13">
      <c r="A111" s="278"/>
      <c r="B111" s="62">
        <v>0</v>
      </c>
      <c r="C111" s="62">
        <v>200</v>
      </c>
      <c r="D111" s="63">
        <v>1</v>
      </c>
      <c r="E111" s="67"/>
      <c r="F111" s="67"/>
      <c r="G111" s="67"/>
      <c r="H111" s="67"/>
      <c r="I111" s="67"/>
      <c r="J111" s="67"/>
      <c r="K111" s="67"/>
      <c r="L111" s="67"/>
      <c r="M111" s="67"/>
    </row>
    <row r="112" spans="1:13">
      <c r="A112" s="278"/>
      <c r="B112" s="62">
        <v>201</v>
      </c>
      <c r="C112" s="62">
        <v>500</v>
      </c>
      <c r="D112" s="63">
        <v>0.95</v>
      </c>
      <c r="E112" s="67"/>
      <c r="F112" s="67"/>
      <c r="G112" s="67"/>
      <c r="H112" s="67"/>
      <c r="I112" s="67"/>
      <c r="J112" s="67"/>
      <c r="K112" s="67"/>
      <c r="L112" s="67"/>
      <c r="M112" s="67"/>
    </row>
    <row r="113" spans="1:13">
      <c r="A113" s="278"/>
      <c r="B113" s="62">
        <v>501</v>
      </c>
      <c r="C113" s="62">
        <v>1000</v>
      </c>
      <c r="D113" s="63">
        <v>0.9</v>
      </c>
      <c r="E113" s="67"/>
      <c r="F113" s="67"/>
      <c r="G113" s="67"/>
      <c r="H113" s="67"/>
      <c r="I113" s="67"/>
      <c r="J113" s="67"/>
      <c r="K113" s="67"/>
      <c r="L113" s="67"/>
      <c r="M113" s="67"/>
    </row>
    <row r="114" spans="1:13">
      <c r="A114" s="278"/>
      <c r="B114" s="62">
        <v>1001</v>
      </c>
      <c r="C114" s="62">
        <v>1500</v>
      </c>
      <c r="D114" s="63">
        <v>0.85</v>
      </c>
      <c r="E114" s="67"/>
      <c r="F114" s="67"/>
      <c r="G114" s="67"/>
      <c r="H114" s="67"/>
      <c r="I114" s="67"/>
      <c r="J114" s="67"/>
      <c r="K114" s="67"/>
      <c r="L114" s="67"/>
      <c r="M114" s="67"/>
    </row>
    <row r="115" spans="1:13">
      <c r="A115" s="278"/>
      <c r="B115" s="62">
        <v>1501</v>
      </c>
      <c r="C115" s="62">
        <v>2000</v>
      </c>
      <c r="D115" s="63">
        <v>0.8</v>
      </c>
      <c r="E115" s="67"/>
      <c r="F115" s="67"/>
      <c r="G115" s="67"/>
      <c r="H115" s="67"/>
      <c r="I115" s="67"/>
      <c r="J115" s="67"/>
      <c r="K115" s="67"/>
      <c r="L115" s="67"/>
      <c r="M115" s="67"/>
    </row>
    <row r="116" spans="1:13">
      <c r="A116" s="278"/>
      <c r="B116" s="62">
        <v>2001</v>
      </c>
      <c r="C116" s="62">
        <v>9999</v>
      </c>
      <c r="D116" s="63">
        <v>0.75</v>
      </c>
      <c r="E116" s="67"/>
      <c r="F116" s="67"/>
      <c r="G116" s="67"/>
      <c r="H116" s="67"/>
      <c r="I116" s="67"/>
      <c r="J116" s="67"/>
      <c r="K116" s="67"/>
      <c r="L116" s="67"/>
      <c r="M116" s="67"/>
    </row>
    <row r="117" spans="1:13" ht="15.6">
      <c r="A117" s="278" t="s">
        <v>156</v>
      </c>
      <c r="B117" s="54"/>
      <c r="C117" s="54"/>
      <c r="D117" s="55" t="s">
        <v>146</v>
      </c>
      <c r="E117" s="67"/>
      <c r="F117" s="67"/>
      <c r="G117" s="67"/>
      <c r="H117" s="67"/>
      <c r="I117" s="67"/>
      <c r="J117" s="67"/>
      <c r="K117" s="67"/>
      <c r="L117" s="67"/>
      <c r="M117" s="67"/>
    </row>
    <row r="118" spans="1:13" ht="15.6">
      <c r="A118" s="278"/>
      <c r="B118" s="59" t="s">
        <v>148</v>
      </c>
      <c r="C118" s="60" t="s">
        <v>149</v>
      </c>
      <c r="D118" s="61">
        <v>1.5</v>
      </c>
      <c r="E118" s="67"/>
      <c r="F118" s="67"/>
      <c r="G118" s="67"/>
      <c r="H118" s="67"/>
      <c r="I118" s="67"/>
      <c r="J118" s="67"/>
      <c r="K118" s="67"/>
      <c r="L118" s="67"/>
      <c r="M118" s="67"/>
    </row>
    <row r="119" spans="1:13">
      <c r="A119" s="278"/>
      <c r="B119" s="62">
        <v>0</v>
      </c>
      <c r="C119" s="62">
        <v>200</v>
      </c>
      <c r="D119" s="63">
        <v>1</v>
      </c>
      <c r="E119" s="67"/>
      <c r="F119" s="67"/>
      <c r="G119" s="67"/>
      <c r="H119" s="67"/>
      <c r="I119" s="67"/>
      <c r="J119" s="67"/>
      <c r="K119" s="67"/>
      <c r="L119" s="67"/>
      <c r="M119" s="67"/>
    </row>
    <row r="120" spans="1:13">
      <c r="A120" s="278"/>
      <c r="B120" s="62">
        <v>201</v>
      </c>
      <c r="C120" s="62">
        <v>500</v>
      </c>
      <c r="D120" s="63">
        <v>0.95</v>
      </c>
      <c r="E120" s="67"/>
      <c r="F120" s="67"/>
      <c r="G120" s="67"/>
      <c r="H120" s="67"/>
      <c r="I120" s="67"/>
      <c r="J120" s="67"/>
      <c r="K120" s="67"/>
      <c r="L120" s="67"/>
      <c r="M120" s="67"/>
    </row>
    <row r="121" spans="1:13">
      <c r="A121" s="278"/>
      <c r="B121" s="62">
        <v>501</v>
      </c>
      <c r="C121" s="62">
        <v>1000</v>
      </c>
      <c r="D121" s="63">
        <v>0.9</v>
      </c>
      <c r="E121" s="67"/>
      <c r="F121" s="67"/>
      <c r="G121" s="67"/>
      <c r="H121" s="67"/>
      <c r="I121" s="67"/>
      <c r="J121" s="67"/>
      <c r="K121" s="67"/>
      <c r="L121" s="67"/>
      <c r="M121" s="67"/>
    </row>
    <row r="122" spans="1:13">
      <c r="A122" s="278"/>
      <c r="B122" s="62">
        <v>1001</v>
      </c>
      <c r="C122" s="62">
        <v>1500</v>
      </c>
      <c r="D122" s="63">
        <v>0.85</v>
      </c>
      <c r="E122" s="67"/>
      <c r="F122" s="67"/>
      <c r="G122" s="67"/>
      <c r="H122" s="67"/>
      <c r="I122" s="67"/>
      <c r="J122" s="67"/>
      <c r="K122" s="67"/>
      <c r="L122" s="67"/>
      <c r="M122" s="67"/>
    </row>
    <row r="123" spans="1:13">
      <c r="A123" s="278"/>
      <c r="B123" s="62">
        <v>1501</v>
      </c>
      <c r="C123" s="62">
        <v>2000</v>
      </c>
      <c r="D123" s="63">
        <v>0.8</v>
      </c>
      <c r="E123" s="67"/>
      <c r="F123" s="67"/>
      <c r="G123" s="67"/>
      <c r="H123" s="67"/>
      <c r="I123" s="67"/>
      <c r="J123" s="67"/>
      <c r="K123" s="67"/>
      <c r="L123" s="67"/>
      <c r="M123" s="67"/>
    </row>
    <row r="124" spans="1:13">
      <c r="A124" s="278"/>
      <c r="B124" s="62">
        <v>2001</v>
      </c>
      <c r="C124" s="62">
        <v>9999</v>
      </c>
      <c r="D124" s="63">
        <v>0.75</v>
      </c>
      <c r="E124" s="67"/>
      <c r="F124" s="67"/>
      <c r="G124" s="67"/>
      <c r="H124" s="67"/>
      <c r="I124" s="67"/>
      <c r="J124" s="67"/>
      <c r="K124" s="67"/>
      <c r="L124" s="67"/>
      <c r="M124" s="67"/>
    </row>
    <row r="125" spans="1:13" ht="15.6">
      <c r="A125" s="278" t="s">
        <v>157</v>
      </c>
      <c r="B125" s="54"/>
      <c r="C125" s="54"/>
      <c r="D125" s="55" t="s">
        <v>146</v>
      </c>
      <c r="E125" s="67"/>
      <c r="F125" s="67"/>
      <c r="G125" s="67"/>
      <c r="H125" s="67"/>
      <c r="I125" s="67"/>
      <c r="J125" s="67"/>
      <c r="K125" s="67"/>
      <c r="L125" s="67"/>
      <c r="M125" s="67"/>
    </row>
    <row r="126" spans="1:13" ht="15.6">
      <c r="A126" s="278"/>
      <c r="B126" s="59" t="s">
        <v>148</v>
      </c>
      <c r="C126" s="60" t="s">
        <v>149</v>
      </c>
      <c r="D126" s="61">
        <v>1.5</v>
      </c>
      <c r="E126" s="67"/>
      <c r="F126" s="67"/>
      <c r="G126" s="67"/>
      <c r="H126" s="67"/>
      <c r="I126" s="67"/>
      <c r="J126" s="67"/>
      <c r="K126" s="67"/>
      <c r="L126" s="67"/>
      <c r="M126" s="67"/>
    </row>
    <row r="127" spans="1:13">
      <c r="A127" s="278"/>
      <c r="B127" s="62">
        <v>0</v>
      </c>
      <c r="C127" s="62">
        <v>200</v>
      </c>
      <c r="D127" s="63">
        <v>1</v>
      </c>
      <c r="E127" s="67"/>
      <c r="F127" s="67"/>
      <c r="G127" s="67"/>
      <c r="H127" s="67"/>
      <c r="I127" s="67"/>
      <c r="J127" s="67"/>
      <c r="K127" s="67"/>
      <c r="L127" s="67"/>
      <c r="M127" s="67"/>
    </row>
    <row r="128" spans="1:13">
      <c r="A128" s="278"/>
      <c r="B128" s="62">
        <v>201</v>
      </c>
      <c r="C128" s="62">
        <v>500</v>
      </c>
      <c r="D128" s="63">
        <v>0.95</v>
      </c>
      <c r="E128" s="67"/>
      <c r="F128" s="67"/>
      <c r="G128" s="67"/>
      <c r="H128" s="67"/>
      <c r="I128" s="67"/>
      <c r="J128" s="67"/>
      <c r="K128" s="67"/>
      <c r="L128" s="67"/>
      <c r="M128" s="67"/>
    </row>
    <row r="129" spans="1:13">
      <c r="A129" s="278"/>
      <c r="B129" s="62">
        <v>501</v>
      </c>
      <c r="C129" s="62">
        <v>1000</v>
      </c>
      <c r="D129" s="63">
        <v>0.9</v>
      </c>
      <c r="E129" s="67"/>
      <c r="F129" s="67"/>
      <c r="G129" s="67"/>
      <c r="H129" s="67"/>
      <c r="I129" s="67"/>
      <c r="J129" s="67"/>
      <c r="K129" s="67"/>
      <c r="L129" s="67"/>
      <c r="M129" s="67"/>
    </row>
    <row r="130" spans="1:13">
      <c r="A130" s="278"/>
      <c r="B130" s="62">
        <v>1001</v>
      </c>
      <c r="C130" s="62">
        <v>1500</v>
      </c>
      <c r="D130" s="63">
        <v>0.85</v>
      </c>
      <c r="E130" s="67"/>
      <c r="F130" s="67"/>
      <c r="G130" s="67"/>
      <c r="H130" s="67"/>
      <c r="I130" s="67"/>
      <c r="J130" s="67"/>
      <c r="K130" s="67"/>
      <c r="L130" s="67"/>
      <c r="M130" s="67"/>
    </row>
    <row r="131" spans="1:13">
      <c r="A131" s="278"/>
      <c r="B131" s="62">
        <v>1501</v>
      </c>
      <c r="C131" s="62">
        <v>2000</v>
      </c>
      <c r="D131" s="63">
        <v>0.8</v>
      </c>
      <c r="E131" s="67"/>
      <c r="F131" s="67"/>
      <c r="G131" s="67"/>
      <c r="H131" s="67"/>
      <c r="I131" s="67"/>
      <c r="J131" s="67"/>
      <c r="K131" s="67"/>
      <c r="L131" s="67"/>
      <c r="M131" s="67"/>
    </row>
    <row r="132" spans="1:13">
      <c r="A132" s="278"/>
      <c r="B132" s="62">
        <v>2001</v>
      </c>
      <c r="C132" s="62">
        <v>9999</v>
      </c>
      <c r="D132" s="63">
        <v>0.75</v>
      </c>
      <c r="E132" s="67"/>
      <c r="F132" s="67"/>
      <c r="G132" s="67"/>
      <c r="H132" s="67"/>
      <c r="I132" s="67"/>
      <c r="J132" s="67"/>
      <c r="K132" s="67"/>
      <c r="L132" s="67"/>
      <c r="M132" s="67"/>
    </row>
    <row r="133" spans="1:13" ht="15.6">
      <c r="A133" s="278" t="s">
        <v>158</v>
      </c>
      <c r="B133" s="54"/>
      <c r="C133" s="54"/>
      <c r="D133" s="55" t="s">
        <v>146</v>
      </c>
      <c r="E133" s="67"/>
      <c r="F133" s="67"/>
      <c r="G133" s="67"/>
      <c r="H133" s="67"/>
      <c r="I133" s="67"/>
      <c r="J133" s="67"/>
      <c r="K133" s="67"/>
      <c r="L133" s="67"/>
      <c r="M133" s="67"/>
    </row>
    <row r="134" spans="1:13" ht="15.6">
      <c r="A134" s="278"/>
      <c r="B134" s="59" t="s">
        <v>148</v>
      </c>
      <c r="C134" s="60" t="s">
        <v>149</v>
      </c>
      <c r="D134" s="61">
        <v>1.5</v>
      </c>
      <c r="E134" s="67"/>
      <c r="F134" s="67"/>
      <c r="G134" s="67"/>
      <c r="H134" s="67"/>
      <c r="I134" s="67"/>
      <c r="J134" s="67"/>
      <c r="K134" s="67"/>
      <c r="L134" s="67"/>
      <c r="M134" s="67"/>
    </row>
    <row r="135" spans="1:13">
      <c r="A135" s="278"/>
      <c r="B135" s="62">
        <v>0</v>
      </c>
      <c r="C135" s="62">
        <v>200</v>
      </c>
      <c r="D135" s="63">
        <v>1</v>
      </c>
      <c r="E135" s="67"/>
      <c r="F135" s="67"/>
      <c r="G135" s="67"/>
      <c r="H135" s="67"/>
      <c r="I135" s="67"/>
      <c r="J135" s="67"/>
      <c r="K135" s="67"/>
      <c r="L135" s="67"/>
      <c r="M135" s="67"/>
    </row>
    <row r="136" spans="1:13">
      <c r="A136" s="278"/>
      <c r="B136" s="62">
        <v>201</v>
      </c>
      <c r="C136" s="62">
        <v>500</v>
      </c>
      <c r="D136" s="63">
        <v>0.95</v>
      </c>
      <c r="E136" s="67"/>
      <c r="F136" s="67"/>
      <c r="G136" s="67"/>
      <c r="H136" s="67"/>
      <c r="I136" s="67"/>
      <c r="J136" s="67"/>
      <c r="K136" s="67"/>
      <c r="L136" s="67"/>
      <c r="M136" s="67"/>
    </row>
    <row r="137" spans="1:13">
      <c r="A137" s="278"/>
      <c r="B137" s="62">
        <v>501</v>
      </c>
      <c r="C137" s="62">
        <v>1000</v>
      </c>
      <c r="D137" s="63">
        <v>0.9</v>
      </c>
      <c r="E137" s="67"/>
      <c r="F137" s="67"/>
      <c r="G137" s="67"/>
      <c r="H137" s="67"/>
      <c r="I137" s="67"/>
      <c r="J137" s="67"/>
      <c r="K137" s="67"/>
      <c r="L137" s="67"/>
      <c r="M137" s="67"/>
    </row>
    <row r="138" spans="1:13">
      <c r="A138" s="278"/>
      <c r="B138" s="62">
        <v>1001</v>
      </c>
      <c r="C138" s="62">
        <v>1500</v>
      </c>
      <c r="D138" s="63">
        <v>0.85</v>
      </c>
      <c r="E138" s="67"/>
      <c r="F138" s="67"/>
      <c r="G138" s="67"/>
      <c r="H138" s="67"/>
      <c r="I138" s="67"/>
      <c r="J138" s="67"/>
      <c r="K138" s="67"/>
      <c r="L138" s="67"/>
      <c r="M138" s="67"/>
    </row>
    <row r="139" spans="1:13">
      <c r="A139" s="278"/>
      <c r="B139" s="62">
        <v>1501</v>
      </c>
      <c r="C139" s="62">
        <v>2000</v>
      </c>
      <c r="D139" s="63">
        <v>0.8</v>
      </c>
      <c r="E139" s="67"/>
      <c r="F139" s="67"/>
      <c r="G139" s="67"/>
      <c r="H139" s="67"/>
      <c r="I139" s="67"/>
      <c r="J139" s="67"/>
      <c r="K139" s="67"/>
      <c r="L139" s="67"/>
      <c r="M139" s="67"/>
    </row>
    <row r="140" spans="1:13">
      <c r="A140" s="278"/>
      <c r="B140" s="62">
        <v>2001</v>
      </c>
      <c r="C140" s="62">
        <v>9999</v>
      </c>
      <c r="D140" s="63">
        <v>0.75</v>
      </c>
      <c r="E140" s="67"/>
      <c r="F140" s="67"/>
      <c r="G140" s="67"/>
      <c r="H140" s="67"/>
      <c r="I140" s="67"/>
      <c r="J140" s="67"/>
      <c r="K140" s="67"/>
      <c r="L140" s="67"/>
      <c r="M140" s="67"/>
    </row>
    <row r="141" spans="1:13" ht="15.6">
      <c r="A141" s="278" t="s">
        <v>159</v>
      </c>
      <c r="B141" s="54"/>
      <c r="C141" s="54"/>
      <c r="D141" s="55" t="s">
        <v>146</v>
      </c>
      <c r="E141" s="67"/>
      <c r="F141" s="67"/>
      <c r="G141" s="67"/>
      <c r="H141" s="67"/>
      <c r="I141" s="67"/>
      <c r="J141" s="67"/>
      <c r="K141" s="67"/>
      <c r="L141" s="67"/>
      <c r="M141" s="67"/>
    </row>
    <row r="142" spans="1:13" ht="15.6">
      <c r="A142" s="278"/>
      <c r="B142" s="59" t="s">
        <v>148</v>
      </c>
      <c r="C142" s="60" t="s">
        <v>149</v>
      </c>
      <c r="D142" s="61">
        <v>1.5</v>
      </c>
      <c r="E142" s="67"/>
      <c r="F142" s="67"/>
      <c r="G142" s="67"/>
      <c r="H142" s="67"/>
      <c r="I142" s="67"/>
      <c r="J142" s="67"/>
      <c r="K142" s="67"/>
      <c r="L142" s="67"/>
      <c r="M142" s="67"/>
    </row>
    <row r="143" spans="1:13">
      <c r="A143" s="278"/>
      <c r="B143" s="62">
        <v>0</v>
      </c>
      <c r="C143" s="62">
        <v>200</v>
      </c>
      <c r="D143" s="63">
        <v>1</v>
      </c>
      <c r="E143" s="67"/>
      <c r="F143" s="67"/>
      <c r="G143" s="67"/>
      <c r="H143" s="67"/>
      <c r="I143" s="67"/>
      <c r="J143" s="67"/>
      <c r="K143" s="67"/>
      <c r="L143" s="67"/>
      <c r="M143" s="67"/>
    </row>
    <row r="144" spans="1:13">
      <c r="A144" s="278"/>
      <c r="B144" s="62">
        <v>201</v>
      </c>
      <c r="C144" s="62">
        <v>500</v>
      </c>
      <c r="D144" s="63">
        <v>0.95</v>
      </c>
      <c r="E144" s="67"/>
      <c r="F144" s="67"/>
      <c r="G144" s="67"/>
      <c r="H144" s="67"/>
      <c r="I144" s="67"/>
      <c r="J144" s="67"/>
      <c r="K144" s="67"/>
      <c r="L144" s="67"/>
      <c r="M144" s="67"/>
    </row>
    <row r="145" spans="1:13">
      <c r="A145" s="278"/>
      <c r="B145" s="62">
        <v>501</v>
      </c>
      <c r="C145" s="62">
        <v>1000</v>
      </c>
      <c r="D145" s="63">
        <v>0.9</v>
      </c>
      <c r="E145" s="67"/>
      <c r="F145" s="67"/>
      <c r="G145" s="67"/>
      <c r="H145" s="67"/>
      <c r="I145" s="67"/>
      <c r="J145" s="67"/>
      <c r="K145" s="67"/>
      <c r="L145" s="67"/>
      <c r="M145" s="67"/>
    </row>
    <row r="146" spans="1:13">
      <c r="A146" s="278"/>
      <c r="B146" s="62">
        <v>1001</v>
      </c>
      <c r="C146" s="62">
        <v>1500</v>
      </c>
      <c r="D146" s="63">
        <v>0.85</v>
      </c>
      <c r="E146" s="67"/>
      <c r="F146" s="67"/>
      <c r="G146" s="67"/>
      <c r="H146" s="67"/>
      <c r="I146" s="67"/>
      <c r="J146" s="67"/>
      <c r="K146" s="67"/>
      <c r="L146" s="67"/>
      <c r="M146" s="67"/>
    </row>
    <row r="147" spans="1:13">
      <c r="A147" s="278"/>
      <c r="B147" s="62">
        <v>1501</v>
      </c>
      <c r="C147" s="62">
        <v>2000</v>
      </c>
      <c r="D147" s="63">
        <v>0.8</v>
      </c>
      <c r="E147" s="67"/>
      <c r="F147" s="67"/>
      <c r="G147" s="67"/>
      <c r="H147" s="67"/>
      <c r="I147" s="67"/>
      <c r="J147" s="67"/>
      <c r="K147" s="67"/>
      <c r="L147" s="67"/>
      <c r="M147" s="67"/>
    </row>
    <row r="148" spans="1:13">
      <c r="A148" s="278"/>
      <c r="B148" s="62">
        <v>2001</v>
      </c>
      <c r="C148" s="62">
        <v>9999</v>
      </c>
      <c r="D148" s="63">
        <v>0.75</v>
      </c>
      <c r="E148" s="67"/>
      <c r="F148" s="67"/>
      <c r="G148" s="67"/>
      <c r="H148" s="67"/>
      <c r="I148" s="67"/>
      <c r="J148" s="67"/>
      <c r="K148" s="67"/>
      <c r="L148" s="67"/>
      <c r="M148" s="67"/>
    </row>
    <row r="149" spans="1:13" ht="15.6">
      <c r="A149" s="278" t="s">
        <v>160</v>
      </c>
      <c r="B149" s="54"/>
      <c r="C149" s="54"/>
      <c r="D149" s="55" t="s">
        <v>146</v>
      </c>
      <c r="E149" s="67"/>
      <c r="F149" s="67"/>
      <c r="G149" s="67"/>
      <c r="H149" s="67"/>
      <c r="I149" s="67"/>
      <c r="J149" s="67"/>
      <c r="K149" s="67"/>
      <c r="L149" s="67"/>
      <c r="M149" s="67"/>
    </row>
    <row r="150" spans="1:13" ht="15.6">
      <c r="A150" s="278"/>
      <c r="B150" s="59" t="s">
        <v>148</v>
      </c>
      <c r="C150" s="60" t="s">
        <v>149</v>
      </c>
      <c r="D150" s="61">
        <v>1.5</v>
      </c>
      <c r="E150" s="67"/>
      <c r="F150" s="67"/>
      <c r="G150" s="67"/>
      <c r="H150" s="67"/>
      <c r="I150" s="67"/>
      <c r="J150" s="67"/>
      <c r="K150" s="67"/>
      <c r="L150" s="67"/>
      <c r="M150" s="67"/>
    </row>
    <row r="151" spans="1:13">
      <c r="A151" s="278"/>
      <c r="B151" s="62">
        <v>0</v>
      </c>
      <c r="C151" s="62">
        <v>200</v>
      </c>
      <c r="D151" s="63">
        <v>1</v>
      </c>
      <c r="E151" s="67"/>
      <c r="F151" s="67"/>
      <c r="G151" s="67"/>
      <c r="H151" s="67"/>
      <c r="I151" s="67"/>
      <c r="J151" s="67"/>
      <c r="K151" s="67"/>
      <c r="L151" s="67"/>
      <c r="M151" s="67"/>
    </row>
    <row r="152" spans="1:13">
      <c r="A152" s="278"/>
      <c r="B152" s="62">
        <v>201</v>
      </c>
      <c r="C152" s="62">
        <v>500</v>
      </c>
      <c r="D152" s="63">
        <v>0.95</v>
      </c>
      <c r="E152" s="67"/>
      <c r="F152" s="67"/>
      <c r="G152" s="67"/>
      <c r="H152" s="67"/>
      <c r="I152" s="67"/>
      <c r="J152" s="67"/>
      <c r="K152" s="67"/>
      <c r="L152" s="67"/>
      <c r="M152" s="67"/>
    </row>
    <row r="153" spans="1:13">
      <c r="A153" s="278"/>
      <c r="B153" s="62">
        <v>501</v>
      </c>
      <c r="C153" s="62">
        <v>1000</v>
      </c>
      <c r="D153" s="63">
        <v>0.9</v>
      </c>
      <c r="E153" s="67"/>
      <c r="F153" s="67"/>
      <c r="G153" s="67"/>
      <c r="H153" s="67"/>
      <c r="I153" s="67"/>
      <c r="J153" s="67"/>
      <c r="K153" s="67"/>
      <c r="L153" s="67"/>
      <c r="M153" s="67"/>
    </row>
    <row r="154" spans="1:13">
      <c r="A154" s="278"/>
      <c r="B154" s="62">
        <v>1001</v>
      </c>
      <c r="C154" s="62">
        <v>1500</v>
      </c>
      <c r="D154" s="63">
        <v>0.85</v>
      </c>
      <c r="E154" s="67"/>
      <c r="F154" s="67"/>
      <c r="G154" s="67"/>
      <c r="H154" s="67"/>
      <c r="I154" s="67"/>
      <c r="J154" s="67"/>
      <c r="K154" s="67"/>
      <c r="L154" s="67"/>
      <c r="M154" s="67"/>
    </row>
    <row r="155" spans="1:13">
      <c r="A155" s="278"/>
      <c r="B155" s="62">
        <v>1501</v>
      </c>
      <c r="C155" s="62">
        <v>2000</v>
      </c>
      <c r="D155" s="63">
        <v>0.8</v>
      </c>
      <c r="E155" s="67"/>
      <c r="F155" s="67"/>
      <c r="G155" s="67"/>
      <c r="H155" s="67"/>
      <c r="I155" s="67"/>
      <c r="J155" s="67"/>
      <c r="K155" s="67"/>
      <c r="L155" s="67"/>
      <c r="M155" s="67"/>
    </row>
    <row r="156" spans="1:13">
      <c r="A156" s="278"/>
      <c r="B156" s="62">
        <v>2001</v>
      </c>
      <c r="C156" s="62">
        <v>9999</v>
      </c>
      <c r="D156" s="63">
        <v>0.75</v>
      </c>
      <c r="E156" s="67"/>
      <c r="F156" s="67"/>
      <c r="G156" s="67"/>
      <c r="H156" s="67"/>
      <c r="I156" s="67"/>
      <c r="J156" s="67"/>
      <c r="K156" s="67"/>
      <c r="L156" s="67"/>
      <c r="M156" s="67"/>
    </row>
    <row r="157" spans="1:13" ht="15.6">
      <c r="A157" s="278" t="s">
        <v>161</v>
      </c>
      <c r="B157" s="54"/>
      <c r="C157" s="54"/>
      <c r="D157" s="55" t="s">
        <v>146</v>
      </c>
      <c r="E157" s="67"/>
      <c r="F157" s="67"/>
      <c r="G157" s="67"/>
      <c r="H157" s="67"/>
      <c r="I157" s="67"/>
      <c r="J157" s="67"/>
      <c r="K157" s="67"/>
      <c r="L157" s="67"/>
      <c r="M157" s="67"/>
    </row>
    <row r="158" spans="1:13" ht="15.6">
      <c r="A158" s="278"/>
      <c r="B158" s="59" t="s">
        <v>148</v>
      </c>
      <c r="C158" s="60" t="s">
        <v>149</v>
      </c>
      <c r="D158" s="61">
        <v>1.5</v>
      </c>
      <c r="E158" s="67"/>
      <c r="F158" s="67"/>
      <c r="G158" s="67"/>
      <c r="H158" s="67"/>
      <c r="I158" s="67"/>
      <c r="J158" s="67"/>
      <c r="K158" s="67"/>
      <c r="L158" s="67"/>
      <c r="M158" s="67"/>
    </row>
    <row r="159" spans="1:13">
      <c r="A159" s="278"/>
      <c r="B159" s="62">
        <v>0</v>
      </c>
      <c r="C159" s="62">
        <v>200</v>
      </c>
      <c r="D159" s="63">
        <v>1</v>
      </c>
      <c r="E159" s="67"/>
      <c r="F159" s="67"/>
      <c r="G159" s="67"/>
      <c r="H159" s="67"/>
      <c r="I159" s="67"/>
      <c r="J159" s="67"/>
      <c r="K159" s="67"/>
      <c r="L159" s="67"/>
      <c r="M159" s="67"/>
    </row>
    <row r="160" spans="1:13">
      <c r="A160" s="278"/>
      <c r="B160" s="62">
        <v>201</v>
      </c>
      <c r="C160" s="62">
        <v>500</v>
      </c>
      <c r="D160" s="63">
        <v>0.95</v>
      </c>
      <c r="E160" s="67"/>
      <c r="F160" s="67"/>
      <c r="G160" s="67"/>
      <c r="H160" s="67"/>
      <c r="I160" s="67"/>
      <c r="J160" s="67"/>
      <c r="K160" s="67"/>
      <c r="L160" s="67"/>
      <c r="M160" s="67"/>
    </row>
    <row r="161" spans="1:13">
      <c r="A161" s="278"/>
      <c r="B161" s="62">
        <v>501</v>
      </c>
      <c r="C161" s="62">
        <v>1000</v>
      </c>
      <c r="D161" s="63">
        <v>0.9</v>
      </c>
      <c r="E161" s="67"/>
      <c r="F161" s="67"/>
      <c r="G161" s="67"/>
      <c r="H161" s="67"/>
      <c r="I161" s="67"/>
      <c r="J161" s="67"/>
      <c r="K161" s="67"/>
      <c r="L161" s="67"/>
      <c r="M161" s="67"/>
    </row>
    <row r="162" spans="1:13">
      <c r="A162" s="278"/>
      <c r="B162" s="62">
        <v>1001</v>
      </c>
      <c r="C162" s="62">
        <v>1500</v>
      </c>
      <c r="D162" s="63">
        <v>0.85</v>
      </c>
      <c r="E162" s="67"/>
      <c r="F162" s="67"/>
      <c r="G162" s="67"/>
      <c r="H162" s="67"/>
      <c r="I162" s="67"/>
      <c r="J162" s="67"/>
      <c r="K162" s="67"/>
      <c r="L162" s="67"/>
      <c r="M162" s="67"/>
    </row>
    <row r="163" spans="1:13">
      <c r="A163" s="278"/>
      <c r="B163" s="62">
        <v>1501</v>
      </c>
      <c r="C163" s="62">
        <v>2000</v>
      </c>
      <c r="D163" s="63">
        <v>0.8</v>
      </c>
      <c r="E163" s="67"/>
      <c r="F163" s="67"/>
      <c r="G163" s="67"/>
      <c r="H163" s="67"/>
      <c r="I163" s="67"/>
      <c r="J163" s="67"/>
      <c r="K163" s="67"/>
      <c r="L163" s="67"/>
      <c r="M163" s="67"/>
    </row>
    <row r="164" spans="1:13">
      <c r="A164" s="278"/>
      <c r="B164" s="62">
        <v>2001</v>
      </c>
      <c r="C164" s="62">
        <v>9999</v>
      </c>
      <c r="D164" s="63">
        <v>0.75</v>
      </c>
      <c r="E164" s="67"/>
      <c r="F164" s="67"/>
      <c r="G164" s="67"/>
      <c r="H164" s="67"/>
      <c r="I164" s="67"/>
      <c r="J164" s="67"/>
      <c r="K164" s="67"/>
      <c r="L164" s="67"/>
      <c r="M164" s="67"/>
    </row>
    <row r="165" spans="1:13" ht="15.6">
      <c r="A165" s="278" t="s">
        <v>162</v>
      </c>
      <c r="B165" s="54"/>
      <c r="C165" s="54"/>
      <c r="D165" s="55" t="s">
        <v>146</v>
      </c>
      <c r="E165" s="67"/>
      <c r="F165" s="67"/>
      <c r="G165" s="67"/>
      <c r="H165" s="67"/>
      <c r="I165" s="67"/>
      <c r="J165" s="67"/>
      <c r="K165" s="67"/>
      <c r="L165" s="67"/>
      <c r="M165" s="67"/>
    </row>
    <row r="166" spans="1:13" ht="15.6">
      <c r="A166" s="278"/>
      <c r="B166" s="59" t="s">
        <v>148</v>
      </c>
      <c r="C166" s="60" t="s">
        <v>149</v>
      </c>
      <c r="D166" s="61">
        <v>1.5</v>
      </c>
      <c r="E166" s="67"/>
      <c r="F166" s="67"/>
      <c r="G166" s="67"/>
      <c r="H166" s="67"/>
      <c r="I166" s="67"/>
      <c r="J166" s="67"/>
      <c r="K166" s="67"/>
      <c r="L166" s="67"/>
      <c r="M166" s="67"/>
    </row>
    <row r="167" spans="1:13">
      <c r="A167" s="278"/>
      <c r="B167" s="62">
        <v>0</v>
      </c>
      <c r="C167" s="62">
        <v>200</v>
      </c>
      <c r="D167" s="63">
        <v>1</v>
      </c>
      <c r="E167" s="67"/>
      <c r="F167" s="67"/>
      <c r="G167" s="67"/>
      <c r="H167" s="67"/>
      <c r="I167" s="67"/>
      <c r="J167" s="67"/>
      <c r="K167" s="67"/>
      <c r="L167" s="67"/>
      <c r="M167" s="67"/>
    </row>
    <row r="168" spans="1:13">
      <c r="A168" s="278"/>
      <c r="B168" s="62">
        <v>201</v>
      </c>
      <c r="C168" s="62">
        <v>500</v>
      </c>
      <c r="D168" s="63">
        <v>0.95</v>
      </c>
      <c r="E168" s="67"/>
      <c r="F168" s="67"/>
      <c r="G168" s="67"/>
      <c r="H168" s="67"/>
      <c r="I168" s="67"/>
      <c r="J168" s="67"/>
      <c r="K168" s="67"/>
      <c r="L168" s="67"/>
      <c r="M168" s="67"/>
    </row>
    <row r="169" spans="1:13">
      <c r="A169" s="278"/>
      <c r="B169" s="62">
        <v>501</v>
      </c>
      <c r="C169" s="62">
        <v>1000</v>
      </c>
      <c r="D169" s="63">
        <v>0.9</v>
      </c>
      <c r="E169" s="67"/>
      <c r="F169" s="67"/>
      <c r="G169" s="67"/>
      <c r="H169" s="67"/>
      <c r="I169" s="67"/>
      <c r="J169" s="67"/>
      <c r="K169" s="67"/>
      <c r="L169" s="67"/>
      <c r="M169" s="67"/>
    </row>
    <row r="170" spans="1:13">
      <c r="A170" s="278"/>
      <c r="B170" s="62">
        <v>1001</v>
      </c>
      <c r="C170" s="62">
        <v>1500</v>
      </c>
      <c r="D170" s="63">
        <v>0.85</v>
      </c>
      <c r="E170" s="67"/>
      <c r="F170" s="67"/>
      <c r="G170" s="67"/>
      <c r="H170" s="67"/>
      <c r="I170" s="67"/>
      <c r="J170" s="67"/>
      <c r="K170" s="67"/>
      <c r="L170" s="67"/>
      <c r="M170" s="67"/>
    </row>
    <row r="171" spans="1:13">
      <c r="A171" s="278"/>
      <c r="B171" s="62">
        <v>1501</v>
      </c>
      <c r="C171" s="62">
        <v>2000</v>
      </c>
      <c r="D171" s="63">
        <v>0.8</v>
      </c>
      <c r="E171" s="67"/>
      <c r="F171" s="67"/>
      <c r="G171" s="67"/>
      <c r="H171" s="67"/>
      <c r="I171" s="67"/>
      <c r="J171" s="67"/>
      <c r="K171" s="67"/>
      <c r="L171" s="67"/>
      <c r="M171" s="67"/>
    </row>
    <row r="172" spans="1:13">
      <c r="A172" s="278"/>
      <c r="B172" s="62">
        <v>2001</v>
      </c>
      <c r="C172" s="62">
        <v>9999</v>
      </c>
      <c r="D172" s="63">
        <v>0.75</v>
      </c>
      <c r="E172" s="67"/>
      <c r="F172" s="67"/>
      <c r="G172" s="67"/>
      <c r="H172" s="67"/>
      <c r="I172" s="67"/>
      <c r="J172" s="67"/>
      <c r="K172" s="67"/>
      <c r="L172" s="67"/>
      <c r="M172" s="67"/>
    </row>
  </sheetData>
  <mergeCells count="18">
    <mergeCell ref="A165:A172"/>
    <mergeCell ref="A77:A84"/>
    <mergeCell ref="A85:A92"/>
    <mergeCell ref="A93:A100"/>
    <mergeCell ref="A101:A108"/>
    <mergeCell ref="A109:A116"/>
    <mergeCell ref="A117:A124"/>
    <mergeCell ref="A125:A132"/>
    <mergeCell ref="A133:A140"/>
    <mergeCell ref="A141:A148"/>
    <mergeCell ref="A149:A156"/>
    <mergeCell ref="A157:A164"/>
    <mergeCell ref="A69:A76"/>
    <mergeCell ref="E21:F21"/>
    <mergeCell ref="G21:H21"/>
    <mergeCell ref="I21:J21"/>
    <mergeCell ref="E27:H27"/>
    <mergeCell ref="A61:A6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005A-DCE8-4E8F-8CA9-9688CB83C430}">
  <dimension ref="A1:AH18"/>
  <sheetViews>
    <sheetView topLeftCell="I1" zoomScale="127" workbookViewId="0">
      <selection activeCell="T6" sqref="T6"/>
    </sheetView>
  </sheetViews>
  <sheetFormatPr defaultRowHeight="13.8"/>
  <cols>
    <col min="1" max="1" width="17.6640625" customWidth="1"/>
  </cols>
  <sheetData>
    <row r="1" spans="1:34" ht="13.8" customHeight="1">
      <c r="A1" s="287" t="s">
        <v>403</v>
      </c>
      <c r="B1" s="288" t="s">
        <v>405</v>
      </c>
      <c r="C1" s="288" t="s">
        <v>349</v>
      </c>
      <c r="D1" s="288"/>
      <c r="E1" s="288"/>
      <c r="F1" s="288"/>
      <c r="G1" s="288" t="s">
        <v>145</v>
      </c>
      <c r="H1" s="161" t="s">
        <v>392</v>
      </c>
      <c r="I1" s="154">
        <v>1</v>
      </c>
      <c r="J1" s="154">
        <v>2</v>
      </c>
      <c r="K1" s="154">
        <v>3</v>
      </c>
      <c r="L1" s="154">
        <v>4</v>
      </c>
      <c r="M1" s="154">
        <v>5</v>
      </c>
      <c r="N1" s="154">
        <v>6</v>
      </c>
      <c r="O1" s="154">
        <v>7</v>
      </c>
      <c r="P1" s="154">
        <v>8</v>
      </c>
      <c r="Q1" s="154">
        <v>9</v>
      </c>
      <c r="R1" s="154">
        <v>10</v>
      </c>
      <c r="S1" s="154">
        <v>11</v>
      </c>
      <c r="T1" s="154">
        <v>12</v>
      </c>
      <c r="U1" s="154">
        <v>13</v>
      </c>
      <c r="V1" s="155">
        <v>14</v>
      </c>
      <c r="W1" s="155">
        <v>15</v>
      </c>
      <c r="X1" s="155">
        <v>16</v>
      </c>
      <c r="Y1" s="155">
        <v>17</v>
      </c>
      <c r="Z1" s="155">
        <v>18</v>
      </c>
      <c r="AA1" s="155">
        <v>19</v>
      </c>
      <c r="AB1" s="155">
        <v>20</v>
      </c>
      <c r="AC1" s="155">
        <v>21</v>
      </c>
      <c r="AD1" s="155">
        <v>22</v>
      </c>
      <c r="AE1" s="155">
        <v>23</v>
      </c>
      <c r="AF1" s="155">
        <v>24</v>
      </c>
      <c r="AG1" s="155">
        <v>25</v>
      </c>
      <c r="AH1" s="155">
        <v>26</v>
      </c>
    </row>
    <row r="2" spans="1:34">
      <c r="A2" s="287"/>
      <c r="B2" s="288"/>
      <c r="C2" s="286" t="s">
        <v>286</v>
      </c>
      <c r="D2" s="286" t="s">
        <v>348</v>
      </c>
      <c r="E2" s="286" t="s">
        <v>394</v>
      </c>
      <c r="F2" s="286" t="s">
        <v>297</v>
      </c>
      <c r="G2" s="288"/>
      <c r="H2" s="160" t="s">
        <v>393</v>
      </c>
      <c r="I2" s="155" t="s">
        <v>345</v>
      </c>
      <c r="J2" s="221" t="s">
        <v>345</v>
      </c>
      <c r="K2" s="155" t="s">
        <v>345</v>
      </c>
      <c r="L2" s="221" t="s">
        <v>345</v>
      </c>
      <c r="M2" s="155" t="s">
        <v>346</v>
      </c>
      <c r="N2" s="221" t="s">
        <v>346</v>
      </c>
      <c r="O2" s="155" t="s">
        <v>346</v>
      </c>
      <c r="P2" s="221" t="s">
        <v>346</v>
      </c>
      <c r="Q2" s="221" t="s">
        <v>346</v>
      </c>
      <c r="R2" s="155" t="s">
        <v>347</v>
      </c>
      <c r="S2" s="221" t="s">
        <v>347</v>
      </c>
      <c r="T2" s="155" t="s">
        <v>347</v>
      </c>
      <c r="U2" s="155" t="s">
        <v>347</v>
      </c>
      <c r="V2" s="221" t="s">
        <v>187</v>
      </c>
      <c r="W2" s="221" t="s">
        <v>187</v>
      </c>
      <c r="X2" s="155" t="s">
        <v>187</v>
      </c>
      <c r="Y2" s="155" t="s">
        <v>187</v>
      </c>
      <c r="Z2" s="221" t="s">
        <v>345</v>
      </c>
      <c r="AA2" s="155"/>
      <c r="AB2" s="155"/>
      <c r="AC2" s="155"/>
      <c r="AD2" s="155"/>
      <c r="AE2" s="155"/>
      <c r="AF2" s="155"/>
      <c r="AG2" s="155"/>
      <c r="AH2" s="155"/>
    </row>
    <row r="3" spans="1:34">
      <c r="A3" s="287"/>
      <c r="B3" s="288"/>
      <c r="C3" s="286"/>
      <c r="D3" s="286"/>
      <c r="E3" s="286"/>
      <c r="F3" s="286"/>
      <c r="G3" s="289"/>
      <c r="H3" s="162" t="s">
        <v>407</v>
      </c>
      <c r="I3" s="163" t="str">
        <f t="shared" ref="I3:AH3" si="0">IF(I4=1,1,IF(I5=1,2,IF(I6=1,3,"")))&amp;IF(I7=1,1,IF(I8=1,2,IF(I9=1,3,"")))&amp;IF(I10=1,1,IF(I11=1,2,IF(I12=1,3,IF(I13=1,4,""))))&amp;IF(I14=1,1,"")&amp;IF(I15=1,2,"")&amp;IF(I16=1,3,"")&amp;IF(I17=1,4,"")</f>
        <v>113</v>
      </c>
      <c r="J3" s="222" t="str">
        <f t="shared" si="0"/>
        <v>3333</v>
      </c>
      <c r="K3" s="163" t="str">
        <f t="shared" si="0"/>
        <v>1112</v>
      </c>
      <c r="L3" s="222" t="str">
        <f t="shared" si="0"/>
        <v>13334</v>
      </c>
      <c r="M3" s="163" t="str">
        <f t="shared" si="0"/>
        <v>1111</v>
      </c>
      <c r="N3" s="222" t="str">
        <f t="shared" si="0"/>
        <v>113</v>
      </c>
      <c r="O3" s="163" t="str">
        <f t="shared" si="0"/>
        <v>1121</v>
      </c>
      <c r="P3" s="222" t="str">
        <f t="shared" si="0"/>
        <v>1331</v>
      </c>
      <c r="Q3" s="222" t="str">
        <f t="shared" si="0"/>
        <v>13113</v>
      </c>
      <c r="R3" s="163" t="str">
        <f t="shared" si="0"/>
        <v>212</v>
      </c>
      <c r="S3" s="222" t="str">
        <f t="shared" si="0"/>
        <v>1121</v>
      </c>
      <c r="T3" s="163" t="str">
        <f t="shared" si="0"/>
        <v>112</v>
      </c>
      <c r="U3" s="163" t="str">
        <f t="shared" si="0"/>
        <v>211</v>
      </c>
      <c r="V3" s="222" t="str">
        <f t="shared" si="0"/>
        <v>121</v>
      </c>
      <c r="W3" s="222" t="str">
        <f t="shared" si="0"/>
        <v>122</v>
      </c>
      <c r="X3" s="163" t="str">
        <f t="shared" si="0"/>
        <v>111</v>
      </c>
      <c r="Y3" s="163" t="str">
        <f t="shared" si="0"/>
        <v/>
      </c>
      <c r="Z3" s="222" t="str">
        <f t="shared" si="0"/>
        <v>1333</v>
      </c>
      <c r="AA3" s="163" t="str">
        <f t="shared" si="0"/>
        <v/>
      </c>
      <c r="AB3" s="163" t="str">
        <f t="shared" si="0"/>
        <v/>
      </c>
      <c r="AC3" s="163" t="str">
        <f t="shared" si="0"/>
        <v/>
      </c>
      <c r="AD3" s="163" t="str">
        <f t="shared" si="0"/>
        <v/>
      </c>
      <c r="AE3" s="163" t="str">
        <f t="shared" si="0"/>
        <v/>
      </c>
      <c r="AF3" s="163" t="str">
        <f t="shared" si="0"/>
        <v/>
      </c>
      <c r="AG3" s="163" t="str">
        <f t="shared" si="0"/>
        <v/>
      </c>
      <c r="AH3" s="163" t="str">
        <f t="shared" si="0"/>
        <v/>
      </c>
    </row>
    <row r="4" spans="1:34">
      <c r="A4" s="286" t="s">
        <v>431</v>
      </c>
      <c r="B4" s="154" t="s">
        <v>404</v>
      </c>
      <c r="C4" s="159">
        <v>1</v>
      </c>
      <c r="D4" s="159">
        <v>1</v>
      </c>
      <c r="E4" s="159">
        <v>1</v>
      </c>
      <c r="F4" s="141">
        <v>10</v>
      </c>
      <c r="G4" s="154">
        <v>0.1</v>
      </c>
      <c r="H4" s="285" t="s">
        <v>391</v>
      </c>
      <c r="I4" s="102">
        <v>1</v>
      </c>
      <c r="J4" s="102"/>
      <c r="K4" s="102">
        <v>1</v>
      </c>
      <c r="L4" s="102">
        <v>1</v>
      </c>
      <c r="M4" s="102">
        <v>1</v>
      </c>
      <c r="N4" s="102">
        <v>1</v>
      </c>
      <c r="O4" s="102">
        <v>1</v>
      </c>
      <c r="P4" s="102">
        <v>1</v>
      </c>
      <c r="Q4" s="102">
        <v>1</v>
      </c>
      <c r="R4" s="102"/>
      <c r="S4" s="102">
        <v>1</v>
      </c>
      <c r="T4" s="102">
        <v>1</v>
      </c>
      <c r="U4" s="102"/>
      <c r="V4" s="102">
        <v>1</v>
      </c>
      <c r="W4" s="102">
        <v>1</v>
      </c>
      <c r="X4" s="102">
        <v>1</v>
      </c>
      <c r="Y4" s="102"/>
      <c r="Z4" s="102">
        <v>1</v>
      </c>
      <c r="AA4" s="102"/>
      <c r="AB4" s="102"/>
      <c r="AC4" s="102"/>
      <c r="AD4" s="102"/>
      <c r="AE4" s="102"/>
      <c r="AF4" s="102"/>
      <c r="AG4" s="102"/>
      <c r="AH4" s="102"/>
    </row>
    <row r="5" spans="1:34">
      <c r="A5" s="286"/>
      <c r="B5" s="154" t="s">
        <v>395</v>
      </c>
      <c r="C5" s="159">
        <v>1</v>
      </c>
      <c r="D5" s="159">
        <v>1</v>
      </c>
      <c r="E5" s="141">
        <v>10</v>
      </c>
      <c r="F5" s="141">
        <v>1</v>
      </c>
      <c r="G5" s="154">
        <v>0.2</v>
      </c>
      <c r="H5" s="285"/>
      <c r="I5" s="102"/>
      <c r="J5" s="102"/>
      <c r="K5" s="102"/>
      <c r="L5" s="102"/>
      <c r="M5" s="102"/>
      <c r="N5" s="102"/>
      <c r="O5" s="102"/>
      <c r="P5" s="102"/>
      <c r="Q5" s="102"/>
      <c r="R5" s="102">
        <v>1</v>
      </c>
      <c r="S5" s="102"/>
      <c r="T5" s="102"/>
      <c r="U5" s="102">
        <v>1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>
      <c r="A6" s="286"/>
      <c r="B6" s="154" t="s">
        <v>396</v>
      </c>
      <c r="C6" s="141">
        <v>10</v>
      </c>
      <c r="D6" s="141">
        <v>10</v>
      </c>
      <c r="E6" s="141">
        <v>1</v>
      </c>
      <c r="F6" s="141">
        <v>1</v>
      </c>
      <c r="G6" s="154">
        <v>0.3</v>
      </c>
      <c r="H6" s="285"/>
      <c r="I6" s="102"/>
      <c r="J6" s="102">
        <v>1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</row>
    <row r="7" spans="1:34">
      <c r="A7" s="286" t="s">
        <v>397</v>
      </c>
      <c r="B7" s="154" t="s">
        <v>152</v>
      </c>
      <c r="C7" s="141">
        <v>1</v>
      </c>
      <c r="D7" s="141">
        <v>1</v>
      </c>
      <c r="E7" s="141">
        <v>10</v>
      </c>
      <c r="F7" s="141">
        <v>1</v>
      </c>
      <c r="G7" s="154">
        <v>0.1</v>
      </c>
      <c r="H7" s="285"/>
      <c r="I7" s="156">
        <v>1</v>
      </c>
      <c r="J7" s="156"/>
      <c r="K7" s="156">
        <v>1</v>
      </c>
      <c r="L7" s="156"/>
      <c r="M7" s="156">
        <v>1</v>
      </c>
      <c r="N7" s="156">
        <v>1</v>
      </c>
      <c r="O7" s="156">
        <v>1</v>
      </c>
      <c r="P7" s="156"/>
      <c r="Q7" s="156"/>
      <c r="R7" s="156">
        <v>1</v>
      </c>
      <c r="S7" s="156">
        <v>1</v>
      </c>
      <c r="T7" s="156">
        <v>1</v>
      </c>
      <c r="U7" s="156">
        <v>1</v>
      </c>
      <c r="V7" s="156"/>
      <c r="W7" s="156"/>
      <c r="X7" s="156">
        <v>1</v>
      </c>
      <c r="Y7" s="156"/>
      <c r="Z7" s="156"/>
      <c r="AA7" s="156"/>
      <c r="AB7" s="156"/>
      <c r="AC7" s="156"/>
      <c r="AD7" s="156"/>
      <c r="AE7" s="156"/>
      <c r="AF7" s="156"/>
      <c r="AG7" s="156"/>
      <c r="AH7" s="156"/>
    </row>
    <row r="8" spans="1:34">
      <c r="A8" s="286"/>
      <c r="B8" s="154" t="s">
        <v>153</v>
      </c>
      <c r="C8" s="141">
        <v>1</v>
      </c>
      <c r="D8" s="141">
        <v>1</v>
      </c>
      <c r="E8" s="141">
        <v>1</v>
      </c>
      <c r="F8" s="141">
        <v>10</v>
      </c>
      <c r="G8" s="154">
        <v>0.2</v>
      </c>
      <c r="H8" s="28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>
        <v>1</v>
      </c>
      <c r="W8" s="156">
        <v>1</v>
      </c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</row>
    <row r="9" spans="1:34">
      <c r="A9" s="286"/>
      <c r="B9" s="154" t="s">
        <v>154</v>
      </c>
      <c r="C9" s="141">
        <v>10</v>
      </c>
      <c r="D9" s="141">
        <v>10</v>
      </c>
      <c r="E9" s="141">
        <v>1</v>
      </c>
      <c r="F9" s="141">
        <v>10</v>
      </c>
      <c r="G9" s="154">
        <v>0.3</v>
      </c>
      <c r="H9" s="285"/>
      <c r="I9" s="156"/>
      <c r="J9" s="156">
        <v>1</v>
      </c>
      <c r="K9" s="156"/>
      <c r="L9" s="156">
        <v>1</v>
      </c>
      <c r="M9" s="156"/>
      <c r="N9" s="156"/>
      <c r="O9" s="156"/>
      <c r="P9" s="156">
        <v>1</v>
      </c>
      <c r="Q9" s="156">
        <v>1</v>
      </c>
      <c r="R9" s="156"/>
      <c r="S9" s="156"/>
      <c r="T9" s="156"/>
      <c r="U9" s="156"/>
      <c r="V9" s="156"/>
      <c r="W9" s="156"/>
      <c r="X9" s="156"/>
      <c r="Y9" s="156"/>
      <c r="Z9" s="156">
        <v>1</v>
      </c>
      <c r="AA9" s="156"/>
      <c r="AB9" s="156"/>
      <c r="AC9" s="156"/>
      <c r="AD9" s="156"/>
      <c r="AE9" s="156"/>
      <c r="AF9" s="156"/>
      <c r="AG9" s="156"/>
      <c r="AH9" s="156"/>
    </row>
    <row r="10" spans="1:34">
      <c r="A10" s="286" t="s">
        <v>398</v>
      </c>
      <c r="B10" s="154" t="s">
        <v>155</v>
      </c>
      <c r="C10" s="141">
        <v>1</v>
      </c>
      <c r="D10" s="141">
        <v>1</v>
      </c>
      <c r="E10" s="141">
        <v>1</v>
      </c>
      <c r="F10" s="141">
        <v>10</v>
      </c>
      <c r="G10" s="154">
        <v>0.1</v>
      </c>
      <c r="H10" s="285"/>
      <c r="I10" s="157"/>
      <c r="J10" s="157"/>
      <c r="K10" s="157">
        <v>1</v>
      </c>
      <c r="L10" s="157"/>
      <c r="M10" s="157">
        <v>1</v>
      </c>
      <c r="N10" s="157"/>
      <c r="O10" s="157"/>
      <c r="P10" s="157"/>
      <c r="Q10" s="157">
        <v>1</v>
      </c>
      <c r="R10" s="157"/>
      <c r="S10" s="157"/>
      <c r="T10" s="157"/>
      <c r="U10" s="157">
        <v>1</v>
      </c>
      <c r="V10" s="157">
        <v>1</v>
      </c>
      <c r="W10" s="157"/>
      <c r="X10" s="157">
        <v>1</v>
      </c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</row>
    <row r="11" spans="1:34">
      <c r="A11" s="286"/>
      <c r="B11" s="154" t="s">
        <v>156</v>
      </c>
      <c r="C11" s="141">
        <v>1</v>
      </c>
      <c r="D11" s="141">
        <v>1</v>
      </c>
      <c r="E11" s="141">
        <v>10</v>
      </c>
      <c r="F11" s="141">
        <v>10</v>
      </c>
      <c r="G11" s="154">
        <v>0.15</v>
      </c>
      <c r="H11" s="285"/>
      <c r="I11" s="157"/>
      <c r="J11" s="157"/>
      <c r="K11" s="157"/>
      <c r="L11" s="157"/>
      <c r="M11" s="157"/>
      <c r="N11" s="157"/>
      <c r="O11" s="157">
        <v>1</v>
      </c>
      <c r="P11" s="157"/>
      <c r="Q11" s="157"/>
      <c r="R11" s="157">
        <v>1</v>
      </c>
      <c r="S11" s="157">
        <v>1</v>
      </c>
      <c r="T11" s="157">
        <v>1</v>
      </c>
      <c r="U11" s="157"/>
      <c r="V11" s="157"/>
      <c r="W11" s="157">
        <v>1</v>
      </c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</row>
    <row r="12" spans="1:34">
      <c r="A12" s="286"/>
      <c r="B12" s="154" t="s">
        <v>157</v>
      </c>
      <c r="C12" s="141">
        <v>10</v>
      </c>
      <c r="D12" s="141">
        <v>10</v>
      </c>
      <c r="E12" s="141">
        <v>10</v>
      </c>
      <c r="F12" s="141">
        <v>10</v>
      </c>
      <c r="G12" s="154">
        <v>0.2</v>
      </c>
      <c r="H12" s="285"/>
      <c r="I12" s="157">
        <v>1</v>
      </c>
      <c r="J12" s="157">
        <v>1</v>
      </c>
      <c r="K12" s="157"/>
      <c r="L12" s="157">
        <v>1</v>
      </c>
      <c r="M12" s="157"/>
      <c r="N12" s="157">
        <v>1</v>
      </c>
      <c r="O12" s="157"/>
      <c r="P12" s="157">
        <v>1</v>
      </c>
      <c r="Q12" s="157"/>
      <c r="R12" s="157"/>
      <c r="S12" s="157"/>
      <c r="T12" s="157"/>
      <c r="U12" s="157"/>
      <c r="V12" s="157"/>
      <c r="W12" s="157"/>
      <c r="X12" s="157"/>
      <c r="Y12" s="157"/>
      <c r="Z12" s="157">
        <v>1</v>
      </c>
      <c r="AA12" s="157"/>
      <c r="AB12" s="157"/>
      <c r="AC12" s="157"/>
      <c r="AD12" s="157"/>
      <c r="AE12" s="157"/>
      <c r="AF12" s="157"/>
      <c r="AG12" s="157"/>
      <c r="AH12" s="157"/>
    </row>
    <row r="13" spans="1:34">
      <c r="A13" s="286"/>
      <c r="B13" s="154" t="s">
        <v>158</v>
      </c>
      <c r="C13" s="141">
        <v>10</v>
      </c>
      <c r="D13" s="141">
        <v>10</v>
      </c>
      <c r="E13" s="141">
        <v>10</v>
      </c>
      <c r="F13" s="141">
        <v>10</v>
      </c>
      <c r="G13" s="154">
        <v>0.3</v>
      </c>
      <c r="H13" s="285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</row>
    <row r="14" spans="1:34">
      <c r="A14" s="286" t="s">
        <v>399</v>
      </c>
      <c r="B14" s="154" t="s">
        <v>400</v>
      </c>
      <c r="C14" s="141">
        <v>1</v>
      </c>
      <c r="D14" s="141">
        <v>10</v>
      </c>
      <c r="E14" s="141">
        <v>10</v>
      </c>
      <c r="F14" s="141">
        <v>10</v>
      </c>
      <c r="G14" s="154">
        <v>0.1</v>
      </c>
      <c r="H14" s="285"/>
      <c r="I14" s="158"/>
      <c r="J14" s="158"/>
      <c r="K14" s="158"/>
      <c r="L14" s="158"/>
      <c r="M14" s="158">
        <v>1</v>
      </c>
      <c r="N14" s="158"/>
      <c r="O14" s="158">
        <v>1</v>
      </c>
      <c r="P14" s="158">
        <v>1</v>
      </c>
      <c r="Q14" s="158">
        <v>1</v>
      </c>
      <c r="R14" s="158"/>
      <c r="S14" s="158">
        <v>1</v>
      </c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</row>
    <row r="15" spans="1:34">
      <c r="A15" s="286"/>
      <c r="B15" s="154" t="s">
        <v>401</v>
      </c>
      <c r="C15" s="141">
        <v>5</v>
      </c>
      <c r="D15" s="141">
        <v>1</v>
      </c>
      <c r="E15" s="141">
        <v>1</v>
      </c>
      <c r="F15" s="141">
        <v>10</v>
      </c>
      <c r="G15" s="154">
        <v>0.1</v>
      </c>
      <c r="H15" s="285"/>
      <c r="I15" s="158"/>
      <c r="J15" s="158"/>
      <c r="K15" s="158">
        <v>1</v>
      </c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</row>
    <row r="16" spans="1:34">
      <c r="A16" s="286"/>
      <c r="B16" s="154" t="s">
        <v>402</v>
      </c>
      <c r="C16" s="141">
        <v>10</v>
      </c>
      <c r="D16" s="141">
        <v>10</v>
      </c>
      <c r="E16" s="141">
        <v>10</v>
      </c>
      <c r="F16" s="159">
        <v>1</v>
      </c>
      <c r="G16" s="154">
        <v>0.2</v>
      </c>
      <c r="H16" s="285"/>
      <c r="I16" s="158"/>
      <c r="J16" s="158">
        <v>1</v>
      </c>
      <c r="K16" s="158"/>
      <c r="L16" s="158">
        <v>1</v>
      </c>
      <c r="M16" s="158"/>
      <c r="N16" s="158"/>
      <c r="O16" s="158"/>
      <c r="P16" s="158"/>
      <c r="Q16" s="158">
        <v>1</v>
      </c>
      <c r="R16" s="158"/>
      <c r="S16" s="158"/>
      <c r="T16" s="158"/>
      <c r="U16" s="158"/>
      <c r="V16" s="158"/>
      <c r="W16" s="158"/>
      <c r="X16" s="158"/>
      <c r="Y16" s="158"/>
      <c r="Z16" s="158">
        <v>1</v>
      </c>
      <c r="AA16" s="158"/>
      <c r="AB16" s="158"/>
      <c r="AC16" s="158"/>
      <c r="AD16" s="158"/>
      <c r="AE16" s="158"/>
      <c r="AF16" s="158"/>
      <c r="AG16" s="158"/>
      <c r="AH16" s="158"/>
    </row>
    <row r="17" spans="1:34">
      <c r="A17" s="286"/>
      <c r="B17" s="154" t="s">
        <v>162</v>
      </c>
      <c r="C17" s="141">
        <v>10</v>
      </c>
      <c r="D17" s="159">
        <v>1</v>
      </c>
      <c r="E17" s="159">
        <v>1</v>
      </c>
      <c r="F17" s="159">
        <v>1</v>
      </c>
      <c r="G17" s="154">
        <v>0.2</v>
      </c>
      <c r="H17" s="285"/>
      <c r="I17" s="158"/>
      <c r="J17" s="158"/>
      <c r="K17" s="158"/>
      <c r="L17" s="158">
        <v>1</v>
      </c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</row>
    <row r="18" spans="1:34">
      <c r="A18" s="154"/>
      <c r="B18" s="154"/>
      <c r="C18" s="154"/>
      <c r="D18" s="154"/>
      <c r="E18" s="154"/>
      <c r="F18" s="154"/>
      <c r="G18" s="154"/>
      <c r="H18" s="154" t="s">
        <v>406</v>
      </c>
      <c r="I18" s="154">
        <f>IF(I2="S",SUMPRODUCT($C$4:$C$17,I4:I17),IF(I2="B",SUMPRODUCT($D$4:$D$17,I4:I17),IF(I2="Q",SUMPRODUCT($E$4:$E$17,I4:I17),SUMPRODUCT($F$4:$F$17,I4:I17))))</f>
        <v>12</v>
      </c>
      <c r="J18" s="155">
        <f t="shared" ref="J18:U18" si="1">IF(J2="S",SUMPRODUCT($C$4:$C$17,J4:J17),IF(J2="B",SUMPRODUCT($D$4:$D$17,J4:J17),IF(J2="Q",SUMPRODUCT($E$4:$E$17,J4:J17),SUMPRODUCT($F$4:$F$17,J4:J17))))</f>
        <v>40</v>
      </c>
      <c r="K18" s="155">
        <f t="shared" si="1"/>
        <v>8</v>
      </c>
      <c r="L18" s="155">
        <f t="shared" si="1"/>
        <v>41</v>
      </c>
      <c r="M18" s="155">
        <f t="shared" si="1"/>
        <v>13</v>
      </c>
      <c r="N18" s="155">
        <f t="shared" si="1"/>
        <v>12</v>
      </c>
      <c r="O18" s="155">
        <f t="shared" si="1"/>
        <v>13</v>
      </c>
      <c r="P18" s="155">
        <f t="shared" si="1"/>
        <v>31</v>
      </c>
      <c r="Q18" s="155">
        <f t="shared" si="1"/>
        <v>32</v>
      </c>
      <c r="R18" s="155">
        <f t="shared" si="1"/>
        <v>30</v>
      </c>
      <c r="S18" s="155">
        <f t="shared" si="1"/>
        <v>31</v>
      </c>
      <c r="T18" s="155">
        <f t="shared" si="1"/>
        <v>21</v>
      </c>
      <c r="U18" s="155">
        <f t="shared" si="1"/>
        <v>21</v>
      </c>
      <c r="V18" s="155">
        <f t="shared" ref="V18:AH18" si="2">IF(V2="S",SUMPRODUCT($C$4:$C$17,V4:V17),IF(V2="B",SUMPRODUCT($D$4:$D$17,V4:V17),IF(V2="Q",SUMPRODUCT($E$4:$E$17,V4:V17),SUMPRODUCT($F$4:$F$17,V4:V17))))</f>
        <v>30</v>
      </c>
      <c r="W18" s="155">
        <f t="shared" si="2"/>
        <v>30</v>
      </c>
      <c r="X18" s="155">
        <f t="shared" si="2"/>
        <v>21</v>
      </c>
      <c r="Y18" s="155">
        <f t="shared" si="2"/>
        <v>0</v>
      </c>
      <c r="Z18" s="155">
        <f t="shared" si="2"/>
        <v>31</v>
      </c>
      <c r="AA18" s="155">
        <f t="shared" si="2"/>
        <v>0</v>
      </c>
      <c r="AB18" s="155">
        <f t="shared" si="2"/>
        <v>0</v>
      </c>
      <c r="AC18" s="155">
        <f t="shared" si="2"/>
        <v>0</v>
      </c>
      <c r="AD18" s="155">
        <f t="shared" si="2"/>
        <v>0</v>
      </c>
      <c r="AE18" s="155">
        <f t="shared" si="2"/>
        <v>0</v>
      </c>
      <c r="AF18" s="155">
        <f t="shared" si="2"/>
        <v>0</v>
      </c>
      <c r="AG18" s="155">
        <f t="shared" si="2"/>
        <v>0</v>
      </c>
      <c r="AH18" s="155">
        <f t="shared" si="2"/>
        <v>0</v>
      </c>
    </row>
  </sheetData>
  <mergeCells count="13">
    <mergeCell ref="H4:H17"/>
    <mergeCell ref="A14:A17"/>
    <mergeCell ref="A1:A3"/>
    <mergeCell ref="D2:D3"/>
    <mergeCell ref="E2:E3"/>
    <mergeCell ref="G1:G3"/>
    <mergeCell ref="C1:F1"/>
    <mergeCell ref="F2:F3"/>
    <mergeCell ref="B1:B3"/>
    <mergeCell ref="C2:C3"/>
    <mergeCell ref="A4:A6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982D-243A-42B0-8A45-05EECBBD1527}">
  <sheetPr codeName="Sheet3"/>
  <dimension ref="A1:AV73"/>
  <sheetViews>
    <sheetView zoomScale="85" zoomScaleNormal="85" workbookViewId="0">
      <selection activeCell="T24" sqref="T24"/>
    </sheetView>
  </sheetViews>
  <sheetFormatPr defaultRowHeight="13.8"/>
  <cols>
    <col min="1" max="1" width="16.6640625" customWidth="1"/>
    <col min="2" max="2" width="16.109375" bestFit="1" customWidth="1"/>
    <col min="3" max="5" width="8.88671875" hidden="1" customWidth="1"/>
    <col min="6" max="6" width="1.21875" hidden="1" customWidth="1"/>
    <col min="7" max="7" width="11.77734375" customWidth="1"/>
    <col min="12" max="14" width="8.88671875" hidden="1" customWidth="1"/>
    <col min="15" max="15" width="10.5546875" hidden="1" customWidth="1"/>
    <col min="16" max="16" width="12.5546875" hidden="1" customWidth="1"/>
    <col min="17" max="17" width="12.44140625" customWidth="1"/>
    <col min="18" max="18" width="12.6640625" customWidth="1"/>
    <col min="19" max="19" width="13.88671875" bestFit="1" customWidth="1"/>
    <col min="23" max="23" width="11.5546875" customWidth="1"/>
    <col min="24" max="24" width="14.21875" customWidth="1"/>
    <col min="25" max="25" width="15.109375" customWidth="1"/>
    <col min="26" max="26" width="14.44140625" customWidth="1"/>
    <col min="27" max="29" width="0" hidden="1" customWidth="1"/>
    <col min="30" max="30" width="11.109375" customWidth="1"/>
    <col min="31" max="31" width="11.44140625" customWidth="1"/>
    <col min="32" max="32" width="14.44140625" customWidth="1"/>
    <col min="33" max="33" width="18.6640625" customWidth="1"/>
    <col min="34" max="34" width="11.21875" customWidth="1"/>
    <col min="35" max="35" width="14.109375" customWidth="1"/>
    <col min="36" max="36" width="19.5546875" customWidth="1"/>
    <col min="37" max="37" width="17.21875" customWidth="1"/>
    <col min="40" max="40" width="12.109375" customWidth="1"/>
    <col min="41" max="41" width="17.109375" bestFit="1" customWidth="1"/>
    <col min="42" max="42" width="25.5546875" customWidth="1"/>
    <col min="48" max="48" width="8.88671875" customWidth="1"/>
  </cols>
  <sheetData>
    <row r="1" spans="1:48">
      <c r="A1" s="1"/>
      <c r="B1" s="297" t="s">
        <v>179</v>
      </c>
      <c r="C1" s="297" t="s">
        <v>180</v>
      </c>
      <c r="D1" s="304" t="s">
        <v>181</v>
      </c>
      <c r="E1" s="304" t="s">
        <v>182</v>
      </c>
      <c r="F1" s="1"/>
      <c r="G1" s="305" t="s">
        <v>183</v>
      </c>
      <c r="H1" s="307" t="s">
        <v>184</v>
      </c>
      <c r="Q1" s="290"/>
      <c r="R1" s="290"/>
      <c r="S1" s="290"/>
      <c r="T1" s="290"/>
    </row>
    <row r="2" spans="1:48">
      <c r="A2" s="1"/>
      <c r="B2" s="303"/>
      <c r="C2" s="303"/>
      <c r="D2" s="304"/>
      <c r="E2" s="304"/>
      <c r="F2" s="1"/>
      <c r="G2" s="306"/>
      <c r="H2" s="307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168</v>
      </c>
      <c r="R2" s="73" t="s">
        <v>169</v>
      </c>
      <c r="S2" s="73" t="s">
        <v>170</v>
      </c>
      <c r="T2" s="73" t="s">
        <v>171</v>
      </c>
      <c r="U2" s="73" t="s">
        <v>172</v>
      </c>
      <c r="V2" s="223" t="s">
        <v>173</v>
      </c>
      <c r="W2" s="73" t="s">
        <v>174</v>
      </c>
      <c r="X2" s="75" t="s">
        <v>199</v>
      </c>
      <c r="Y2" s="73" t="s">
        <v>175</v>
      </c>
      <c r="AD2" s="294" t="s">
        <v>200</v>
      </c>
      <c r="AE2" s="295"/>
      <c r="AF2" s="295"/>
      <c r="AG2" s="296"/>
      <c r="AI2" s="327" t="s">
        <v>230</v>
      </c>
      <c r="AJ2" s="328"/>
      <c r="AK2" s="332">
        <v>0.05</v>
      </c>
      <c r="AL2" s="327" t="s">
        <v>231</v>
      </c>
      <c r="AM2" s="328"/>
      <c r="AN2" s="332">
        <v>89926.25</v>
      </c>
      <c r="AO2" s="95" t="s">
        <v>232</v>
      </c>
      <c r="AP2" s="95" t="s">
        <v>233</v>
      </c>
    </row>
    <row r="3" spans="1:48" ht="21" customHeight="1">
      <c r="A3" s="259" t="s">
        <v>185</v>
      </c>
      <c r="B3" s="260">
        <f>SUMIF($L$3:$L$14,1,$Q$3:$Q$14)+SUMIF($L$3:$L$14,1,$R$3:$R$14)+SUMIF($L$3:$L$14,1,$S$3:$S$14)+SUMIF($L$3:$L$14,1,$T$3:$T$14)</f>
        <v>270</v>
      </c>
      <c r="C3" s="261">
        <f>参数调整!B45</f>
        <v>40</v>
      </c>
      <c r="D3" s="261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38</v>
      </c>
      <c r="E3" s="261">
        <f>参数调整!I45</f>
        <v>1</v>
      </c>
      <c r="F3" s="261">
        <f>D3*G3*(参数调整!$B$6+1)</f>
        <v>12004.199999999999</v>
      </c>
      <c r="G3" s="262">
        <f>IF(B3-E38&lt;=0,0,B3-E38)</f>
        <v>270</v>
      </c>
      <c r="H3" s="263"/>
      <c r="J3" s="251" t="s">
        <v>345</v>
      </c>
      <c r="K3" s="251">
        <v>113</v>
      </c>
      <c r="L3" s="229" t="str">
        <f>LEFT(K3,1)</f>
        <v>1</v>
      </c>
      <c r="M3" s="229" t="str">
        <f>MID(K3,2,1)</f>
        <v>1</v>
      </c>
      <c r="N3" s="229" t="str">
        <f>MID(K3,3,1)</f>
        <v>3</v>
      </c>
      <c r="O3" s="229" t="str">
        <f>MID(K3,4,1)</f>
        <v/>
      </c>
      <c r="P3" s="229" t="str">
        <f>MID(K3,5,1)</f>
        <v/>
      </c>
      <c r="Q3" s="227">
        <v>60</v>
      </c>
      <c r="R3" s="227"/>
      <c r="S3" s="227"/>
      <c r="T3" s="227"/>
      <c r="U3" s="76">
        <f>TRUNC(Q3*参数调整!$I$30)+TRUNC(R3*参数调整!$H$30)+TRUNC(S3*参数调整!$G$30)+TRUNC(T3*参数调整!$F$30)</f>
        <v>45</v>
      </c>
      <c r="V3" s="76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35.013999999999996</v>
      </c>
      <c r="W3" s="228">
        <v>8008</v>
      </c>
      <c r="X3" s="110">
        <f>IF(J3="S",W3*参数调整!$H$11/($T$19*$J$18),IF(J3="B",W3*参数调整!$H$12/($T$20*$J$18),IF(J3="Q",W3*参数调整!$H$13/($T$21*$J$18),W3*参数调整!$H$14/($T$22*$J$18))))</f>
        <v>0.47</v>
      </c>
      <c r="Y3" s="196">
        <f>SUMIF(J3:J14,"S",W3:W14)</f>
        <v>8008</v>
      </c>
      <c r="AD3" s="294" t="s">
        <v>201</v>
      </c>
      <c r="AE3" s="295"/>
      <c r="AF3" s="296"/>
      <c r="AG3" s="94">
        <f>参数调整!$B$1-参数调整!$B$2-参数调整!$B$3</f>
        <v>587000</v>
      </c>
      <c r="AI3" s="329"/>
      <c r="AJ3" s="330"/>
      <c r="AK3" s="333"/>
      <c r="AL3" s="329"/>
      <c r="AM3" s="330"/>
      <c r="AN3" s="333"/>
      <c r="AO3" s="74">
        <v>78156</v>
      </c>
      <c r="AP3" s="213"/>
      <c r="AV3" s="138"/>
    </row>
    <row r="4" spans="1:48" ht="21" customHeight="1">
      <c r="A4" s="259" t="s">
        <v>186</v>
      </c>
      <c r="B4" s="260">
        <f>SUMIF($L$3:$L$14,2,$Q$3:$Q$14)+SUMIF($L$3:$L$14,2,$R$3:$R$14)+SUMIF($L$3:$L$14,2,$S$3:$S$14)+SUMIF($L$3:$L$14,2,$T$3:$T$14)</f>
        <v>60</v>
      </c>
      <c r="C4" s="261">
        <f>参数调整!B46</f>
        <v>80</v>
      </c>
      <c r="D4" s="261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261">
        <f>参数调整!I46</f>
        <v>1</v>
      </c>
      <c r="F4" s="261">
        <f>D4*G4*(参数调整!$B$6+1)</f>
        <v>5616</v>
      </c>
      <c r="G4" s="262">
        <f>IF(B4-E39&lt;=0,0,B4-E39)</f>
        <v>60</v>
      </c>
      <c r="H4" s="263"/>
      <c r="J4" s="226" t="s">
        <v>346</v>
      </c>
      <c r="K4" s="227">
        <v>1111</v>
      </c>
      <c r="L4" s="229" t="str">
        <f t="shared" ref="L4:L14" si="0">LEFT(K4,1)</f>
        <v>1</v>
      </c>
      <c r="M4" s="229" t="str">
        <f t="shared" ref="M4:M14" si="1">MID(K4,2,1)</f>
        <v>1</v>
      </c>
      <c r="N4" s="229" t="str">
        <f t="shared" ref="N4:N14" si="2">MID(K4,3,1)</f>
        <v>1</v>
      </c>
      <c r="O4" s="229" t="str">
        <f t="shared" ref="O4:O14" si="3">MID(K4,4,1)</f>
        <v>1</v>
      </c>
      <c r="P4" s="229" t="str">
        <f t="shared" ref="P4:P14" si="4">MID(K4,5,1)</f>
        <v/>
      </c>
      <c r="Q4" s="227">
        <v>60</v>
      </c>
      <c r="R4" s="227"/>
      <c r="S4" s="227"/>
      <c r="T4" s="239"/>
      <c r="U4" s="76">
        <f>TRUNC(Q4*参数调整!$I$30)+TRUNC(R4*参数调整!$H$30)+TRUNC(S4*参数调整!$G$30)+TRUNC(T4*参数调整!$F$30)</f>
        <v>45</v>
      </c>
      <c r="V4" s="76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34.547200000000004</v>
      </c>
      <c r="W4" s="228">
        <v>11188</v>
      </c>
      <c r="X4" s="110">
        <f>IF(J4="S",W4*参数调整!$H$11/($T$19*$J$18),IF(J4="B",W4*参数调整!$H$12/($T$20*$J$18),IF(J4="Q",W4*参数调整!$H$13/($T$21*$J$18),W4*参数调整!$H$14/($T$22*$J$18))))</f>
        <v>1.03</v>
      </c>
      <c r="Y4" s="196">
        <f>SUMIF(J3:J14,"B",W3:W14)</f>
        <v>11188</v>
      </c>
      <c r="AD4" s="297" t="s">
        <v>202</v>
      </c>
      <c r="AE4" s="128" t="s">
        <v>203</v>
      </c>
      <c r="AF4" s="228"/>
      <c r="AG4" s="73">
        <f>AF4*参数调整!$J$23</f>
        <v>0</v>
      </c>
      <c r="AI4" s="324" t="s">
        <v>234</v>
      </c>
      <c r="AJ4" s="294" t="s">
        <v>235</v>
      </c>
      <c r="AK4" s="295"/>
      <c r="AL4" s="296"/>
      <c r="AM4" s="95" t="s">
        <v>236</v>
      </c>
      <c r="AN4" s="95" t="s">
        <v>237</v>
      </c>
      <c r="AO4" s="308" t="s">
        <v>338</v>
      </c>
      <c r="AP4" s="308"/>
      <c r="AV4" s="138"/>
    </row>
    <row r="5" spans="1:48" ht="21" customHeight="1">
      <c r="A5" s="259" t="s">
        <v>151</v>
      </c>
      <c r="B5" s="260">
        <f>SUMIF($L$3:$L$14,3,$Q$3:$Q$14)+SUMIF($L$3:$L$14,3,$R$3:$R$14)+SUMIF($L$3:$L$14,3,$S$3:$S$14)+SUMIF($L$3:$L$14,3,$T$3:$T$14)</f>
        <v>0</v>
      </c>
      <c r="C5" s="261">
        <f>参数调整!B47</f>
        <v>110</v>
      </c>
      <c r="D5" s="261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110</v>
      </c>
      <c r="E5" s="261">
        <f>参数调整!I47</f>
        <v>1</v>
      </c>
      <c r="F5" s="261">
        <f>D5*G5*(参数调整!$B$6+1)</f>
        <v>0</v>
      </c>
      <c r="G5" s="262">
        <f t="shared" ref="G5:G16" si="5">IF(B5-E40&lt;=0,0,B5-E40)</f>
        <v>0</v>
      </c>
      <c r="H5" s="264"/>
      <c r="J5" s="251" t="s">
        <v>346</v>
      </c>
      <c r="K5" s="251">
        <v>1121</v>
      </c>
      <c r="L5" s="229" t="str">
        <f t="shared" si="0"/>
        <v>1</v>
      </c>
      <c r="M5" s="229" t="str">
        <f t="shared" si="1"/>
        <v>1</v>
      </c>
      <c r="N5" s="229" t="str">
        <f t="shared" si="2"/>
        <v>2</v>
      </c>
      <c r="O5" s="229" t="str">
        <f t="shared" si="3"/>
        <v>1</v>
      </c>
      <c r="P5" s="229" t="str">
        <f t="shared" si="4"/>
        <v/>
      </c>
      <c r="Q5" s="227"/>
      <c r="R5" s="227"/>
      <c r="S5" s="227"/>
      <c r="T5" s="239"/>
      <c r="U5" s="76">
        <f>TRUNC(Q5*参数调整!$I$30)+TRUNC(R5*参数调整!$H$30)+TRUNC(S5*参数调整!$G$30)+TRUNC(T5*参数调整!$F$30)</f>
        <v>0</v>
      </c>
      <c r="V5" s="76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24</v>
      </c>
      <c r="W5" s="228"/>
      <c r="X5" s="110">
        <f>IF(J5="S",W5*参数调整!$H$11/($T$19*$J$18),IF(J5="B",W5*参数调整!$H$12/($T$20*$J$18),IF(J5="Q",W5*参数调整!$H$13/($T$21*$J$18),W5*参数调整!$H$14/($T$22*$J$18))))</f>
        <v>0</v>
      </c>
      <c r="Y5" s="196">
        <f>SUMIF(J3:J14,"Q",W3:W14)</f>
        <v>20904</v>
      </c>
      <c r="AD5" s="298"/>
      <c r="AE5" s="128" t="s">
        <v>204</v>
      </c>
      <c r="AF5" s="228">
        <v>1</v>
      </c>
      <c r="AG5" s="73">
        <f>AF5*参数调整!$H$23</f>
        <v>80000</v>
      </c>
      <c r="AI5" s="325"/>
      <c r="AJ5" s="297" t="s">
        <v>238</v>
      </c>
      <c r="AK5" s="297" t="s">
        <v>239</v>
      </c>
      <c r="AL5" s="95" t="s">
        <v>101</v>
      </c>
      <c r="AM5" s="75">
        <f>SUM(Q3:Q14)</f>
        <v>330</v>
      </c>
      <c r="AN5" s="95">
        <f>AM5*参数调整!$I$32</f>
        <v>9900</v>
      </c>
      <c r="AO5" s="336">
        <f>AN2+AO36*(1-参数调整!B23)+AP36*(1-参数调整!B24)</f>
        <v>89926.25</v>
      </c>
      <c r="AP5" s="336"/>
      <c r="AV5" s="138"/>
    </row>
    <row r="6" spans="1:48" ht="21" customHeight="1">
      <c r="A6" s="259" t="s">
        <v>152</v>
      </c>
      <c r="B6" s="265">
        <f>SUMIF($M$3:$M$14,1,$Q$3:$Q$14)+SUMIF($M$3:$M$14,1,$R$3:$R$14)+SUMIF($M$3:$M$14,1,$S$3:$S$14)+SUMIF($M$3:$M$14,1,$T$3:$T$14)</f>
        <v>330</v>
      </c>
      <c r="C6" s="261">
        <f>参数调整!B48</f>
        <v>10</v>
      </c>
      <c r="D6" s="261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9.5</v>
      </c>
      <c r="E6" s="261">
        <f>参数调整!I48</f>
        <v>0</v>
      </c>
      <c r="F6" s="261">
        <f>D6*G6*(参数调整!$B$6+1)</f>
        <v>3667.95</v>
      </c>
      <c r="G6" s="266">
        <f t="shared" si="5"/>
        <v>330</v>
      </c>
      <c r="H6" s="263"/>
      <c r="J6" s="251" t="s">
        <v>346</v>
      </c>
      <c r="K6" s="227">
        <v>113</v>
      </c>
      <c r="L6" s="229" t="str">
        <f t="shared" si="0"/>
        <v>1</v>
      </c>
      <c r="M6" s="229" t="str">
        <f t="shared" si="1"/>
        <v>1</v>
      </c>
      <c r="N6" s="229" t="str">
        <f t="shared" si="2"/>
        <v>3</v>
      </c>
      <c r="O6" s="229" t="str">
        <f t="shared" si="3"/>
        <v/>
      </c>
      <c r="P6" s="229" t="str">
        <f t="shared" si="4"/>
        <v/>
      </c>
      <c r="Q6" s="227"/>
      <c r="R6" s="227"/>
      <c r="S6" s="227"/>
      <c r="T6" s="239"/>
      <c r="U6" s="76">
        <f>TRUNC(Q6*参数调整!$I$30)+TRUNC(R6*参数调整!$H$30)+TRUNC(S6*参数调整!$G$30)+TRUNC(T6*参数调整!$F$30)</f>
        <v>0</v>
      </c>
      <c r="V6" s="76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24</v>
      </c>
      <c r="W6" s="228"/>
      <c r="X6" s="110">
        <f>IF(J6="S",W6*参数调整!$H$11/($T$19*$J$18),IF(J6="B",W6*参数调整!$H$12/($T$20*$J$18),IF(J6="Q",W6*参数调整!$H$13/($T$21*$J$18),W6*参数调整!$H$14/($T$22*$J$18))))</f>
        <v>0</v>
      </c>
      <c r="Y6" s="196">
        <f>SUMIF(J3:J14,"L",W3:W14)</f>
        <v>0</v>
      </c>
      <c r="AD6" s="299"/>
      <c r="AE6" s="128" t="s">
        <v>205</v>
      </c>
      <c r="AF6" s="228"/>
      <c r="AG6" s="73">
        <f>AF6*参数调整!$F$23</f>
        <v>0</v>
      </c>
      <c r="AI6" s="325"/>
      <c r="AJ6" s="298"/>
      <c r="AK6" s="298"/>
      <c r="AL6" s="95" t="s">
        <v>269</v>
      </c>
      <c r="AM6" s="75">
        <f>SUM(T3:T14)</f>
        <v>0</v>
      </c>
      <c r="AN6" s="95">
        <f>AM6*参数调整!$F$32</f>
        <v>0</v>
      </c>
      <c r="AO6" s="336"/>
      <c r="AP6" s="336"/>
      <c r="AV6" s="138"/>
    </row>
    <row r="7" spans="1:48" ht="21" customHeight="1">
      <c r="A7" s="259" t="s">
        <v>153</v>
      </c>
      <c r="B7" s="265">
        <f>SUMIF($M$3:$M$14,2,$Q$3:$Q$14)+SUMIF($M$3:$M$14,2,$R$3:$R$14)+SUMIF($M$3:$M$14,2,$S$3:$S$14)+SUMIF($M$3:$M$14,2,$T$3:$T$14)</f>
        <v>0</v>
      </c>
      <c r="C7" s="261">
        <f>参数调整!B49</f>
        <v>20</v>
      </c>
      <c r="D7" s="261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</v>
      </c>
      <c r="E7" s="261">
        <f>参数调整!I49</f>
        <v>1</v>
      </c>
      <c r="F7" s="261">
        <f>D7*G7*(参数调整!$B$6+1)</f>
        <v>0</v>
      </c>
      <c r="G7" s="266">
        <f>IF(B7-E42&lt;=0,0,B7-E42)</f>
        <v>0</v>
      </c>
      <c r="H7" s="263"/>
      <c r="J7" s="251" t="s">
        <v>347</v>
      </c>
      <c r="K7" s="227">
        <v>212</v>
      </c>
      <c r="L7" s="229" t="str">
        <f t="shared" si="0"/>
        <v>2</v>
      </c>
      <c r="M7" s="229" t="str">
        <f t="shared" si="1"/>
        <v>1</v>
      </c>
      <c r="N7" s="229" t="str">
        <f t="shared" si="2"/>
        <v>2</v>
      </c>
      <c r="O7" s="229" t="str">
        <f t="shared" si="3"/>
        <v/>
      </c>
      <c r="P7" s="229" t="str">
        <f t="shared" si="4"/>
        <v/>
      </c>
      <c r="Q7" s="227">
        <v>60</v>
      </c>
      <c r="R7" s="227"/>
      <c r="S7" s="227"/>
      <c r="T7" s="239"/>
      <c r="U7" s="76">
        <f>TRUNC(Q7*参数调整!$I$30)+TRUNC(R7*参数调整!$H$30)+TRUNC(S7*参数调整!$G$30)+TRUNC(T7*参数调整!$F$30)</f>
        <v>45</v>
      </c>
      <c r="V7" s="76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34.971428571428575</v>
      </c>
      <c r="W7" s="228"/>
      <c r="X7" s="110">
        <f>IF(J7="S",W7*参数调整!$H$11/($T$19*$J$18),IF(J7="B",W7*参数调整!$H$12/($T$20*$J$18),IF(J7="Q",W7*参数调整!$H$13/($T$21*$J$18),W7*参数调整!$H$14/($T$22*$J$18))))</f>
        <v>0</v>
      </c>
      <c r="AD7" s="297" t="s">
        <v>206</v>
      </c>
      <c r="AE7" s="128" t="s">
        <v>207</v>
      </c>
      <c r="AF7" s="228">
        <v>1</v>
      </c>
      <c r="AG7" s="300">
        <v>0</v>
      </c>
      <c r="AH7" s="1"/>
      <c r="AI7" s="325"/>
      <c r="AJ7" s="298"/>
      <c r="AK7" s="298"/>
      <c r="AL7" s="95" t="s">
        <v>100</v>
      </c>
      <c r="AM7" s="75">
        <f>SUM(R3:R14)</f>
        <v>0</v>
      </c>
      <c r="AN7" s="95">
        <f>AM7*参数调整!$H$32</f>
        <v>0</v>
      </c>
      <c r="AO7" s="2"/>
      <c r="AP7" s="2"/>
      <c r="AV7" s="138"/>
    </row>
    <row r="8" spans="1:48" ht="21" customHeight="1">
      <c r="A8" s="259" t="s">
        <v>154</v>
      </c>
      <c r="B8" s="265">
        <f>SUMIF($M$3:$M$14,3,$Q$3:$Q$14)+SUMIF($M$3:$M$14,3,$R$3:$R$14)+SUMIF($M$3:$M$14,3,$S$3:$S$14)+SUMIF($M$3:$M$14,3,$T$3:$T$14)</f>
        <v>0</v>
      </c>
      <c r="C8" s="261">
        <f>参数调整!B50</f>
        <v>35</v>
      </c>
      <c r="D8" s="261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</v>
      </c>
      <c r="E8" s="261">
        <f>参数调整!I50</f>
        <v>1</v>
      </c>
      <c r="F8" s="261">
        <f>D8*G8*(参数调整!$B$6+1)</f>
        <v>0</v>
      </c>
      <c r="G8" s="266">
        <f t="shared" si="5"/>
        <v>0</v>
      </c>
      <c r="H8" s="263"/>
      <c r="J8" s="227" t="s">
        <v>347</v>
      </c>
      <c r="K8" s="227">
        <v>1121</v>
      </c>
      <c r="L8" s="229" t="str">
        <f t="shared" si="0"/>
        <v>1</v>
      </c>
      <c r="M8" s="229" t="str">
        <f t="shared" si="1"/>
        <v>1</v>
      </c>
      <c r="N8" s="229" t="str">
        <f t="shared" si="2"/>
        <v>2</v>
      </c>
      <c r="O8" s="229" t="str">
        <f t="shared" si="3"/>
        <v>1</v>
      </c>
      <c r="P8" s="229" t="str">
        <f t="shared" si="4"/>
        <v/>
      </c>
      <c r="Q8" s="227">
        <v>60</v>
      </c>
      <c r="R8" s="227"/>
      <c r="S8" s="227"/>
      <c r="T8" s="239"/>
      <c r="U8" s="76">
        <f>TRUNC(Q8*参数调整!$I$30)+TRUNC(R8*参数调整!$H$30)+TRUNC(S8*参数调整!$G$30)+TRUNC(T8*参数调整!$F$30)</f>
        <v>45</v>
      </c>
      <c r="V8" s="76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34.971428571428575</v>
      </c>
      <c r="W8" s="228"/>
      <c r="X8" s="110">
        <f>IF(J8="S",W8*参数调整!$H$11/($T$19*$J$18),IF(J8="B",W8*参数调整!$H$12/($T$20*$J$18),IF(J8="Q",W8*参数调整!$H$13/($T$21*$J$18),W8*参数调整!$H$14/($T$22*$J$18))))</f>
        <v>0</v>
      </c>
      <c r="AD8" s="298"/>
      <c r="AE8" s="128" t="s">
        <v>208</v>
      </c>
      <c r="AF8" s="228"/>
      <c r="AG8" s="301"/>
      <c r="AH8" s="1"/>
      <c r="AI8" s="325"/>
      <c r="AJ8" s="298"/>
      <c r="AK8" s="299"/>
      <c r="AL8" s="95" t="s">
        <v>270</v>
      </c>
      <c r="AM8" s="75">
        <f>SUM(S3:S14)</f>
        <v>0</v>
      </c>
      <c r="AN8" s="95">
        <f>AM8*参数调整!$G$32</f>
        <v>0</v>
      </c>
      <c r="AO8" s="2"/>
      <c r="AP8" s="2"/>
      <c r="AV8" s="138"/>
    </row>
    <row r="9" spans="1:48" ht="21" customHeight="1">
      <c r="A9" s="259" t="s">
        <v>155</v>
      </c>
      <c r="B9" s="267">
        <f>SUMIF($N$3:$N$14,1,$Q$3:$Q$14)+SUMIF($N$3:$N$14,1,$R$3:$R$14)+SUMIF($N$3:$N$14,1,$S$3:$S$14)+SUMIF($N$3:$N$14,1,$T$3:$T$14)</f>
        <v>60</v>
      </c>
      <c r="C9" s="261">
        <f>参数调整!B51</f>
        <v>50</v>
      </c>
      <c r="D9" s="261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261">
        <f>参数调整!I51</f>
        <v>0</v>
      </c>
      <c r="F9" s="261">
        <f>D9*G9*(参数调整!$B$6+1)</f>
        <v>3510</v>
      </c>
      <c r="G9" s="268">
        <f t="shared" si="5"/>
        <v>60</v>
      </c>
      <c r="H9" s="263"/>
      <c r="J9" s="226" t="s">
        <v>347</v>
      </c>
      <c r="K9" s="227">
        <v>112</v>
      </c>
      <c r="L9" s="229" t="str">
        <f t="shared" si="0"/>
        <v>1</v>
      </c>
      <c r="M9" s="229" t="str">
        <f t="shared" si="1"/>
        <v>1</v>
      </c>
      <c r="N9" s="229" t="str">
        <f t="shared" si="2"/>
        <v>2</v>
      </c>
      <c r="O9" s="229" t="str">
        <f t="shared" si="3"/>
        <v/>
      </c>
      <c r="P9" s="229" t="str">
        <f t="shared" si="4"/>
        <v/>
      </c>
      <c r="Q9" s="227">
        <v>90</v>
      </c>
      <c r="R9" s="227"/>
      <c r="S9" s="227"/>
      <c r="T9" s="239"/>
      <c r="U9" s="76">
        <f>TRUNC(Q9*参数调整!$I$30)+TRUNC(R9*参数调整!$H$30)+TRUNC(S9*参数调整!$G$30)+TRUNC(T9*参数调整!$F$30)</f>
        <v>67</v>
      </c>
      <c r="V9" s="76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57.579428571428579</v>
      </c>
      <c r="W9" s="230">
        <v>20904</v>
      </c>
      <c r="X9" s="110">
        <f>IF(J9="S",W9*参数调整!$H$11/($T$19*$J$18),IF(J9="B",W9*参数调整!$H$12/($T$20*$J$18),IF(J9="Q",W9*参数调整!$H$13/($T$21*$J$18),W9*参数调整!$H$14/($T$22*$J$18))))</f>
        <v>1.57</v>
      </c>
      <c r="AD9" s="299"/>
      <c r="AE9" s="128" t="s">
        <v>209</v>
      </c>
      <c r="AF9" s="228"/>
      <c r="AG9" s="302"/>
      <c r="AH9" s="1"/>
      <c r="AI9" s="325"/>
      <c r="AJ9" s="298"/>
      <c r="AK9" s="297" t="s">
        <v>240</v>
      </c>
      <c r="AL9" s="95" t="s">
        <v>241</v>
      </c>
      <c r="AM9" s="75">
        <f>AF7</f>
        <v>1</v>
      </c>
      <c r="AN9" s="95">
        <f>AM9*参数调整!$J$24</f>
        <v>5000</v>
      </c>
      <c r="AO9" s="2"/>
      <c r="AP9" s="2"/>
      <c r="AV9" s="138"/>
    </row>
    <row r="10" spans="1:48" ht="21" customHeight="1">
      <c r="A10" s="259" t="s">
        <v>156</v>
      </c>
      <c r="B10" s="267">
        <f>SUMIF($N$3:$N$14,2,$Q$3:$Q$14)+SUMIF($N$3:$N$14,2,$R$3:$R$14)+SUMIF($N$3:$N$14,2,$S$3:$S$14)+SUMIF($N$3:$N$14,2,$T$3:$T$14)</f>
        <v>210</v>
      </c>
      <c r="C10" s="261">
        <f>参数调整!B52</f>
        <v>80</v>
      </c>
      <c r="D10" s="261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76</v>
      </c>
      <c r="E10" s="261">
        <f>参数调整!I52</f>
        <v>1</v>
      </c>
      <c r="F10" s="261">
        <f>D10*G10*(参数调整!$B$6+1)</f>
        <v>18673.199999999997</v>
      </c>
      <c r="G10" s="268">
        <f t="shared" si="5"/>
        <v>210</v>
      </c>
      <c r="H10" s="263"/>
      <c r="J10" s="226" t="s">
        <v>187</v>
      </c>
      <c r="K10" s="227">
        <v>121</v>
      </c>
      <c r="L10" s="229" t="str">
        <f t="shared" si="0"/>
        <v>1</v>
      </c>
      <c r="M10" s="229" t="str">
        <f t="shared" si="1"/>
        <v>2</v>
      </c>
      <c r="N10" s="229" t="str">
        <f t="shared" si="2"/>
        <v>1</v>
      </c>
      <c r="O10" s="229" t="str">
        <f t="shared" si="3"/>
        <v/>
      </c>
      <c r="P10" s="229" t="str">
        <f t="shared" si="4"/>
        <v/>
      </c>
      <c r="Q10" s="227"/>
      <c r="R10" s="227"/>
      <c r="S10" s="227"/>
      <c r="T10" s="239"/>
      <c r="U10" s="76">
        <f>TRUNC(Q10*参数调整!$I$30)+TRUNC(R10*参数调整!$H$30)+TRUNC(S10*参数调整!$G$30)+TRUNC(T10*参数调整!$F$30)</f>
        <v>0</v>
      </c>
      <c r="V10" s="76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230"/>
      <c r="X10" s="110" t="e">
        <f>IF(J10="S",W10*参数调整!$H$11/($T$19*$J$18),IF(J10="B",W10*参数调整!$H$12/($T$20*$J$18),IF(J10="Q",W10*参数调整!$H$13/($T$21*$J$18),W10*参数调整!$H$14/($T$22*$J$18))))</f>
        <v>#DIV/0!</v>
      </c>
      <c r="Y10" s="273" t="s">
        <v>440</v>
      </c>
      <c r="AD10" s="297" t="s">
        <v>210</v>
      </c>
      <c r="AE10" s="128" t="s">
        <v>211</v>
      </c>
      <c r="AF10" s="228">
        <v>5</v>
      </c>
      <c r="AG10" s="73">
        <f>AF10*参数调整!$I$29</f>
        <v>250000</v>
      </c>
      <c r="AI10" s="325"/>
      <c r="AJ10" s="298"/>
      <c r="AK10" s="298"/>
      <c r="AL10" s="95" t="s">
        <v>242</v>
      </c>
      <c r="AM10" s="125">
        <f>AF8</f>
        <v>0</v>
      </c>
      <c r="AN10" s="95">
        <f>AM10*参数调整!$H$24</f>
        <v>0</v>
      </c>
      <c r="AO10" s="2"/>
      <c r="AP10" s="2"/>
      <c r="AV10" s="138"/>
    </row>
    <row r="11" spans="1:48" ht="21" customHeight="1">
      <c r="A11" s="259" t="s">
        <v>157</v>
      </c>
      <c r="B11" s="267">
        <f>SUMIF($N$3:$N$14,3,$Q$3:$Q$14)+SUMIF($N$3:$N$14,3,$R$3:$R$14)+SUMIF($N$3:$N$14,3,$S$3:$S$14)+SUMIF($N$3:$N$14,3,$T$3:$T$14)</f>
        <v>60</v>
      </c>
      <c r="C11" s="261">
        <f>参数调整!B53</f>
        <v>110</v>
      </c>
      <c r="D11" s="261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</v>
      </c>
      <c r="E11" s="261">
        <f>参数调整!I53</f>
        <v>0</v>
      </c>
      <c r="F11" s="261">
        <f>D11*G11*(参数调整!$B$6+1)</f>
        <v>7721.9999999999991</v>
      </c>
      <c r="G11" s="268">
        <f t="shared" si="5"/>
        <v>60</v>
      </c>
      <c r="H11" s="263"/>
      <c r="J11" s="226"/>
      <c r="K11" s="227"/>
      <c r="L11" s="229" t="str">
        <f t="shared" si="0"/>
        <v/>
      </c>
      <c r="M11" s="229" t="str">
        <f t="shared" si="1"/>
        <v/>
      </c>
      <c r="N11" s="229" t="str">
        <f t="shared" si="2"/>
        <v/>
      </c>
      <c r="O11" s="229" t="str">
        <f t="shared" si="3"/>
        <v/>
      </c>
      <c r="P11" s="229" t="str">
        <f t="shared" si="4"/>
        <v/>
      </c>
      <c r="Q11" s="227"/>
      <c r="R11" s="227"/>
      <c r="S11" s="227"/>
      <c r="T11" s="239"/>
      <c r="U11" s="76">
        <f>TRUNC(Q11*参数调整!$I$30)+TRUNC(R11*参数调整!$H$30)+TRUNC(S11*参数调整!$G$30)+TRUNC(T11*参数调整!$F$30)</f>
        <v>0</v>
      </c>
      <c r="V11" s="76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230"/>
      <c r="X11" s="110" t="e">
        <f>IF(J11="S",W11*参数调整!$H$11/($T$19*$J$18),IF(J11="B",W11*参数调整!$H$12/($T$20*$J$18),IF(J11="Q",W11*参数调整!$H$13/($T$21*$J$18),W11*参数调整!$H$14/($T$22*$J$18))))</f>
        <v>#DIV/0!</v>
      </c>
      <c r="Y11" s="235">
        <f>AG31</f>
        <v>5.0000000046566129E-2</v>
      </c>
      <c r="AD11" s="298"/>
      <c r="AE11" s="128" t="s">
        <v>212</v>
      </c>
      <c r="AF11" s="228"/>
      <c r="AG11" s="73">
        <f>AF11*参数调整!$H$29</f>
        <v>0</v>
      </c>
      <c r="AI11" s="325"/>
      <c r="AJ11" s="298"/>
      <c r="AK11" s="299"/>
      <c r="AL11" s="95" t="s">
        <v>243</v>
      </c>
      <c r="AM11" s="125">
        <f>AF9</f>
        <v>0</v>
      </c>
      <c r="AN11" s="95">
        <f>AM11*参数调整!$F$24</f>
        <v>0</v>
      </c>
      <c r="AO11" s="2"/>
      <c r="AP11" s="2"/>
      <c r="AV11" s="138"/>
    </row>
    <row r="12" spans="1:48" ht="21" customHeight="1">
      <c r="A12" s="259" t="s">
        <v>158</v>
      </c>
      <c r="B12" s="267">
        <f>SUMIF($N$3:$N$14,4,$Q$3:$Q$14)+SUMIF($N$3:$N$14,4,$R$3:$R$14)+SUMIF($N$3:$N$14,4,$S$3:$S$14)+SUMIF($N$3:$N$14,4,$T$3:$T$14)</f>
        <v>0</v>
      </c>
      <c r="C12" s="261">
        <f>参数调整!B54</f>
        <v>160</v>
      </c>
      <c r="D12" s="261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160</v>
      </c>
      <c r="E12" s="261">
        <f>参数调整!I54</f>
        <v>1</v>
      </c>
      <c r="F12" s="261">
        <f>D12*G12*(参数调整!$B$6+1)</f>
        <v>0</v>
      </c>
      <c r="G12" s="268">
        <f t="shared" si="5"/>
        <v>0</v>
      </c>
      <c r="H12" s="263"/>
      <c r="J12" s="226"/>
      <c r="K12" s="227"/>
      <c r="L12" s="229" t="str">
        <f t="shared" si="0"/>
        <v/>
      </c>
      <c r="M12" s="229" t="str">
        <f t="shared" si="1"/>
        <v/>
      </c>
      <c r="N12" s="229" t="str">
        <f t="shared" si="2"/>
        <v/>
      </c>
      <c r="O12" s="229" t="str">
        <f t="shared" si="3"/>
        <v/>
      </c>
      <c r="P12" s="229" t="str">
        <f t="shared" si="4"/>
        <v/>
      </c>
      <c r="Q12" s="227"/>
      <c r="R12" s="227"/>
      <c r="S12" s="227"/>
      <c r="T12" s="239"/>
      <c r="U12" s="76">
        <f>TRUNC(Q12*参数调整!$I$30)+TRUNC(R12*参数调整!$H$30)+TRUNC(S12*参数调整!$G$30)+TRUNC(T12*参数调整!$F$30)</f>
        <v>0</v>
      </c>
      <c r="V12" s="76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228"/>
      <c r="X12" s="110" t="e">
        <f>IF(J12="S",W12*参数调整!$H$11/($T$19*$J$18),IF(J12="B",W12*参数调整!$H$12/($T$20*$J$18),IF(J12="Q",W12*参数调整!$H$13/($T$21*$J$18),W12*参数调整!$H$14/($T$22*$J$18))))</f>
        <v>#DIV/0!</v>
      </c>
      <c r="AD12" s="298"/>
      <c r="AE12" s="128" t="s">
        <v>213</v>
      </c>
      <c r="AF12" s="228"/>
      <c r="AG12" s="73">
        <f>AF12*参数调整!$G$29</f>
        <v>0</v>
      </c>
      <c r="AI12" s="325"/>
      <c r="AJ12" s="298"/>
      <c r="AK12" s="319" t="s">
        <v>244</v>
      </c>
      <c r="AL12" s="320"/>
      <c r="AM12" s="75">
        <f>AF24</f>
        <v>5</v>
      </c>
      <c r="AN12" s="95">
        <f>AM12*参数调整!$J$18*(1+参数调整!$B$12+参数调整!$B$13+参数调整!$B$14+参数调整!$B$15+参数调整!$B$16)</f>
        <v>24227.999999999996</v>
      </c>
      <c r="AO12" s="2"/>
      <c r="AP12" s="2"/>
      <c r="AV12" s="138"/>
    </row>
    <row r="13" spans="1:48" ht="21" customHeight="1">
      <c r="A13" s="259" t="s">
        <v>159</v>
      </c>
      <c r="B13" s="269">
        <f>SUMIF($O$3:$O$14,1,$Q$3:$Q$14)+SUMIF($O$3:$O$14,1,$R$3:$R$14)+SUMIF($O$3:$O$14,1,$S$3:$S$14)+SUMIF($O$3:$O$14,1,$T$3:$T$14)+SUMIF($P$3:$P$14,1,$Q$3:$Q$14)+SUMIF($P$3:$P$14,1,$R$3:$R$14)+SUMIF($P$3:$P$14,1,$S$3:$S$14)+SUMIF($P$3:$P$14,1,$T$3:$T$14)</f>
        <v>120</v>
      </c>
      <c r="C13" s="261">
        <f>参数调整!B55</f>
        <v>50</v>
      </c>
      <c r="D13" s="261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261">
        <f>参数调整!I55</f>
        <v>1</v>
      </c>
      <c r="F13" s="261">
        <f>D13*G13*(参数调整!$B$6+1)</f>
        <v>7020</v>
      </c>
      <c r="G13" s="270">
        <f t="shared" si="5"/>
        <v>120</v>
      </c>
      <c r="H13" s="264">
        <v>156</v>
      </c>
      <c r="J13" s="226"/>
      <c r="K13" s="227"/>
      <c r="L13" s="229" t="str">
        <f t="shared" si="0"/>
        <v/>
      </c>
      <c r="M13" s="229" t="str">
        <f t="shared" si="1"/>
        <v/>
      </c>
      <c r="N13" s="229" t="str">
        <f t="shared" si="2"/>
        <v/>
      </c>
      <c r="O13" s="229" t="str">
        <f t="shared" si="3"/>
        <v/>
      </c>
      <c r="P13" s="229" t="str">
        <f t="shared" si="4"/>
        <v/>
      </c>
      <c r="Q13" s="227"/>
      <c r="R13" s="227"/>
      <c r="S13" s="227"/>
      <c r="T13" s="239"/>
      <c r="U13" s="76">
        <f>TRUNC(Q13*参数调整!$I$30)+TRUNC(R13*参数调整!$H$30)+TRUNC(S13*参数调整!$G$30)+TRUNC(T13*参数调整!$F$30)</f>
        <v>0</v>
      </c>
      <c r="V13" s="76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228"/>
      <c r="X13" s="110" t="e">
        <f>IF(J13="S",W13*参数调整!$H$11/($T$19*$J$18),IF(J13="B",W13*参数调整!$H$12/($T$20*$J$18),IF(J13="Q",W13*参数调整!$H$13/($T$21*$J$18),W13*参数调整!$H$14/($T$22*$J$18))))</f>
        <v>#DIV/0!</v>
      </c>
      <c r="AD13" s="299"/>
      <c r="AE13" s="128" t="s">
        <v>214</v>
      </c>
      <c r="AF13" s="228">
        <v>1</v>
      </c>
      <c r="AG13" s="73">
        <f>AF13*参数调整!$F$29</f>
        <v>120000</v>
      </c>
      <c r="AI13" s="325"/>
      <c r="AJ13" s="298"/>
      <c r="AK13" s="297" t="s">
        <v>245</v>
      </c>
      <c r="AL13" s="95" t="s">
        <v>101</v>
      </c>
      <c r="AM13" s="124">
        <v>5</v>
      </c>
      <c r="AN13" s="103">
        <f>AM13*参数调整!$I$33</f>
        <v>7500</v>
      </c>
      <c r="AO13" s="2"/>
      <c r="AP13" s="2"/>
      <c r="AV13" s="138"/>
    </row>
    <row r="14" spans="1:48" ht="21" customHeight="1">
      <c r="A14" s="259" t="s">
        <v>160</v>
      </c>
      <c r="B14" s="269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261">
        <f>参数调整!B56</f>
        <v>50</v>
      </c>
      <c r="D14" s="261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261">
        <f>参数调整!I56</f>
        <v>1</v>
      </c>
      <c r="F14" s="261">
        <f>D14*G14*(参数调整!$B$6+1)</f>
        <v>0</v>
      </c>
      <c r="G14" s="270">
        <f t="shared" si="5"/>
        <v>0</v>
      </c>
      <c r="H14" s="264"/>
      <c r="J14" s="226"/>
      <c r="K14" s="227"/>
      <c r="L14" s="229" t="str">
        <f t="shared" si="0"/>
        <v/>
      </c>
      <c r="M14" s="229" t="str">
        <f t="shared" si="1"/>
        <v/>
      </c>
      <c r="N14" s="229" t="str">
        <f t="shared" si="2"/>
        <v/>
      </c>
      <c r="O14" s="229" t="str">
        <f t="shared" si="3"/>
        <v/>
      </c>
      <c r="P14" s="229" t="str">
        <f t="shared" si="4"/>
        <v/>
      </c>
      <c r="Q14" s="227"/>
      <c r="R14" s="227"/>
      <c r="S14" s="227"/>
      <c r="T14" s="239"/>
      <c r="U14" s="76">
        <f>TRUNC(Q14*参数调整!$I$30)+TRUNC(R14*参数调整!$H$30)+TRUNC(S14*参数调整!$G$30)+TRUNC(T14*参数调整!$F$30)</f>
        <v>0</v>
      </c>
      <c r="V14" s="76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228"/>
      <c r="X14" s="110" t="e">
        <f>IF(J14="S",W14*参数调整!$H$11/($T$19*$J$18),IF(J14="B",W14*参数调整!$H$12/($T$20*$J$18),IF(J14="Q",W14*参数调整!$H$13/($T$21*$J$18),W14*参数调整!$H$14/($T$22*$J$18))))</f>
        <v>#DIV/0!</v>
      </c>
      <c r="AD14" s="294" t="s">
        <v>215</v>
      </c>
      <c r="AE14" s="296"/>
      <c r="AF14" s="228">
        <v>5</v>
      </c>
      <c r="AG14" s="73">
        <f>AF14*参数调整!$B$31</f>
        <v>150000</v>
      </c>
      <c r="AI14" s="325"/>
      <c r="AJ14" s="298"/>
      <c r="AK14" s="298"/>
      <c r="AL14" s="95" t="s">
        <v>269</v>
      </c>
      <c r="AM14" s="124">
        <v>0</v>
      </c>
      <c r="AN14" s="95">
        <f>AM14*参数调整!$F$33</f>
        <v>0</v>
      </c>
      <c r="AO14" s="2"/>
      <c r="AP14" s="2"/>
      <c r="AV14" s="138"/>
    </row>
    <row r="15" spans="1:48" ht="14.4" customHeight="1">
      <c r="A15" s="259" t="s">
        <v>161</v>
      </c>
      <c r="B15" s="269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261">
        <f>参数调整!B57</f>
        <v>80</v>
      </c>
      <c r="D15" s="261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261">
        <f>参数调整!I57</f>
        <v>1</v>
      </c>
      <c r="F15" s="261">
        <f>D15*G15*(参数调整!$B$6+1)</f>
        <v>0</v>
      </c>
      <c r="G15" s="270">
        <f t="shared" si="5"/>
        <v>0</v>
      </c>
      <c r="H15" s="264"/>
      <c r="Q15" s="75">
        <f>SUM(Q3:Q14)</f>
        <v>330</v>
      </c>
      <c r="R15" s="75">
        <f>SUM(R3:R14)</f>
        <v>0</v>
      </c>
      <c r="S15" s="75">
        <f>SUM(S3:S14)</f>
        <v>0</v>
      </c>
      <c r="T15" s="75">
        <f>SUM(T3:T14)</f>
        <v>0</v>
      </c>
      <c r="AD15" s="294" t="s">
        <v>216</v>
      </c>
      <c r="AE15" s="296"/>
      <c r="AF15" s="228"/>
      <c r="AG15" s="73">
        <f>AF15*参数调整!$B$32</f>
        <v>0</v>
      </c>
      <c r="AI15" s="325"/>
      <c r="AJ15" s="298"/>
      <c r="AK15" s="298"/>
      <c r="AL15" s="95" t="s">
        <v>100</v>
      </c>
      <c r="AM15" s="124">
        <v>0</v>
      </c>
      <c r="AN15" s="95">
        <f>AM15*参数调整!$H$33</f>
        <v>0</v>
      </c>
      <c r="AO15" s="2"/>
      <c r="AP15" s="2"/>
    </row>
    <row r="16" spans="1:48" ht="14.4" customHeight="1">
      <c r="A16" s="259" t="s">
        <v>162</v>
      </c>
      <c r="B16" s="269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261">
        <f>参数调整!B58</f>
        <v>90</v>
      </c>
      <c r="D16" s="261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261">
        <f>参数调整!I58</f>
        <v>1</v>
      </c>
      <c r="F16" s="261">
        <f>D16*G16*(参数调整!$B$6+1)</f>
        <v>0</v>
      </c>
      <c r="G16" s="270">
        <f t="shared" si="5"/>
        <v>0</v>
      </c>
      <c r="H16" s="264"/>
      <c r="AD16" s="297" t="s">
        <v>217</v>
      </c>
      <c r="AE16" s="128" t="s">
        <v>218</v>
      </c>
      <c r="AF16" s="228">
        <v>1</v>
      </c>
      <c r="AG16" s="73">
        <f>AF16*参数调整!$F$3</f>
        <v>20000</v>
      </c>
      <c r="AI16" s="325"/>
      <c r="AJ16" s="299"/>
      <c r="AK16" s="299"/>
      <c r="AL16" s="95" t="s">
        <v>270</v>
      </c>
      <c r="AM16" s="124">
        <v>0</v>
      </c>
      <c r="AN16" s="95">
        <f>AM16*参数调整!$G$33</f>
        <v>0</v>
      </c>
      <c r="AO16" s="2"/>
      <c r="AP16" s="2"/>
    </row>
    <row r="17" spans="1:42" ht="13.8" customHeight="1">
      <c r="J17" s="309" t="s">
        <v>195</v>
      </c>
      <c r="K17" s="309"/>
      <c r="AD17" s="298"/>
      <c r="AE17" s="128" t="s">
        <v>219</v>
      </c>
      <c r="AF17" s="228">
        <v>1</v>
      </c>
      <c r="AG17" s="73">
        <f>AF17*参数调整!$F$4</f>
        <v>20000</v>
      </c>
      <c r="AH17" s="1"/>
      <c r="AI17" s="325"/>
      <c r="AJ17" s="294" t="s">
        <v>246</v>
      </c>
      <c r="AK17" s="295"/>
      <c r="AL17" s="296"/>
      <c r="AM17" s="75">
        <v>1</v>
      </c>
      <c r="AN17" s="95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292" t="s">
        <v>197</v>
      </c>
      <c r="B18" s="293"/>
      <c r="G18" s="77">
        <f>SUMIF(E3:E16,0,F3:F16)</f>
        <v>14899.949999999999</v>
      </c>
      <c r="J18" s="310">
        <v>32</v>
      </c>
      <c r="K18" s="311"/>
      <c r="Q18" s="73" t="s">
        <v>188</v>
      </c>
      <c r="R18" s="73" t="s">
        <v>189</v>
      </c>
      <c r="S18" s="240" t="s">
        <v>190</v>
      </c>
      <c r="T18" s="223" t="s">
        <v>191</v>
      </c>
      <c r="U18" s="73" t="s">
        <v>192</v>
      </c>
      <c r="V18" s="249" t="s">
        <v>443</v>
      </c>
      <c r="AD18" s="298"/>
      <c r="AE18" s="128" t="s">
        <v>220</v>
      </c>
      <c r="AF18" s="228">
        <v>1</v>
      </c>
      <c r="AG18" s="73">
        <f>AF18*参数调整!$F$5</f>
        <v>20000</v>
      </c>
      <c r="AH18" s="97"/>
      <c r="AI18" s="325"/>
      <c r="AJ18" s="327" t="s">
        <v>247</v>
      </c>
      <c r="AK18" s="328"/>
      <c r="AL18" s="95" t="s">
        <v>248</v>
      </c>
      <c r="AM18" s="75">
        <f>AF24</f>
        <v>5</v>
      </c>
      <c r="AN18" s="104">
        <f>AM18*参数调整!$B$10</f>
        <v>5000</v>
      </c>
      <c r="AO18" s="2"/>
      <c r="AP18" s="2"/>
    </row>
    <row r="19" spans="1:42" ht="13.8" customHeight="1">
      <c r="J19" s="310"/>
      <c r="K19" s="311"/>
      <c r="N19" s="1">
        <f>R19-(第二季度!R18-第二季度!W18)</f>
        <v>1120</v>
      </c>
      <c r="Q19" s="73" t="s">
        <v>176</v>
      </c>
      <c r="R19" s="227">
        <v>1120</v>
      </c>
      <c r="S19" s="227">
        <v>32</v>
      </c>
      <c r="T19" s="227">
        <v>7986.7021276595751</v>
      </c>
      <c r="U19" s="75">
        <f>35*J22</f>
        <v>1120</v>
      </c>
      <c r="V19" s="91">
        <v>7784.7203002252554</v>
      </c>
      <c r="AD19" s="298"/>
      <c r="AE19" s="128" t="s">
        <v>221</v>
      </c>
      <c r="AF19" s="228">
        <v>1</v>
      </c>
      <c r="AG19" s="73">
        <f>AF19*参数调整!$F$6</f>
        <v>20000</v>
      </c>
      <c r="AH19" s="1"/>
      <c r="AI19" s="325"/>
      <c r="AJ19" s="329"/>
      <c r="AK19" s="330"/>
      <c r="AL19" s="95" t="s">
        <v>249</v>
      </c>
      <c r="AM19" s="75">
        <f>AF25</f>
        <v>1</v>
      </c>
      <c r="AN19" s="95">
        <f>AM19*参数调整!$B$10</f>
        <v>1000</v>
      </c>
      <c r="AO19" s="2"/>
      <c r="AP19" s="2"/>
    </row>
    <row r="20" spans="1:42" ht="13.8" customHeight="1">
      <c r="A20" s="80"/>
      <c r="B20" s="223" t="s">
        <v>198</v>
      </c>
      <c r="C20" s="73"/>
      <c r="D20" s="73"/>
      <c r="E20" s="73"/>
      <c r="F20" s="73"/>
      <c r="G20" s="73" t="s">
        <v>191</v>
      </c>
      <c r="H20" s="1"/>
      <c r="J20" s="310"/>
      <c r="K20" s="311"/>
      <c r="N20" s="1">
        <f>R20-(第二季度!R19-第二季度!W19)</f>
        <v>1024</v>
      </c>
      <c r="Q20" s="73" t="s">
        <v>177</v>
      </c>
      <c r="R20" s="227">
        <v>1024</v>
      </c>
      <c r="S20" s="227">
        <v>32</v>
      </c>
      <c r="T20" s="227">
        <v>8486.0436893203878</v>
      </c>
      <c r="U20" s="75">
        <f>32*J22</f>
        <v>1024</v>
      </c>
      <c r="V20" s="91">
        <v>9222.8919000660389</v>
      </c>
      <c r="AD20" s="298"/>
      <c r="AE20" s="128" t="s">
        <v>222</v>
      </c>
      <c r="AF20" s="228">
        <v>1</v>
      </c>
      <c r="AG20" s="73">
        <f>AF20*参数调整!$F$7</f>
        <v>20000</v>
      </c>
      <c r="AH20" s="1"/>
      <c r="AI20" s="325"/>
      <c r="AJ20" s="327" t="s">
        <v>250</v>
      </c>
      <c r="AK20" s="328"/>
      <c r="AL20" s="95" t="s">
        <v>101</v>
      </c>
      <c r="AM20" s="74">
        <v>5</v>
      </c>
      <c r="AN20" s="95">
        <f>AM20*参数调整!$I$29</f>
        <v>250000</v>
      </c>
      <c r="AO20" s="2"/>
      <c r="AP20" s="2"/>
    </row>
    <row r="21" spans="1:42" ht="13.8" customHeight="1">
      <c r="A21" s="73" t="s">
        <v>176</v>
      </c>
      <c r="B21" s="228">
        <v>0.47</v>
      </c>
      <c r="C21" s="1"/>
      <c r="D21" s="1"/>
      <c r="E21" s="1"/>
      <c r="F21" s="1"/>
      <c r="G21" s="73">
        <f>Y3*参数调整!H11/(B21*$J$18)</f>
        <v>7986.7021276595751</v>
      </c>
      <c r="H21" s="236">
        <f>G21/3</f>
        <v>2662.2340425531916</v>
      </c>
      <c r="J21" s="309" t="s">
        <v>196</v>
      </c>
      <c r="K21" s="312"/>
      <c r="N21" s="1">
        <f>R21-(第二季度!R20-第二季度!W20)</f>
        <v>1440</v>
      </c>
      <c r="Q21" s="73" t="s">
        <v>178</v>
      </c>
      <c r="R21" s="227">
        <v>1440</v>
      </c>
      <c r="S21" s="227">
        <v>35</v>
      </c>
      <c r="T21" s="227">
        <v>6241.2420382165601</v>
      </c>
      <c r="U21" s="75">
        <f>45*J22</f>
        <v>1440</v>
      </c>
      <c r="V21" s="91">
        <v>6518.9744045293137</v>
      </c>
      <c r="AD21" s="299"/>
      <c r="AE21" s="128" t="s">
        <v>223</v>
      </c>
      <c r="AF21" s="228">
        <v>1</v>
      </c>
      <c r="AG21" s="73">
        <f>AF21*参数调整!$F$8</f>
        <v>20000</v>
      </c>
      <c r="AH21" s="1"/>
      <c r="AI21" s="325"/>
      <c r="AJ21" s="303"/>
      <c r="AK21" s="331"/>
      <c r="AL21" s="95" t="s">
        <v>269</v>
      </c>
      <c r="AM21" s="74">
        <v>0</v>
      </c>
      <c r="AN21" s="95">
        <f>AM21*参数调整!$F$29</f>
        <v>0</v>
      </c>
      <c r="AO21" s="2"/>
      <c r="AP21" s="2"/>
    </row>
    <row r="22" spans="1:42" ht="13.8" customHeight="1">
      <c r="A22" s="73" t="s">
        <v>177</v>
      </c>
      <c r="B22" s="228">
        <v>1.03</v>
      </c>
      <c r="C22" s="1"/>
      <c r="D22" s="1"/>
      <c r="E22" s="1"/>
      <c r="F22" s="1"/>
      <c r="G22" s="73">
        <f>Y4*参数调整!H12/(B22*$J$18)</f>
        <v>8486.0436893203878</v>
      </c>
      <c r="H22" s="236">
        <f>G22/5</f>
        <v>1697.2087378640776</v>
      </c>
      <c r="J22" s="310">
        <v>32</v>
      </c>
      <c r="K22" s="311"/>
      <c r="N22" s="1">
        <f>R22-(第二季度!R21-第二季度!W21)</f>
        <v>0</v>
      </c>
      <c r="Q22" s="73" t="s">
        <v>193</v>
      </c>
      <c r="R22" s="227"/>
      <c r="S22" s="227"/>
      <c r="T22" s="227"/>
      <c r="U22" s="75">
        <f>50*J22</f>
        <v>1600</v>
      </c>
      <c r="V22" s="91">
        <v>0</v>
      </c>
      <c r="AD22" s="294" t="s">
        <v>352</v>
      </c>
      <c r="AE22" s="296"/>
      <c r="AF22" s="228"/>
      <c r="AG22" s="73">
        <f>AF22*参数调整!$C$40</f>
        <v>0</v>
      </c>
      <c r="AI22" s="325"/>
      <c r="AJ22" s="303"/>
      <c r="AK22" s="331"/>
      <c r="AL22" s="95" t="s">
        <v>100</v>
      </c>
      <c r="AM22" s="74">
        <v>0</v>
      </c>
      <c r="AN22" s="95">
        <f>AM22*参数调整!$H$29</f>
        <v>0</v>
      </c>
      <c r="AO22" s="2"/>
      <c r="AP22" s="2"/>
    </row>
    <row r="23" spans="1:42" ht="13.8" customHeight="1">
      <c r="A23" s="73" t="s">
        <v>178</v>
      </c>
      <c r="B23" s="228">
        <v>1.57</v>
      </c>
      <c r="C23" s="1"/>
      <c r="D23" s="1"/>
      <c r="E23" s="1"/>
      <c r="F23" s="1"/>
      <c r="G23" s="73">
        <f>Y5*参数调整!H13/(B23*$J$18)</f>
        <v>6241.2420382165601</v>
      </c>
      <c r="H23" s="236">
        <f>G23/3</f>
        <v>2080.4140127388532</v>
      </c>
      <c r="J23" s="310"/>
      <c r="K23" s="311"/>
      <c r="Q23" s="92" t="s">
        <v>194</v>
      </c>
      <c r="R23" s="1"/>
      <c r="S23" s="1"/>
      <c r="T23" s="1"/>
      <c r="U23" s="1"/>
      <c r="V23" s="1"/>
      <c r="AD23" s="294" t="s">
        <v>353</v>
      </c>
      <c r="AE23" s="296"/>
      <c r="AF23" s="228"/>
      <c r="AG23" s="73">
        <f>AF23*参数调整!$C$41</f>
        <v>0</v>
      </c>
      <c r="AI23" s="325"/>
      <c r="AJ23" s="329"/>
      <c r="AK23" s="330"/>
      <c r="AL23" s="95" t="s">
        <v>270</v>
      </c>
      <c r="AM23" s="74">
        <v>0</v>
      </c>
      <c r="AN23" s="95">
        <f>AM23*参数调整!$G$29</f>
        <v>0</v>
      </c>
      <c r="AO23" s="2"/>
      <c r="AP23" s="2"/>
    </row>
    <row r="24" spans="1:42" ht="13.8" customHeight="1">
      <c r="A24" s="73" t="s">
        <v>193</v>
      </c>
      <c r="B24" s="228"/>
      <c r="C24" s="1"/>
      <c r="D24" s="1"/>
      <c r="E24" s="1"/>
      <c r="F24" s="1"/>
      <c r="G24" s="73">
        <v>0</v>
      </c>
      <c r="H24" s="236"/>
      <c r="J24" s="310"/>
      <c r="K24" s="311"/>
      <c r="Q24" s="218">
        <f>J22-J18</f>
        <v>0</v>
      </c>
      <c r="R24" s="1"/>
      <c r="S24" s="1"/>
      <c r="T24" s="1"/>
      <c r="U24" s="1"/>
      <c r="V24" s="1"/>
      <c r="AD24" s="294" t="s">
        <v>224</v>
      </c>
      <c r="AE24" s="296"/>
      <c r="AF24" s="228">
        <v>5</v>
      </c>
      <c r="AG24" s="73">
        <f>AF24*参数调整!$F$18</f>
        <v>1500</v>
      </c>
      <c r="AI24" s="325"/>
      <c r="AJ24" s="327" t="s">
        <v>251</v>
      </c>
      <c r="AK24" s="328"/>
      <c r="AL24" s="95" t="s">
        <v>252</v>
      </c>
      <c r="AM24" s="74">
        <v>0</v>
      </c>
      <c r="AN24" s="95">
        <f>AM24*参数调整!$F$23</f>
        <v>0</v>
      </c>
      <c r="AO24" s="2"/>
      <c r="AP24" s="2"/>
    </row>
    <row r="25" spans="1:42" ht="13.8" customHeight="1">
      <c r="AD25" s="294" t="s">
        <v>225</v>
      </c>
      <c r="AE25" s="296"/>
      <c r="AF25" s="228">
        <v>1</v>
      </c>
      <c r="AG25" s="73">
        <f>AF25*参数调整!$F$17</f>
        <v>500</v>
      </c>
      <c r="AI25" s="325"/>
      <c r="AJ25" s="303"/>
      <c r="AK25" s="331"/>
      <c r="AL25" s="95" t="s">
        <v>253</v>
      </c>
      <c r="AM25" s="74">
        <v>1</v>
      </c>
      <c r="AN25" s="95">
        <f>AM25*参数调整!$H$23</f>
        <v>80000</v>
      </c>
      <c r="AO25" s="2"/>
      <c r="AP25" s="2"/>
    </row>
    <row r="26" spans="1:42" ht="13.8" customHeight="1">
      <c r="AD26" s="294" t="s">
        <v>226</v>
      </c>
      <c r="AE26" s="295"/>
      <c r="AF26" s="296"/>
      <c r="AG26" s="73">
        <f>SUM(W3:W14)</f>
        <v>40100</v>
      </c>
      <c r="AI26" s="325"/>
      <c r="AJ26" s="329"/>
      <c r="AK26" s="330"/>
      <c r="AL26" s="95" t="s">
        <v>254</v>
      </c>
      <c r="AM26" s="74">
        <v>0</v>
      </c>
      <c r="AN26" s="95">
        <f>AM26*参数调整!$J$23</f>
        <v>0</v>
      </c>
      <c r="AO26" s="2"/>
      <c r="AP26" s="2"/>
    </row>
    <row r="27" spans="1:42" ht="13.8" customHeight="1">
      <c r="AD27" s="294" t="s">
        <v>227</v>
      </c>
      <c r="AE27" s="295"/>
      <c r="AF27" s="296"/>
      <c r="AG27" s="73">
        <f>G18</f>
        <v>14899.949999999999</v>
      </c>
      <c r="AI27" s="325"/>
      <c r="AJ27" s="294" t="s">
        <v>255</v>
      </c>
      <c r="AK27" s="295"/>
      <c r="AL27" s="296"/>
      <c r="AM27" s="75">
        <f>AM19</f>
        <v>1</v>
      </c>
      <c r="AN27" s="95">
        <f>AM27*参数调整!$J$17*(1+参数调整!$B$12+参数调整!$B$13+参数调整!$B$14+参数调整!$B$15+参数调整!$B$16)</f>
        <v>5383.9999999999991</v>
      </c>
      <c r="AO27" s="2"/>
      <c r="AP27" s="2"/>
    </row>
    <row r="28" spans="1:42" ht="13.8" customHeight="1">
      <c r="AD28" s="294" t="s">
        <v>228</v>
      </c>
      <c r="AE28" s="295"/>
      <c r="AF28" s="296"/>
      <c r="AG28" s="101">
        <f>AG3-SUM(AG4:AG27)</f>
        <v>-189999.94999999995</v>
      </c>
      <c r="AH28" s="99">
        <f>AG28/(1-参数调整!B18)</f>
        <v>-199999.94736842101</v>
      </c>
      <c r="AI28" s="325"/>
      <c r="AJ28" s="297" t="s">
        <v>256</v>
      </c>
      <c r="AK28" s="316" t="s">
        <v>257</v>
      </c>
      <c r="AL28" s="334" t="s">
        <v>176</v>
      </c>
      <c r="AM28" s="332"/>
      <c r="AN28" s="297">
        <f>AM28*参数调整!$B$30*参数调整!F11</f>
        <v>0</v>
      </c>
      <c r="AO28" s="2"/>
      <c r="AP28" s="2"/>
    </row>
    <row r="29" spans="1:42" ht="13.8" customHeight="1">
      <c r="AD29" s="313" t="s">
        <v>229</v>
      </c>
      <c r="AE29" s="314"/>
      <c r="AF29" s="315"/>
      <c r="AG29" s="131">
        <v>200000</v>
      </c>
      <c r="AI29" s="325"/>
      <c r="AJ29" s="298"/>
      <c r="AK29" s="317"/>
      <c r="AL29" s="335"/>
      <c r="AM29" s="333"/>
      <c r="AN29" s="299"/>
      <c r="AO29" s="2"/>
      <c r="AP29" s="2"/>
    </row>
    <row r="30" spans="1:42" ht="13.8" customHeight="1">
      <c r="AD30" s="294" t="s">
        <v>317</v>
      </c>
      <c r="AE30" s="295"/>
      <c r="AF30" s="296"/>
      <c r="AG30" s="131">
        <v>0</v>
      </c>
      <c r="AI30" s="325"/>
      <c r="AJ30" s="298"/>
      <c r="AK30" s="317"/>
      <c r="AL30" s="334" t="s">
        <v>177</v>
      </c>
      <c r="AM30" s="332"/>
      <c r="AN30" s="297">
        <f>参数调整!F12*AM30*参数调整!$B$30</f>
        <v>0</v>
      </c>
      <c r="AO30" s="2"/>
      <c r="AP30" s="2"/>
    </row>
    <row r="31" spans="1:42" ht="13.8" customHeight="1">
      <c r="AD31" s="308" t="s">
        <v>228</v>
      </c>
      <c r="AE31" s="308"/>
      <c r="AF31" s="308"/>
      <c r="AG31" s="164">
        <f>AG29*(1-参数调整!B18)+AG28+AG30*(1-参数调整!B23)</f>
        <v>5.0000000046566129E-2</v>
      </c>
      <c r="AI31" s="325"/>
      <c r="AJ31" s="298"/>
      <c r="AK31" s="317"/>
      <c r="AL31" s="335"/>
      <c r="AM31" s="333"/>
      <c r="AN31" s="299"/>
      <c r="AO31" s="2"/>
      <c r="AP31" s="2"/>
    </row>
    <row r="32" spans="1:42" ht="13.8" customHeight="1">
      <c r="U32">
        <v>11</v>
      </c>
      <c r="AI32" s="325"/>
      <c r="AJ32" s="298"/>
      <c r="AK32" s="317"/>
      <c r="AL32" s="334" t="s">
        <v>178</v>
      </c>
      <c r="AM32" s="332"/>
      <c r="AN32" s="297">
        <f>参数调整!F13*AM32*参数调整!$B$30</f>
        <v>0</v>
      </c>
      <c r="AO32" s="2"/>
      <c r="AP32" s="2"/>
    </row>
    <row r="33" spans="4:42" ht="13.8" customHeight="1">
      <c r="U33">
        <v>211</v>
      </c>
      <c r="AI33" s="325"/>
      <c r="AJ33" s="298"/>
      <c r="AK33" s="317"/>
      <c r="AL33" s="335"/>
      <c r="AM33" s="333"/>
      <c r="AN33" s="299"/>
      <c r="AO33" s="2"/>
      <c r="AP33" s="2"/>
    </row>
    <row r="34" spans="4:42" ht="13.8" customHeight="1">
      <c r="U34">
        <v>11</v>
      </c>
      <c r="AI34" s="325"/>
      <c r="AJ34" s="298"/>
      <c r="AK34" s="317"/>
      <c r="AL34" s="334" t="s">
        <v>193</v>
      </c>
      <c r="AM34" s="332"/>
      <c r="AN34" s="297">
        <f>参数调整!F14*AM34*参数调整!$B$30</f>
        <v>0</v>
      </c>
      <c r="AO34" s="2"/>
      <c r="AP34" s="2"/>
    </row>
    <row r="35" spans="4:42" ht="13.8" customHeight="1">
      <c r="U35">
        <v>211</v>
      </c>
      <c r="AI35" s="325"/>
      <c r="AJ35" s="299"/>
      <c r="AK35" s="318"/>
      <c r="AL35" s="335"/>
      <c r="AM35" s="333"/>
      <c r="AN35" s="299"/>
      <c r="AO35" s="95" t="s">
        <v>258</v>
      </c>
      <c r="AP35" s="95" t="s">
        <v>259</v>
      </c>
    </row>
    <row r="36" spans="4:42" ht="13.8" customHeight="1">
      <c r="D36" s="291" t="s">
        <v>301</v>
      </c>
      <c r="E36" s="291" t="s">
        <v>302</v>
      </c>
      <c r="F36" s="291" t="s">
        <v>354</v>
      </c>
      <c r="U36">
        <v>211</v>
      </c>
      <c r="AI36" s="326"/>
      <c r="AJ36" s="294" t="s">
        <v>260</v>
      </c>
      <c r="AK36" s="295"/>
      <c r="AL36" s="295"/>
      <c r="AM36" s="296"/>
      <c r="AN36" s="98">
        <f>AN2-SUM(AN5:AN19)+SUM(AN20:AN26)-SUM(AN27:AN35)+AO36*(1-参数调整!B23)+第一季度!AP36*(1-参数调整!B24)</f>
        <v>348454.25</v>
      </c>
      <c r="AO36" s="74">
        <v>0</v>
      </c>
      <c r="AP36" s="74">
        <v>0</v>
      </c>
    </row>
    <row r="37" spans="4:42" ht="13.8" customHeight="1">
      <c r="D37" s="291"/>
      <c r="E37" s="291"/>
      <c r="F37" s="291"/>
      <c r="T37">
        <v>6</v>
      </c>
      <c r="U37">
        <v>1</v>
      </c>
      <c r="AI37" s="321" t="s">
        <v>261</v>
      </c>
      <c r="AJ37" s="294" t="s">
        <v>262</v>
      </c>
      <c r="AK37" s="295"/>
      <c r="AL37" s="295"/>
      <c r="AM37" s="296"/>
      <c r="AN37" s="75">
        <f>AO3-AO36</f>
        <v>78156</v>
      </c>
      <c r="AO37" s="2"/>
      <c r="AP37" s="2"/>
    </row>
    <row r="38" spans="4:42" ht="13.8" customHeight="1">
      <c r="D38" s="8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38" s="2">
        <v>0</v>
      </c>
      <c r="F38" s="138">
        <f>G3-B3</f>
        <v>0</v>
      </c>
      <c r="T38">
        <v>7</v>
      </c>
      <c r="U38">
        <v>113</v>
      </c>
      <c r="AI38" s="322"/>
      <c r="AJ38" s="294" t="s">
        <v>263</v>
      </c>
      <c r="AK38" s="295"/>
      <c r="AL38" s="295"/>
      <c r="AM38" s="296"/>
      <c r="AN38" s="75">
        <f>F3*E3+F4*E4+F5*E5*1.5+F6*E6+F7*E7+F8*E8+F9*E9+F10*E10+F11*E11+F12*E12+F13*E13*1.5+F14*E14*1.5+F15*E15*1.5+F16*E16*1.5</f>
        <v>46823.399999999994</v>
      </c>
      <c r="AO38" s="2"/>
      <c r="AP38" s="2"/>
    </row>
    <row r="39" spans="4:42" ht="13.8" customHeight="1">
      <c r="D39" s="8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2">
        <v>0</v>
      </c>
      <c r="F39" s="138">
        <f t="shared" ref="F39:F51" si="6">G4-B4</f>
        <v>0</v>
      </c>
      <c r="T39">
        <v>8</v>
      </c>
      <c r="U39">
        <v>211</v>
      </c>
      <c r="AI39" s="322"/>
      <c r="AJ39" s="294" t="s">
        <v>264</v>
      </c>
      <c r="AK39" s="295"/>
      <c r="AL39" s="295"/>
      <c r="AM39" s="296"/>
      <c r="AN39" s="75">
        <f>H5*D40*(1+参数调整!$B$6)+H13*D48*(1+参数调整!$B$6)+H14*D49*(1+参数调整!$B$6)+H15*D50*(1+参数调整!$B$6)+H16*D51*(1+参数调整!$B$6)</f>
        <v>9126</v>
      </c>
      <c r="AO39" s="2"/>
      <c r="AP39" s="2"/>
    </row>
    <row r="40" spans="4:42" ht="13.8" customHeight="1">
      <c r="D40" s="8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0" s="2">
        <v>0</v>
      </c>
      <c r="F40" s="138">
        <f t="shared" si="6"/>
        <v>0</v>
      </c>
      <c r="U40">
        <v>22</v>
      </c>
      <c r="AI40" s="322"/>
      <c r="AJ40" s="294" t="s">
        <v>265</v>
      </c>
      <c r="AK40" s="295"/>
      <c r="AL40" s="295"/>
      <c r="AM40" s="296"/>
      <c r="AN40" s="75">
        <v>10000</v>
      </c>
      <c r="AO40" s="2"/>
      <c r="AP40" s="2"/>
    </row>
    <row r="41" spans="4:42" ht="13.8" customHeight="1">
      <c r="D41" s="8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1" s="2">
        <v>0</v>
      </c>
      <c r="F41" s="138">
        <f t="shared" si="6"/>
        <v>0</v>
      </c>
      <c r="U41">
        <v>11</v>
      </c>
      <c r="AI41" s="322"/>
      <c r="AJ41" s="294" t="s">
        <v>266</v>
      </c>
      <c r="AK41" s="295"/>
      <c r="AL41" s="295"/>
      <c r="AM41" s="296"/>
      <c r="AN41" s="75">
        <f>(AN2+AO3-AK2)*参数调整!$B$6/(1+参数调整!$B$6)-(F3+F4+F5*1.5+F6+F7+F8+F9+F10+F11+F12+F13*1.5+F14*1.5+F15*1.5+F16*1.5)/(1+参数调整!$B$6)*参数调整!$B$6</f>
        <v>15453.850000000009</v>
      </c>
      <c r="AO41" s="2"/>
      <c r="AP41" s="2"/>
    </row>
    <row r="42" spans="4:42" ht="13.8" customHeight="1">
      <c r="D42" s="8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2">
        <v>0</v>
      </c>
      <c r="F42" s="138">
        <f t="shared" si="6"/>
        <v>0</v>
      </c>
      <c r="U42">
        <v>112</v>
      </c>
      <c r="AI42" s="322"/>
      <c r="AJ42" s="294" t="s">
        <v>267</v>
      </c>
      <c r="AK42" s="295"/>
      <c r="AL42" s="295"/>
      <c r="AM42" s="296"/>
      <c r="AN42" s="75">
        <f>AN41*(参数调整!$B$7+参数调整!$B$8+参数调整!$B$9)</f>
        <v>1854.4620000000014</v>
      </c>
      <c r="AO42" s="2"/>
      <c r="AP42" s="2"/>
    </row>
    <row r="43" spans="4:42" ht="13.8" customHeight="1">
      <c r="D43" s="8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3" s="2">
        <v>0</v>
      </c>
      <c r="F43" s="138">
        <f t="shared" si="6"/>
        <v>0</v>
      </c>
      <c r="AI43" s="322"/>
      <c r="AJ43" s="294" t="s">
        <v>268</v>
      </c>
      <c r="AK43" s="295"/>
      <c r="AL43" s="295"/>
      <c r="AM43" s="296"/>
      <c r="AN43" s="75">
        <v>0</v>
      </c>
      <c r="AO43" s="2"/>
      <c r="AP43" s="2"/>
    </row>
    <row r="44" spans="4:42" ht="13.8" customHeight="1">
      <c r="D44" s="8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v>0</v>
      </c>
      <c r="F44" s="138">
        <f t="shared" si="6"/>
        <v>0</v>
      </c>
      <c r="U44">
        <v>211</v>
      </c>
      <c r="AI44" s="323"/>
      <c r="AJ44" s="294" t="s">
        <v>260</v>
      </c>
      <c r="AK44" s="295"/>
      <c r="AL44" s="295"/>
      <c r="AM44" s="296"/>
      <c r="AN44" s="98">
        <f>AN36+AN37-SUM(AN38:AN43)</f>
        <v>343352.538</v>
      </c>
      <c r="AO44" s="2"/>
      <c r="AP44" s="2"/>
    </row>
    <row r="45" spans="4:42" ht="13.8" customHeight="1">
      <c r="D45" s="8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">
        <v>0</v>
      </c>
      <c r="F45" s="138">
        <f t="shared" si="6"/>
        <v>0</v>
      </c>
      <c r="U45">
        <v>11</v>
      </c>
    </row>
    <row r="46" spans="4:42" ht="13.8" customHeight="1">
      <c r="D46" s="8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2">
        <v>0</v>
      </c>
      <c r="F46" s="138">
        <f t="shared" si="6"/>
        <v>0</v>
      </c>
      <c r="U46">
        <v>231</v>
      </c>
    </row>
    <row r="47" spans="4:42" ht="13.8" customHeight="1">
      <c r="D47" s="8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47" s="2">
        <v>0</v>
      </c>
      <c r="F47" s="138">
        <f t="shared" si="6"/>
        <v>0</v>
      </c>
      <c r="U47">
        <v>221</v>
      </c>
    </row>
    <row r="48" spans="4:42" ht="13.8" customHeight="1">
      <c r="D48" s="8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2">
        <v>0</v>
      </c>
      <c r="F48" s="138">
        <f t="shared" si="6"/>
        <v>0</v>
      </c>
      <c r="U48">
        <v>221</v>
      </c>
    </row>
    <row r="49" spans="3:21" ht="13.8" customHeight="1">
      <c r="D49" s="8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">
        <v>0</v>
      </c>
      <c r="F49" s="138">
        <f t="shared" si="6"/>
        <v>0</v>
      </c>
      <c r="U49">
        <v>221</v>
      </c>
    </row>
    <row r="50" spans="3:21" ht="13.8" customHeight="1">
      <c r="D50" s="8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">
        <v>0</v>
      </c>
      <c r="F50" s="138">
        <f t="shared" si="6"/>
        <v>0</v>
      </c>
      <c r="U50">
        <v>221</v>
      </c>
    </row>
    <row r="51" spans="3:21" ht="13.8" customHeight="1">
      <c r="D51" s="8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2">
        <v>0</v>
      </c>
      <c r="F51" s="138">
        <f t="shared" si="6"/>
        <v>0</v>
      </c>
    </row>
    <row r="52" spans="3:21" ht="13.8" customHeight="1">
      <c r="C52" t="s">
        <v>355</v>
      </c>
      <c r="F52" s="138">
        <f>SUMPRODUCT(B3:B16,D3:D16)</f>
        <v>49755</v>
      </c>
      <c r="U52">
        <v>211</v>
      </c>
    </row>
    <row r="53" spans="3:21" ht="13.8" customHeight="1">
      <c r="U53">
        <v>211</v>
      </c>
    </row>
    <row r="54" spans="3:21" ht="13.8" customHeight="1">
      <c r="U54">
        <v>211</v>
      </c>
    </row>
    <row r="55" spans="3:21" ht="13.8" customHeight="1">
      <c r="U55">
        <v>113</v>
      </c>
    </row>
    <row r="56" spans="3:21" ht="13.8" customHeight="1">
      <c r="U56">
        <v>221</v>
      </c>
    </row>
    <row r="57" spans="3:21" ht="13.8" customHeight="1">
      <c r="U57">
        <v>221</v>
      </c>
    </row>
    <row r="58" spans="3:21" ht="13.8" customHeight="1">
      <c r="U58">
        <v>31</v>
      </c>
    </row>
    <row r="59" spans="3:21" ht="13.8" customHeight="1">
      <c r="U59">
        <v>221</v>
      </c>
    </row>
    <row r="60" spans="3:21" ht="13.8" customHeight="1">
      <c r="U60">
        <v>211</v>
      </c>
    </row>
    <row r="61" spans="3:21" ht="13.8" customHeight="1">
      <c r="U61">
        <v>311</v>
      </c>
    </row>
    <row r="62" spans="3:21" ht="13.8" customHeight="1">
      <c r="U62">
        <v>311</v>
      </c>
    </row>
    <row r="63" spans="3:21" ht="13.8" customHeight="1">
      <c r="U63">
        <v>31</v>
      </c>
    </row>
    <row r="64" spans="3:21" ht="13.8" customHeight="1"/>
    <row r="65" ht="13.8" customHeight="1"/>
    <row r="66" ht="13.8" customHeight="1"/>
    <row r="67" ht="13.8" customHeight="1"/>
    <row r="68" ht="20.399999999999999" customHeight="1"/>
    <row r="69" ht="20.399999999999999" customHeight="1"/>
    <row r="70" ht="20.399999999999999" customHeight="1"/>
    <row r="71" ht="20.399999999999999" customHeight="1"/>
    <row r="72" ht="20.399999999999999" customHeight="1"/>
    <row r="73" ht="20.399999999999999" customHeight="1"/>
  </sheetData>
  <mergeCells count="76">
    <mergeCell ref="AO4:AP4"/>
    <mergeCell ref="AO5:AP6"/>
    <mergeCell ref="AL28:AL29"/>
    <mergeCell ref="AM28:AM29"/>
    <mergeCell ref="AN28:AN29"/>
    <mergeCell ref="AJ4:AL4"/>
    <mergeCell ref="AN2:AN3"/>
    <mergeCell ref="AJ28:AJ35"/>
    <mergeCell ref="AI2:AJ3"/>
    <mergeCell ref="AK2:AK3"/>
    <mergeCell ref="AL2:AM3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D36:D37"/>
    <mergeCell ref="E36:E37"/>
    <mergeCell ref="AI37:AI44"/>
    <mergeCell ref="AJ39:AM39"/>
    <mergeCell ref="AJ40:AM40"/>
    <mergeCell ref="AJ41:AM41"/>
    <mergeCell ref="AJ42:AM42"/>
    <mergeCell ref="AJ43:AM43"/>
    <mergeCell ref="AJ44:AM44"/>
    <mergeCell ref="AI4:AI36"/>
    <mergeCell ref="AJ5:AJ16"/>
    <mergeCell ref="AK13:AK16"/>
    <mergeCell ref="AK9:AK11"/>
    <mergeCell ref="AJ18:AK19"/>
    <mergeCell ref="AJ20:AK23"/>
    <mergeCell ref="AJ24:AK26"/>
    <mergeCell ref="AJ37:AM37"/>
    <mergeCell ref="AJ38:AM38"/>
    <mergeCell ref="AK5:AK8"/>
    <mergeCell ref="AK28:AK35"/>
    <mergeCell ref="AK12:AL12"/>
    <mergeCell ref="AJ36:AM36"/>
    <mergeCell ref="AJ27:AL27"/>
    <mergeCell ref="AJ17:AL17"/>
    <mergeCell ref="AD15:AE15"/>
    <mergeCell ref="AD31:AF31"/>
    <mergeCell ref="AD24:AE24"/>
    <mergeCell ref="AD25:AE25"/>
    <mergeCell ref="J17:K17"/>
    <mergeCell ref="J18:K20"/>
    <mergeCell ref="J21:K21"/>
    <mergeCell ref="J22:K24"/>
    <mergeCell ref="AD22:AE22"/>
    <mergeCell ref="AD16:AD21"/>
    <mergeCell ref="AD30:AF30"/>
    <mergeCell ref="AD23:AE23"/>
    <mergeCell ref="AD26:AF26"/>
    <mergeCell ref="AD27:AF27"/>
    <mergeCell ref="AD28:AF28"/>
    <mergeCell ref="AD29:AF29"/>
    <mergeCell ref="Q1:T1"/>
    <mergeCell ref="F36:F37"/>
    <mergeCell ref="A18:B18"/>
    <mergeCell ref="AD2:AG2"/>
    <mergeCell ref="AD3:AF3"/>
    <mergeCell ref="AD4:AD6"/>
    <mergeCell ref="AD7:AD9"/>
    <mergeCell ref="AG7:AG9"/>
    <mergeCell ref="B1:B2"/>
    <mergeCell ref="C1:C2"/>
    <mergeCell ref="D1:D2"/>
    <mergeCell ref="E1:E2"/>
    <mergeCell ref="G1:G2"/>
    <mergeCell ref="H1:H2"/>
    <mergeCell ref="AD10:AD13"/>
    <mergeCell ref="AD14:AE14"/>
  </mergeCells>
  <phoneticPr fontId="1" type="noConversion"/>
  <dataValidations disablePrompts="1" count="3">
    <dataValidation type="list" allowBlank="1" showInputMessage="1" showErrorMessage="1" sqref="AE7:AE9" xr:uid="{AB521970-832C-46B6-B4F0-4585BBEF68DE}">
      <formula1>"租用小厂房,租用中厂房,租用大厂房"</formula1>
    </dataValidation>
    <dataValidation type="list" allowBlank="1" showInputMessage="1" showErrorMessage="1" sqref="AE4:AE6" xr:uid="{F2D9BF77-26A1-45F3-A4A1-F3C2BF06378B}">
      <formula1>"购买小厂房,购买中厂房,购买大厂房"</formula1>
    </dataValidation>
    <dataValidation type="list" allowBlank="1" showInputMessage="1" showErrorMessage="1" sqref="AE10:AE13" xr:uid="{600E7FF4-C2B0-4672-BF52-8ADBCD7F2386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20D5-7873-4158-BD5D-C504C96F7C26}">
  <sheetPr codeName="Sheet4"/>
  <dimension ref="A1:AP68"/>
  <sheetViews>
    <sheetView topLeftCell="A22" zoomScale="85" zoomScaleNormal="85" workbookViewId="0">
      <selection activeCell="J31" sqref="J31"/>
    </sheetView>
  </sheetViews>
  <sheetFormatPr defaultRowHeight="13.8"/>
  <cols>
    <col min="1" max="1" width="14.6640625" bestFit="1" customWidth="1"/>
    <col min="2" max="2" width="18.5546875" customWidth="1"/>
    <col min="3" max="3" width="11.33203125" hidden="1" customWidth="1"/>
    <col min="4" max="4" width="14.44140625" hidden="1" customWidth="1"/>
    <col min="5" max="5" width="15.88671875" hidden="1" customWidth="1"/>
    <col min="6" max="6" width="8.88671875" hidden="1" customWidth="1"/>
    <col min="7" max="7" width="12.5546875" bestFit="1" customWidth="1"/>
    <col min="8" max="8" width="12.88671875" bestFit="1" customWidth="1"/>
    <col min="10" max="10" width="11.109375" customWidth="1"/>
    <col min="11" max="11" width="12.88671875" customWidth="1"/>
    <col min="12" max="16" width="8.88671875" hidden="1" customWidth="1"/>
    <col min="17" max="17" width="13.44140625" customWidth="1"/>
    <col min="18" max="18" width="12.44140625" customWidth="1"/>
    <col min="19" max="19" width="11.77734375" customWidth="1"/>
    <col min="20" max="20" width="11.21875" customWidth="1"/>
    <col min="21" max="21" width="14.33203125" customWidth="1"/>
    <col min="22" max="22" width="9.44140625" bestFit="1" customWidth="1"/>
    <col min="24" max="24" width="11.109375" customWidth="1"/>
    <col min="26" max="26" width="11.109375" customWidth="1"/>
    <col min="27" max="27" width="12.6640625" customWidth="1"/>
    <col min="31" max="31" width="16.5546875" customWidth="1"/>
    <col min="33" max="33" width="12.5546875" customWidth="1"/>
    <col min="35" max="35" width="14.109375" customWidth="1"/>
    <col min="36" max="36" width="19.5546875" customWidth="1"/>
    <col min="37" max="37" width="17.21875" customWidth="1"/>
    <col min="40" max="40" width="24.33203125" customWidth="1"/>
    <col min="41" max="41" width="18.77734375" customWidth="1"/>
    <col min="42" max="42" width="25.5546875" customWidth="1"/>
  </cols>
  <sheetData>
    <row r="1" spans="1:42">
      <c r="A1" s="1"/>
      <c r="B1" s="297" t="s">
        <v>179</v>
      </c>
      <c r="C1" s="297" t="s">
        <v>180</v>
      </c>
      <c r="D1" s="304" t="s">
        <v>181</v>
      </c>
      <c r="E1" s="304" t="s">
        <v>182</v>
      </c>
      <c r="F1" s="1"/>
      <c r="G1" s="305" t="s">
        <v>183</v>
      </c>
      <c r="H1" s="307" t="s">
        <v>184</v>
      </c>
      <c r="R1" s="290"/>
      <c r="S1" s="290"/>
      <c r="T1" s="290"/>
      <c r="U1" s="290"/>
    </row>
    <row r="2" spans="1:42">
      <c r="A2" s="1"/>
      <c r="B2" s="303"/>
      <c r="C2" s="303"/>
      <c r="D2" s="304"/>
      <c r="E2" s="304"/>
      <c r="F2" s="1"/>
      <c r="G2" s="306"/>
      <c r="H2" s="307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73" t="s">
        <v>168</v>
      </c>
      <c r="S2" s="73" t="s">
        <v>169</v>
      </c>
      <c r="T2" s="73" t="s">
        <v>170</v>
      </c>
      <c r="U2" s="73" t="s">
        <v>171</v>
      </c>
      <c r="V2" s="73" t="s">
        <v>172</v>
      </c>
      <c r="W2" s="73" t="s">
        <v>173</v>
      </c>
      <c r="X2" s="73" t="s">
        <v>174</v>
      </c>
      <c r="Y2" s="73" t="s">
        <v>276</v>
      </c>
      <c r="Z2" s="75" t="s">
        <v>199</v>
      </c>
      <c r="AA2" s="73" t="s">
        <v>175</v>
      </c>
      <c r="AD2" s="294" t="s">
        <v>200</v>
      </c>
      <c r="AE2" s="295"/>
      <c r="AF2" s="295"/>
      <c r="AG2" s="296"/>
      <c r="AI2" s="327" t="s">
        <v>230</v>
      </c>
      <c r="AJ2" s="328"/>
      <c r="AK2" s="332">
        <v>0.68</v>
      </c>
      <c r="AL2" s="327" t="s">
        <v>231</v>
      </c>
      <c r="AM2" s="328"/>
      <c r="AN2" s="332">
        <v>159822.68</v>
      </c>
      <c r="AO2" s="225" t="s">
        <v>232</v>
      </c>
      <c r="AP2" s="225" t="s">
        <v>233</v>
      </c>
    </row>
    <row r="3" spans="1:42" ht="21" customHeight="1">
      <c r="A3" s="259" t="s">
        <v>185</v>
      </c>
      <c r="B3" s="260">
        <f>SUMIF($L$3:$L$14,1,$R$3:$R$14)+SUMIF($L$3:$L$14,1,$S$3:$S$14)+SUMIF($L$3:$L$14,1,$T$3:$T$14)+SUMIF($L$3:$L$14,1,$U$3:$U$14)</f>
        <v>404</v>
      </c>
      <c r="C3" s="261">
        <f>参数调整!C45</f>
        <v>42</v>
      </c>
      <c r="D3" s="261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39.9</v>
      </c>
      <c r="E3" s="261">
        <f>参数调整!I45</f>
        <v>1</v>
      </c>
      <c r="F3" s="107">
        <f>D3*G3*(参数调整!$B$6+1)</f>
        <v>18859.931999999997</v>
      </c>
      <c r="G3" s="262">
        <f t="shared" ref="G3:G16" si="0">IF(B3-E38&lt;=0,0,B3-E38)</f>
        <v>404</v>
      </c>
      <c r="H3" s="256"/>
      <c r="J3" s="73" t="str">
        <f>第一季度!J3</f>
        <v>S</v>
      </c>
      <c r="K3" s="73">
        <f>第一季度!K3</f>
        <v>113</v>
      </c>
      <c r="L3" s="229" t="str">
        <f>LEFT(K3,1)</f>
        <v>1</v>
      </c>
      <c r="M3" s="229" t="str">
        <f>MID(K3,2,1)</f>
        <v>1</v>
      </c>
      <c r="N3" s="229" t="str">
        <f>MID(K3,3,1)</f>
        <v>3</v>
      </c>
      <c r="O3" s="229" t="str">
        <f>MID(K3,4,1)</f>
        <v/>
      </c>
      <c r="P3" s="229" t="str">
        <f>MID(K3,5,1)</f>
        <v/>
      </c>
      <c r="Q3" s="227">
        <v>11</v>
      </c>
      <c r="R3" s="227"/>
      <c r="S3" s="227"/>
      <c r="T3" s="227"/>
      <c r="U3" s="227">
        <v>44</v>
      </c>
      <c r="V3" s="76">
        <f>TRUNC(R3*参数调整!$I$30)+TRUNC(S3*参数调整!$H$30)+TRUNC(T3*参数调整!$G$30)+TRUNC(U3*参数调整!$F$30)+Q3</f>
        <v>50</v>
      </c>
      <c r="W3" s="76">
        <f>IF(J3="S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Q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46.216437581710899</v>
      </c>
      <c r="X3" s="227">
        <v>20480</v>
      </c>
      <c r="Y3" s="73">
        <f>X3+0.536537*第一季度!W3</f>
        <v>24776.588296000002</v>
      </c>
      <c r="Z3" s="73">
        <f>IF(J3="S",Y3*参数调整!$H$11/($V$18*$J$18),IF(J3="B",Y3*参数调整!$H$12/($V$19*$J$18),IF(J3="Q",Y3*参数调整!$H$13/($V$20*$J$18),Y3*参数调整!$H$14/($V$21*$J$18))))</f>
        <v>0.63</v>
      </c>
      <c r="AA3" s="196">
        <f>SUMIF(J3:J14,"S",Y3:Y14)</f>
        <v>24776.588296000002</v>
      </c>
      <c r="AD3" s="294" t="s">
        <v>201</v>
      </c>
      <c r="AE3" s="295"/>
      <c r="AF3" s="296"/>
      <c r="AG3" s="227">
        <v>343352.538</v>
      </c>
      <c r="AI3" s="329"/>
      <c r="AJ3" s="330"/>
      <c r="AK3" s="333"/>
      <c r="AL3" s="329"/>
      <c r="AM3" s="330"/>
      <c r="AN3" s="333"/>
      <c r="AO3" s="227">
        <v>132853.5</v>
      </c>
      <c r="AP3" s="227">
        <v>55984.5</v>
      </c>
    </row>
    <row r="4" spans="1:42" ht="21" customHeight="1">
      <c r="A4" s="259" t="s">
        <v>186</v>
      </c>
      <c r="B4" s="260">
        <f>SUMIF($L$3:$L$14,2,$R$3:$R$14)+SUMIF($L$3:$L$14,2,$S$3:$S$14)+SUMIF($L$3:$L$14,2,$T$3:$T$14)+SUMIF($L$3:$L$14,2,$U$3:$U$14)</f>
        <v>46</v>
      </c>
      <c r="C4" s="261">
        <f>参数调整!C46</f>
        <v>82</v>
      </c>
      <c r="D4" s="261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82</v>
      </c>
      <c r="E4" s="261">
        <f>参数调整!I46</f>
        <v>1</v>
      </c>
      <c r="F4" s="107">
        <f>D4*G4*(参数调整!$B$6+1)</f>
        <v>4413.24</v>
      </c>
      <c r="G4" s="262">
        <f t="shared" si="0"/>
        <v>46</v>
      </c>
      <c r="H4" s="256"/>
      <c r="J4" s="73" t="str">
        <f>第一季度!J4</f>
        <v>B</v>
      </c>
      <c r="K4" s="73">
        <f>第一季度!K4</f>
        <v>1111</v>
      </c>
      <c r="L4" s="229" t="str">
        <f t="shared" ref="L4:L14" si="1">LEFT(K4,1)</f>
        <v>1</v>
      </c>
      <c r="M4" s="229" t="str">
        <f t="shared" ref="M4:M14" si="2">MID(K4,2,1)</f>
        <v>1</v>
      </c>
      <c r="N4" s="229" t="str">
        <f t="shared" ref="N4:N14" si="3">MID(K4,3,1)</f>
        <v>1</v>
      </c>
      <c r="O4" s="229" t="str">
        <f t="shared" ref="O4:O14" si="4">MID(K4,4,1)</f>
        <v>1</v>
      </c>
      <c r="P4" s="229" t="str">
        <f t="shared" ref="P4:P14" si="5">MID(K4,5,1)</f>
        <v/>
      </c>
      <c r="Q4" s="227">
        <v>10</v>
      </c>
      <c r="R4" s="227"/>
      <c r="S4" s="227"/>
      <c r="T4" s="227"/>
      <c r="U4" s="239">
        <v>88</v>
      </c>
      <c r="V4" s="76">
        <f>TRUNC(R4*参数调整!$I$30)+TRUNC(S4*参数调整!$H$30)+TRUNC(T4*参数调整!$G$30)+TRUNC(U4*参数调整!$F$30)+Q4</f>
        <v>89</v>
      </c>
      <c r="W4" s="76">
        <f>IF(J4="S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Q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78.85423365582038</v>
      </c>
      <c r="X4" s="227">
        <v>39950</v>
      </c>
      <c r="Y4" s="73">
        <f>X4+0.536537*第一季度!W4</f>
        <v>45952.775955999998</v>
      </c>
      <c r="Z4" s="73">
        <f>IF(J4="S",Y4*参数调整!$H$11/($V$18*$J$18),IF(J4="B",Y4*参数调整!$H$12/($V$19*$J$18),IF(J4="Q",Y4*参数调整!$H$13/($V$20*$J$18),Y4*参数调整!$H$14/($V$21*$J$18))))</f>
        <v>1.33</v>
      </c>
      <c r="AA4" s="196">
        <f>SUMIF(J3:J14,"B",Y3:Y14)</f>
        <v>45952.775955999998</v>
      </c>
      <c r="AD4" s="294" t="s">
        <v>300</v>
      </c>
      <c r="AE4" s="295"/>
      <c r="AF4" s="296"/>
      <c r="AG4" s="227">
        <v>96160.69</v>
      </c>
      <c r="AI4" s="324" t="s">
        <v>331</v>
      </c>
      <c r="AJ4" s="294" t="s">
        <v>235</v>
      </c>
      <c r="AK4" s="295"/>
      <c r="AL4" s="296"/>
      <c r="AM4" s="95" t="s">
        <v>236</v>
      </c>
      <c r="AN4" s="95" t="s">
        <v>237</v>
      </c>
      <c r="AO4" s="308" t="s">
        <v>338</v>
      </c>
      <c r="AP4" s="308"/>
    </row>
    <row r="5" spans="1:42" ht="21" customHeight="1">
      <c r="A5" s="259" t="s">
        <v>151</v>
      </c>
      <c r="B5" s="260">
        <f>SUMIF($L$3:$L$14,3,$R$3:$R$14)+SUMIF($L$3:$L$14,3,$S$3:$S$14)+SUMIF($L$3:$L$14,3,$T$3:$T$14)+SUMIF($L$3:$L$14,3,$U$3:$U$14)</f>
        <v>0</v>
      </c>
      <c r="C5" s="261">
        <f>参数调整!C47</f>
        <v>108</v>
      </c>
      <c r="D5" s="261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108</v>
      </c>
      <c r="E5" s="261">
        <f>参数调整!I47</f>
        <v>1</v>
      </c>
      <c r="F5" s="107">
        <f>D5*G5*(参数调整!$B$6+1)</f>
        <v>0</v>
      </c>
      <c r="G5" s="262">
        <f t="shared" si="0"/>
        <v>0</v>
      </c>
      <c r="H5" s="257"/>
      <c r="J5" s="223" t="str">
        <f>第一季度!J5</f>
        <v>B</v>
      </c>
      <c r="K5" s="73">
        <f>第一季度!K5</f>
        <v>1121</v>
      </c>
      <c r="L5" s="229" t="str">
        <f t="shared" si="1"/>
        <v>1</v>
      </c>
      <c r="M5" s="229" t="str">
        <f t="shared" si="2"/>
        <v>1</v>
      </c>
      <c r="N5" s="229" t="str">
        <f t="shared" si="3"/>
        <v>2</v>
      </c>
      <c r="O5" s="229" t="str">
        <f t="shared" si="4"/>
        <v>1</v>
      </c>
      <c r="P5" s="229" t="str">
        <f t="shared" si="5"/>
        <v/>
      </c>
      <c r="Q5" s="227"/>
      <c r="R5" s="227"/>
      <c r="S5" s="227"/>
      <c r="T5" s="227"/>
      <c r="U5" s="239">
        <v>34</v>
      </c>
      <c r="V5" s="76">
        <f>TRUNC(R5*参数调整!$I$30)+TRUNC(S5*参数调整!$H$30)+TRUNC(T5*参数调整!$G$30)+TRUNC(U5*参数调整!$F$30)+Q5</f>
        <v>30</v>
      </c>
      <c r="W5" s="76">
        <f>IF(J5="S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Q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29.855025646622284</v>
      </c>
      <c r="X5" s="227"/>
      <c r="Y5" s="73">
        <f>X5+0.536537*第一季度!W5</f>
        <v>0</v>
      </c>
      <c r="Z5" s="73">
        <f>IF(J5="S",Y5*参数调整!$H$11/($V$18*$J$18),IF(J5="B",Y5*参数调整!$H$12/($V$19*$J$18),IF(J5="Q",Y5*参数调整!$H$13/($V$20*$J$18),Y5*参数调整!$H$14/($V$21*$J$18))))</f>
        <v>0</v>
      </c>
      <c r="AA5" s="196">
        <f>SUMIF(J3:J14,"Q",Y3:Y14)</f>
        <v>40523.769447999999</v>
      </c>
      <c r="AD5" s="297" t="s">
        <v>202</v>
      </c>
      <c r="AE5" s="128" t="s">
        <v>203</v>
      </c>
      <c r="AF5" s="227"/>
      <c r="AG5" s="73">
        <f>AF5*参数调整!$J$23</f>
        <v>0</v>
      </c>
      <c r="AI5" s="325"/>
      <c r="AJ5" s="297" t="s">
        <v>238</v>
      </c>
      <c r="AK5" s="297" t="s">
        <v>239</v>
      </c>
      <c r="AL5" s="95" t="s">
        <v>101</v>
      </c>
      <c r="AM5" s="75">
        <f>SUM(R3:R14)</f>
        <v>0</v>
      </c>
      <c r="AN5" s="95">
        <f>AM5*参数调整!$I$32</f>
        <v>0</v>
      </c>
      <c r="AO5" s="336">
        <f>AN2+AO36*(1-参数调整!B23)+AP36*(1-参数调整!B24)</f>
        <v>159822.68</v>
      </c>
      <c r="AP5" s="336"/>
    </row>
    <row r="6" spans="1:42" ht="21" customHeight="1">
      <c r="A6" s="259" t="s">
        <v>152</v>
      </c>
      <c r="B6" s="265">
        <f>SUMIF($M$3:$M$14,1,$R$3:$R$14)+SUMIF($M$3:$M$14,1,$S$3:$S$14)+SUMIF($M$3:$M$14,1,$T$3:$T$14)+SUMIF($M$3:$M$14,1,$U$3:$U$14)</f>
        <v>412</v>
      </c>
      <c r="C6" s="261">
        <f>参数调整!C48</f>
        <v>13</v>
      </c>
      <c r="D6" s="261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12.35</v>
      </c>
      <c r="E6" s="261">
        <f>参数调整!I48</f>
        <v>0</v>
      </c>
      <c r="F6" s="107">
        <f>D6*G6*(参数调整!$B$6+1)</f>
        <v>5953.1939999999995</v>
      </c>
      <c r="G6" s="266">
        <f t="shared" si="0"/>
        <v>412</v>
      </c>
      <c r="H6" s="256"/>
      <c r="J6" s="73" t="str">
        <f>第一季度!J6</f>
        <v>B</v>
      </c>
      <c r="K6" s="73">
        <f>第一季度!K6</f>
        <v>113</v>
      </c>
      <c r="L6" s="229" t="str">
        <f t="shared" si="1"/>
        <v>1</v>
      </c>
      <c r="M6" s="229" t="str">
        <f t="shared" si="2"/>
        <v>1</v>
      </c>
      <c r="N6" s="229" t="str">
        <f t="shared" si="3"/>
        <v>3</v>
      </c>
      <c r="O6" s="229" t="str">
        <f t="shared" si="4"/>
        <v/>
      </c>
      <c r="P6" s="229" t="str">
        <f t="shared" si="5"/>
        <v/>
      </c>
      <c r="Q6" s="227"/>
      <c r="R6" s="227"/>
      <c r="S6" s="227"/>
      <c r="T6" s="227"/>
      <c r="U6" s="239">
        <v>34</v>
      </c>
      <c r="V6" s="76">
        <f>TRUNC(R6*参数调整!$I$30)+TRUNC(S6*参数调整!$H$30)+TRUNC(T6*参数调整!$G$30)+TRUNC(U6*参数调整!$F$30)+Q6</f>
        <v>30</v>
      </c>
      <c r="W6" s="76">
        <f>IF(J6="S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Q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28.311426388737317</v>
      </c>
      <c r="X6" s="227"/>
      <c r="Y6" s="73">
        <f>X6+0.536537*第一季度!W6</f>
        <v>0</v>
      </c>
      <c r="Z6" s="73">
        <f>IF(J6="S",Y6*参数调整!$H$11/($V$18*$J$18),IF(J6="B",Y6*参数调整!$H$12/($V$19*$J$18),IF(J6="Q",Y6*参数调整!$H$13/($V$20*$J$18),Y6*参数调整!$H$14/($V$21*$J$18))))</f>
        <v>0</v>
      </c>
      <c r="AA6" s="196">
        <f>SUMIF(J3:J14,"L",Y3:Y14)</f>
        <v>0</v>
      </c>
      <c r="AD6" s="298"/>
      <c r="AE6" s="128" t="s">
        <v>204</v>
      </c>
      <c r="AF6" s="227"/>
      <c r="AG6" s="73">
        <f>AF6*参数调整!$H$23</f>
        <v>0</v>
      </c>
      <c r="AI6" s="325"/>
      <c r="AJ6" s="298"/>
      <c r="AK6" s="298"/>
      <c r="AL6" s="95" t="s">
        <v>269</v>
      </c>
      <c r="AM6" s="75">
        <f>SUM(U3:U14)</f>
        <v>450</v>
      </c>
      <c r="AN6" s="95">
        <f>AM6*参数调整!$F$32</f>
        <v>4500</v>
      </c>
      <c r="AO6" s="336"/>
      <c r="AP6" s="336"/>
    </row>
    <row r="7" spans="1:42" ht="21" customHeight="1">
      <c r="A7" s="259" t="s">
        <v>153</v>
      </c>
      <c r="B7" s="265">
        <f>SUMIF($M$3:$M$14,2,$R$3:$R$14)+SUMIF($M$3:$M$14,2,$S$3:$S$14)+SUMIF($M$3:$M$14,2,$T$3:$T$14)+SUMIF($M$3:$M$14,2,$U$3:$U$14)</f>
        <v>38</v>
      </c>
      <c r="C7" s="261">
        <f>参数调整!C49</f>
        <v>18</v>
      </c>
      <c r="D7" s="261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18</v>
      </c>
      <c r="E7" s="261">
        <f>参数调整!I49</f>
        <v>1</v>
      </c>
      <c r="F7" s="107">
        <f>D7*G7*(参数调整!$B$6+1)</f>
        <v>800.28</v>
      </c>
      <c r="G7" s="266">
        <f t="shared" si="0"/>
        <v>38</v>
      </c>
      <c r="H7" s="256"/>
      <c r="J7" s="73" t="str">
        <f>第一季度!J7</f>
        <v>Q</v>
      </c>
      <c r="K7" s="73">
        <f>第一季度!K7</f>
        <v>212</v>
      </c>
      <c r="L7" s="229" t="str">
        <f t="shared" si="1"/>
        <v>2</v>
      </c>
      <c r="M7" s="229" t="str">
        <f t="shared" si="2"/>
        <v>1</v>
      </c>
      <c r="N7" s="229" t="str">
        <f t="shared" si="3"/>
        <v>2</v>
      </c>
      <c r="O7" s="229" t="str">
        <f t="shared" si="4"/>
        <v/>
      </c>
      <c r="P7" s="229" t="str">
        <f t="shared" si="5"/>
        <v/>
      </c>
      <c r="Q7" s="227">
        <v>11</v>
      </c>
      <c r="R7" s="227"/>
      <c r="S7" s="227"/>
      <c r="T7" s="227"/>
      <c r="U7" s="239">
        <v>46</v>
      </c>
      <c r="V7" s="76">
        <f>TRUNC(R7*参数调整!$I$30)+TRUNC(S7*参数调整!$H$30)+TRUNC(T7*参数调整!$G$30)+TRUNC(U7*参数调整!$F$30)+Q7</f>
        <v>52</v>
      </c>
      <c r="W7" s="76">
        <f>IF(J7="S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Q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51.004472785945254</v>
      </c>
      <c r="X7" s="227"/>
      <c r="Y7" s="73">
        <f>X7+0.536537*第一季度!W7</f>
        <v>0</v>
      </c>
      <c r="Z7" s="73">
        <f>IF(J7="S",Y7*参数调整!$H$11/($V$18*$J$18),IF(J7="B",Y7*参数调整!$H$12/($V$19*$J$18),IF(J7="Q",Y7*参数调整!$H$13/($V$20*$J$18),Y7*参数调整!$H$14/($V$21*$J$18))))</f>
        <v>0</v>
      </c>
      <c r="AD7" s="299"/>
      <c r="AE7" s="128" t="s">
        <v>205</v>
      </c>
      <c r="AF7" s="227"/>
      <c r="AG7" s="73">
        <f>AF7*参数调整!$F$23</f>
        <v>0</v>
      </c>
      <c r="AI7" s="325"/>
      <c r="AJ7" s="298"/>
      <c r="AK7" s="298"/>
      <c r="AL7" s="95" t="s">
        <v>100</v>
      </c>
      <c r="AM7" s="75">
        <f>SUM(S3:S14)</f>
        <v>0</v>
      </c>
      <c r="AN7" s="95">
        <f>AM7*参数调整!H32</f>
        <v>0</v>
      </c>
      <c r="AO7" s="2"/>
      <c r="AP7" s="2"/>
    </row>
    <row r="8" spans="1:42" ht="21" customHeight="1">
      <c r="A8" s="259" t="s">
        <v>154</v>
      </c>
      <c r="B8" s="265">
        <f>SUMIF($M$3:$M$14,3,$R$3:$R$14)+SUMIF($M$3:$M$14,3,$S$3:$S$14)+SUMIF($M$3:$M$14,3,$T$3:$T$14)+SUMIF($M$3:$M$14,3,$U$3:$U$14)</f>
        <v>0</v>
      </c>
      <c r="C8" s="261">
        <f>参数调整!C50</f>
        <v>30</v>
      </c>
      <c r="D8" s="261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</v>
      </c>
      <c r="E8" s="261">
        <f>参数调整!I50</f>
        <v>1</v>
      </c>
      <c r="F8" s="107">
        <f>D8*G8*(参数调整!$B$6+1)</f>
        <v>0</v>
      </c>
      <c r="G8" s="266">
        <f t="shared" si="0"/>
        <v>0</v>
      </c>
      <c r="H8" s="256"/>
      <c r="J8" s="223" t="str">
        <f>第一季度!J8</f>
        <v>Q</v>
      </c>
      <c r="K8" s="73">
        <f>第一季度!K8</f>
        <v>1121</v>
      </c>
      <c r="L8" s="229" t="str">
        <f t="shared" si="1"/>
        <v>1</v>
      </c>
      <c r="M8" s="229" t="str">
        <f t="shared" si="2"/>
        <v>1</v>
      </c>
      <c r="N8" s="229" t="str">
        <f t="shared" si="3"/>
        <v>2</v>
      </c>
      <c r="O8" s="229" t="str">
        <f t="shared" si="4"/>
        <v>1</v>
      </c>
      <c r="P8" s="229" t="str">
        <f t="shared" si="5"/>
        <v/>
      </c>
      <c r="Q8" s="227">
        <v>11</v>
      </c>
      <c r="R8" s="227"/>
      <c r="S8" s="227"/>
      <c r="T8" s="227"/>
      <c r="U8" s="239">
        <v>46</v>
      </c>
      <c r="V8" s="76">
        <f>TRUNC(R8*参数调整!$I$30)+TRUNC(S8*参数调整!$H$30)+TRUNC(T8*参数调整!$G$30)+TRUNC(U8*参数调整!$F$30)+Q8</f>
        <v>52</v>
      </c>
      <c r="W8" s="76">
        <f>IF(J8="S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Q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51.725261148216489</v>
      </c>
      <c r="X8" s="227"/>
      <c r="Y8" s="73">
        <f>X8+0.536537*第一季度!W8</f>
        <v>0</v>
      </c>
      <c r="Z8" s="73">
        <f>IF(J8="S",Y8*参数调整!$H$11/($V$18*$J$18),IF(J8="B",Y8*参数调整!$H$12/($V$19*$J$18),IF(J8="Q",Y8*参数调整!$H$13/($V$20*$J$18),Y8*参数调整!$H$14/($V$21*$J$18))))</f>
        <v>0</v>
      </c>
      <c r="AD8" s="297" t="s">
        <v>206</v>
      </c>
      <c r="AE8" s="128" t="s">
        <v>207</v>
      </c>
      <c r="AF8" s="227">
        <v>1</v>
      </c>
      <c r="AG8" s="300">
        <v>0</v>
      </c>
      <c r="AI8" s="325"/>
      <c r="AJ8" s="298"/>
      <c r="AK8" s="299"/>
      <c r="AL8" s="95" t="s">
        <v>270</v>
      </c>
      <c r="AM8" s="75">
        <f>SUM(T3:T14)</f>
        <v>0</v>
      </c>
      <c r="AN8" s="95">
        <f>AM8*参数调整!G32</f>
        <v>0</v>
      </c>
      <c r="AO8" s="2"/>
      <c r="AP8" s="2"/>
    </row>
    <row r="9" spans="1:42" ht="21" customHeight="1">
      <c r="A9" s="259" t="s">
        <v>155</v>
      </c>
      <c r="B9" s="267">
        <f>SUMIF($N$3:$N$14,1,$R$3:$R$14)+SUMIF($N$3:$N$14,1,$S$3:$S$14)+SUMIF($N$3:$N$14,1,$T$3:$T$14)+SUMIF($N$3:$N$14,1,$U$3:$U$14)</f>
        <v>126</v>
      </c>
      <c r="C9" s="261">
        <f>参数调整!C51</f>
        <v>51</v>
      </c>
      <c r="D9" s="261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51</v>
      </c>
      <c r="E9" s="261">
        <f>参数调整!I51</f>
        <v>0</v>
      </c>
      <c r="F9" s="107">
        <f>D9*G9*(参数调整!$B$6+1)</f>
        <v>7518.4199999999992</v>
      </c>
      <c r="G9" s="268">
        <f t="shared" si="0"/>
        <v>126</v>
      </c>
      <c r="H9" s="256"/>
      <c r="J9" s="223" t="str">
        <f>第一季度!J9</f>
        <v>Q</v>
      </c>
      <c r="K9" s="73">
        <f>第一季度!K9</f>
        <v>112</v>
      </c>
      <c r="L9" s="229" t="str">
        <f t="shared" si="1"/>
        <v>1</v>
      </c>
      <c r="M9" s="229" t="str">
        <f t="shared" si="2"/>
        <v>1</v>
      </c>
      <c r="N9" s="229" t="str">
        <f t="shared" si="3"/>
        <v>2</v>
      </c>
      <c r="O9" s="229" t="str">
        <f t="shared" si="4"/>
        <v/>
      </c>
      <c r="P9" s="229" t="str">
        <f t="shared" si="5"/>
        <v/>
      </c>
      <c r="Q9" s="227">
        <v>13</v>
      </c>
      <c r="R9" s="227"/>
      <c r="S9" s="227"/>
      <c r="T9" s="227"/>
      <c r="U9" s="239">
        <v>120</v>
      </c>
      <c r="V9" s="76">
        <f>TRUNC(R9*参数调整!$I$30)+TRUNC(S9*参数调整!$H$30)+TRUNC(T9*参数调整!$G$30)+TRUNC(U9*参数调整!$F$30)+Q9</f>
        <v>121</v>
      </c>
      <c r="W9" s="76">
        <f>IF(J9="S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Q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93.393905935957264</v>
      </c>
      <c r="X9" s="227">
        <v>29308</v>
      </c>
      <c r="Y9" s="73">
        <f>X9+0.536537*第一季度!W9</f>
        <v>40523.769447999999</v>
      </c>
      <c r="Z9" s="73">
        <f>IF(J9="S",Y9*参数调整!$H$11/($V$18*$J$18),IF(J9="B",Y9*参数调整!$H$12/($V$19*$J$18),IF(J9="Q",Y9*参数调整!$H$13/($V$20*$J$18),Y9*参数调整!$H$14/($V$21*$J$18))))</f>
        <v>1.1100000000000001</v>
      </c>
      <c r="AD9" s="298"/>
      <c r="AE9" s="128" t="s">
        <v>208</v>
      </c>
      <c r="AF9" s="227"/>
      <c r="AG9" s="301"/>
      <c r="AI9" s="325"/>
      <c r="AJ9" s="298"/>
      <c r="AK9" s="297" t="s">
        <v>240</v>
      </c>
      <c r="AL9" s="95" t="s">
        <v>241</v>
      </c>
      <c r="AM9" s="75">
        <f>AF8</f>
        <v>1</v>
      </c>
      <c r="AN9" s="95">
        <f>AM9*参数调整!$J$24</f>
        <v>5000</v>
      </c>
      <c r="AO9" s="2"/>
      <c r="AP9" s="2"/>
    </row>
    <row r="10" spans="1:42" ht="21" customHeight="1">
      <c r="A10" s="259" t="s">
        <v>156</v>
      </c>
      <c r="B10" s="267">
        <f>SUMIF($N$3:$N$14,2,$R$3:$R$14)+SUMIF($N$3:$N$14,2,$S$3:$S$14)+SUMIF($N$3:$N$14,2,$T$3:$T$14)+SUMIF($N$3:$N$14,2,$U$3:$U$14)</f>
        <v>246</v>
      </c>
      <c r="C10" s="261">
        <f>参数调整!C52</f>
        <v>75</v>
      </c>
      <c r="D10" s="261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261">
        <f>参数调整!I52</f>
        <v>1</v>
      </c>
      <c r="F10" s="107">
        <f>D10*G10*(参数调整!$B$6+1)</f>
        <v>20507.174999999999</v>
      </c>
      <c r="G10" s="268">
        <f t="shared" si="0"/>
        <v>246</v>
      </c>
      <c r="H10" s="256"/>
      <c r="J10" s="223" t="str">
        <f>第一季度!J10</f>
        <v>L</v>
      </c>
      <c r="K10" s="73">
        <f>第一季度!K10</f>
        <v>121</v>
      </c>
      <c r="L10" s="229" t="str">
        <f t="shared" si="1"/>
        <v>1</v>
      </c>
      <c r="M10" s="229" t="str">
        <f t="shared" si="2"/>
        <v>2</v>
      </c>
      <c r="N10" s="229" t="str">
        <f t="shared" si="3"/>
        <v>1</v>
      </c>
      <c r="O10" s="229" t="str">
        <f t="shared" si="4"/>
        <v/>
      </c>
      <c r="P10" s="229" t="str">
        <f t="shared" si="5"/>
        <v/>
      </c>
      <c r="Q10" s="227"/>
      <c r="R10" s="227"/>
      <c r="S10" s="227"/>
      <c r="T10" s="227"/>
      <c r="U10" s="239">
        <v>38</v>
      </c>
      <c r="V10" s="76">
        <f>TRUNC(R10*参数调整!$I$30)+TRUNC(S10*参数调整!$H$30)+TRUNC(T10*参数调整!$G$30)+TRUNC(U10*参数调整!$F$30)+Q10</f>
        <v>34</v>
      </c>
      <c r="W10" s="76">
        <f>IF(J10="S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Q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70.042621219422813</v>
      </c>
      <c r="X10" s="227"/>
      <c r="Y10" s="73">
        <f>X10+0.536537*第一季度!W10</f>
        <v>0</v>
      </c>
      <c r="Z10" s="73">
        <f>IF(J10="S",Y10*参数调整!$H$11/($V$18*$J$18),IF(J10="B",Y10*参数调整!$H$12/($V$19*$J$18),IF(J10="Q",Y10*参数调整!$H$13/($V$20*$J$18),Y10*参数调整!$H$14/($V$21*$J$18))))</f>
        <v>0</v>
      </c>
      <c r="AA10" s="233" t="s">
        <v>440</v>
      </c>
      <c r="AD10" s="299"/>
      <c r="AE10" s="128" t="s">
        <v>209</v>
      </c>
      <c r="AF10" s="227"/>
      <c r="AG10" s="302"/>
      <c r="AI10" s="325"/>
      <c r="AJ10" s="298"/>
      <c r="AK10" s="298"/>
      <c r="AL10" s="95" t="s">
        <v>242</v>
      </c>
      <c r="AM10" s="75">
        <f>AF9</f>
        <v>0</v>
      </c>
      <c r="AN10" s="95">
        <f>AM10*参数调整!$H$24</f>
        <v>0</v>
      </c>
      <c r="AO10" s="2"/>
      <c r="AP10" s="2"/>
    </row>
    <row r="11" spans="1:42" ht="21" customHeight="1">
      <c r="A11" s="259" t="s">
        <v>157</v>
      </c>
      <c r="B11" s="267">
        <f>SUMIF($N$3:$N$14,3,$R$3:$R$14)+SUMIF($N$3:$N$14,3,$S$3:$S$14)+SUMIF($N$3:$N$14,3,$T$3:$T$14)+SUMIF($N$3:$N$14,3,$U$3:$U$14)</f>
        <v>78</v>
      </c>
      <c r="C11" s="261">
        <f>参数调整!C53</f>
        <v>115</v>
      </c>
      <c r="D11" s="261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261">
        <f>参数调整!I53</f>
        <v>0</v>
      </c>
      <c r="F11" s="107">
        <f>D11*G11*(参数调整!$B$6+1)</f>
        <v>10494.9</v>
      </c>
      <c r="G11" s="268">
        <f t="shared" si="0"/>
        <v>78</v>
      </c>
      <c r="H11" s="256"/>
      <c r="J11" s="223"/>
      <c r="K11" s="73"/>
      <c r="L11" s="229" t="str">
        <f t="shared" si="1"/>
        <v/>
      </c>
      <c r="M11" s="229" t="str">
        <f t="shared" si="2"/>
        <v/>
      </c>
      <c r="N11" s="229" t="str">
        <f t="shared" si="3"/>
        <v/>
      </c>
      <c r="O11" s="229" t="str">
        <f t="shared" si="4"/>
        <v/>
      </c>
      <c r="P11" s="229" t="str">
        <f t="shared" si="5"/>
        <v/>
      </c>
      <c r="Q11" s="227"/>
      <c r="R11" s="227"/>
      <c r="S11" s="227"/>
      <c r="T11" s="227"/>
      <c r="U11" s="227"/>
      <c r="V11" s="76">
        <f>TRUNC(R11*参数调整!$I$30)+TRUNC(S11*参数调整!$H$30)+TRUNC(T11*参数调整!$G$30)+TRUNC(U11*参数调整!$F$30)+Q11</f>
        <v>0</v>
      </c>
      <c r="W11" s="76">
        <f>IF(J11="S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Q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46.384814495254538</v>
      </c>
      <c r="X11" s="227"/>
      <c r="Y11" s="73">
        <f>X11+0.536537*第一季度!W11</f>
        <v>0</v>
      </c>
      <c r="Z11" s="73">
        <f>IF(J11="S",Y11*参数调整!$H$11/($V$18*$J$18),IF(J11="B",Y11*参数调整!$H$12/($V$19*$J$18),IF(J11="Q",Y11*参数调整!$H$13/($V$20*$J$18),Y11*参数调整!$H$14/($V$21*$J$18))))</f>
        <v>0</v>
      </c>
      <c r="AA11" s="234">
        <f>AG31</f>
        <v>0.67950000002747402</v>
      </c>
      <c r="AD11" s="297" t="s">
        <v>210</v>
      </c>
      <c r="AE11" s="128" t="s">
        <v>211</v>
      </c>
      <c r="AF11" s="227"/>
      <c r="AG11" s="73">
        <f>AF11*参数调整!$I$29</f>
        <v>0</v>
      </c>
      <c r="AI11" s="325"/>
      <c r="AJ11" s="298"/>
      <c r="AK11" s="299"/>
      <c r="AL11" s="95" t="s">
        <v>243</v>
      </c>
      <c r="AM11" s="75">
        <f>AF10</f>
        <v>0</v>
      </c>
      <c r="AN11" s="95">
        <f>AM11*参数调整!$F$24</f>
        <v>0</v>
      </c>
      <c r="AO11" s="2"/>
      <c r="AP11" s="2"/>
    </row>
    <row r="12" spans="1:42" ht="21" customHeight="1">
      <c r="A12" s="259" t="s">
        <v>158</v>
      </c>
      <c r="B12" s="267">
        <f>SUMIF($N$3:$N$14,4,$R$3:$R$14)+SUMIF($N$3:$N$14,4,$S$3:$S$14)+SUMIF($N$3:$N$14,4,$T$3:$T$14)+SUMIF($N$3:$N$14,4,$U$3:$U$14)</f>
        <v>0</v>
      </c>
      <c r="C12" s="261">
        <f>参数调整!C54</f>
        <v>155</v>
      </c>
      <c r="D12" s="261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155</v>
      </c>
      <c r="E12" s="261">
        <f>参数调整!I54</f>
        <v>1</v>
      </c>
      <c r="F12" s="107">
        <f>D12*G12*(参数调整!$B$6+1)</f>
        <v>0</v>
      </c>
      <c r="G12" s="268">
        <f t="shared" si="0"/>
        <v>0</v>
      </c>
      <c r="H12" s="256"/>
      <c r="J12" s="73"/>
      <c r="K12" s="73"/>
      <c r="L12" s="229" t="str">
        <f t="shared" si="1"/>
        <v/>
      </c>
      <c r="M12" s="229" t="str">
        <f t="shared" si="2"/>
        <v/>
      </c>
      <c r="N12" s="229" t="str">
        <f t="shared" si="3"/>
        <v/>
      </c>
      <c r="O12" s="229" t="str">
        <f t="shared" si="4"/>
        <v/>
      </c>
      <c r="P12" s="229" t="str">
        <f t="shared" si="5"/>
        <v/>
      </c>
      <c r="Q12" s="227"/>
      <c r="R12" s="227"/>
      <c r="S12" s="227"/>
      <c r="T12" s="227"/>
      <c r="U12" s="227"/>
      <c r="V12" s="76">
        <f>TRUNC(R12*参数调整!$I$30)+TRUNC(S12*参数调整!$H$30)+TRUNC(T12*参数调整!$G$30)+TRUNC(U12*参数调整!$F$30)+Q12</f>
        <v>0</v>
      </c>
      <c r="W12" s="76">
        <f>IF(J12="S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Q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46.384814495254538</v>
      </c>
      <c r="X12" s="227"/>
      <c r="Y12" s="73">
        <f>X12+0.536537*第一季度!W12</f>
        <v>0</v>
      </c>
      <c r="Z12" s="73">
        <f>IF(J12="S",Y12*参数调整!$H$11/($V$18*$J$18),IF(J12="B",Y12*参数调整!$H$12/($V$19*$J$18),IF(J12="Q",Y12*参数调整!$H$13/($V$20*$J$18),Y12*参数调整!$H$14/($V$21*$J$18))))</f>
        <v>0</v>
      </c>
      <c r="AD12" s="298"/>
      <c r="AE12" s="128" t="s">
        <v>212</v>
      </c>
      <c r="AF12" s="227"/>
      <c r="AG12" s="73">
        <f>AF12*参数调整!$H$29</f>
        <v>0</v>
      </c>
      <c r="AI12" s="325"/>
      <c r="AJ12" s="298"/>
      <c r="AK12" s="319" t="s">
        <v>244</v>
      </c>
      <c r="AL12" s="320"/>
      <c r="AM12" s="75">
        <f>AM18</f>
        <v>5</v>
      </c>
      <c r="AN12" s="95">
        <f>AM12*参数调整!$J$18*(1+参数调整!$B$12+参数调整!$B$13+参数调整!$B$14+参数调整!$B$15+参数调整!$B$16)</f>
        <v>24227.999999999996</v>
      </c>
      <c r="AO12" s="2"/>
      <c r="AP12" s="2"/>
    </row>
    <row r="13" spans="1:42" ht="21" customHeight="1">
      <c r="A13" s="259" t="s">
        <v>159</v>
      </c>
      <c r="B13" s="269">
        <f>SUMIF($O$3:$O$14,1,$R$3:$R$14)+SUMIF($O$3:$O$14,1,$S$3:$S$14)+SUMIF($O$3:$O$14,1,$T$3:$T$14)+SUMIF($O$3:$O$14,1,$U$3:$U$14)+SUMIF($P$3:$P$14,1,$R$3:$R$14)+SUMIF($P$3:$P$14,1,$S$3:$S$14)+SUMIF($P$3:$P$14,1,$T$3:$T$14)+SUMIF($P$3:$P$14,1,$U$3:$U$14)</f>
        <v>168</v>
      </c>
      <c r="C13" s="261">
        <f>参数调整!C55</f>
        <v>48</v>
      </c>
      <c r="D13" s="261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48</v>
      </c>
      <c r="E13" s="261">
        <f>参数调整!I55</f>
        <v>1</v>
      </c>
      <c r="F13" s="107">
        <f>D13*G13*(参数调整!$B$6+1)</f>
        <v>673.92</v>
      </c>
      <c r="G13" s="270">
        <f t="shared" si="0"/>
        <v>12</v>
      </c>
      <c r="H13" s="257">
        <v>264</v>
      </c>
      <c r="J13" s="73"/>
      <c r="K13" s="73"/>
      <c r="L13" s="229" t="str">
        <f t="shared" si="1"/>
        <v/>
      </c>
      <c r="M13" s="229" t="str">
        <f t="shared" si="2"/>
        <v/>
      </c>
      <c r="N13" s="229" t="str">
        <f t="shared" si="3"/>
        <v/>
      </c>
      <c r="O13" s="229" t="str">
        <f t="shared" si="4"/>
        <v/>
      </c>
      <c r="P13" s="229" t="str">
        <f t="shared" si="5"/>
        <v/>
      </c>
      <c r="Q13" s="227"/>
      <c r="R13" s="227"/>
      <c r="S13" s="227"/>
      <c r="T13" s="227"/>
      <c r="U13" s="227"/>
      <c r="V13" s="76">
        <f>TRUNC(R13*参数调整!$I$30)+TRUNC(S13*参数调整!$H$30)+TRUNC(T13*参数调整!$G$30)+TRUNC(U13*参数调整!$F$30)+Q13</f>
        <v>0</v>
      </c>
      <c r="W13" s="76">
        <f>IF(J13="S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Q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46.384814495254538</v>
      </c>
      <c r="X13" s="227"/>
      <c r="Y13" s="73">
        <f>X13+0.536537*第一季度!W13</f>
        <v>0</v>
      </c>
      <c r="Z13" s="73">
        <f>IF(J13="S",Y13*参数调整!$H$11/($V$18*$J$18),IF(J13="B",Y13*参数调整!$H$12/($V$19*$J$18),IF(J13="Q",Y13*参数调整!$H$13/($V$20*$J$18),Y13*参数调整!$H$14/($V$21*$J$18))))</f>
        <v>0</v>
      </c>
      <c r="AD13" s="298"/>
      <c r="AE13" s="128" t="s">
        <v>213</v>
      </c>
      <c r="AF13" s="227"/>
      <c r="AG13" s="73">
        <f>AF13*参数调整!$G$29</f>
        <v>0</v>
      </c>
      <c r="AI13" s="325"/>
      <c r="AJ13" s="298"/>
      <c r="AK13" s="297" t="s">
        <v>245</v>
      </c>
      <c r="AL13" s="95" t="s">
        <v>101</v>
      </c>
      <c r="AM13" s="124">
        <v>0</v>
      </c>
      <c r="AN13" s="103">
        <f>AM13*参数调整!$I$33</f>
        <v>0</v>
      </c>
      <c r="AO13" s="2"/>
      <c r="AP13" s="2"/>
    </row>
    <row r="14" spans="1:42" ht="21" customHeight="1">
      <c r="A14" s="259" t="s">
        <v>160</v>
      </c>
      <c r="B14" s="269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261">
        <f>参数调整!C56</f>
        <v>48</v>
      </c>
      <c r="D14" s="261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261">
        <f>参数调整!I56</f>
        <v>1</v>
      </c>
      <c r="F14" s="107">
        <f>D14*G14*(参数调整!$B$6+1)</f>
        <v>0</v>
      </c>
      <c r="G14" s="270">
        <f t="shared" si="0"/>
        <v>0</v>
      </c>
      <c r="H14" s="257"/>
      <c r="J14" s="73"/>
      <c r="K14" s="73"/>
      <c r="L14" s="229" t="str">
        <f t="shared" si="1"/>
        <v/>
      </c>
      <c r="M14" s="229" t="str">
        <f t="shared" si="2"/>
        <v/>
      </c>
      <c r="N14" s="229" t="str">
        <f t="shared" si="3"/>
        <v/>
      </c>
      <c r="O14" s="229" t="str">
        <f t="shared" si="4"/>
        <v/>
      </c>
      <c r="P14" s="229" t="str">
        <f t="shared" si="5"/>
        <v/>
      </c>
      <c r="Q14" s="227"/>
      <c r="R14" s="227"/>
      <c r="S14" s="227"/>
      <c r="T14" s="227"/>
      <c r="U14" s="227"/>
      <c r="V14" s="76">
        <f>TRUNC(R14*参数调整!$I$30)+TRUNC(S14*参数调整!$H$30)+TRUNC(T14*参数调整!$G$30)+TRUNC(U14*参数调整!$F$30)+Q14</f>
        <v>0</v>
      </c>
      <c r="W14" s="76">
        <f>IF(J14="S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Q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46.384814495254538</v>
      </c>
      <c r="X14" s="227"/>
      <c r="Y14" s="73">
        <f>X14+0.536537*第一季度!W14</f>
        <v>0</v>
      </c>
      <c r="Z14" s="73">
        <f>IF(J14="S",Y14*参数调整!$H$11/($V$18*$J$18),IF(J14="B",Y14*参数调整!$H$12/($V$19*$J$18),IF(J14="Q",Y14*参数调整!$H$13/($V$20*$J$18),Y14*参数调整!$H$14/($V$21*$J$18))))</f>
        <v>0</v>
      </c>
      <c r="AD14" s="299"/>
      <c r="AE14" s="128" t="s">
        <v>98</v>
      </c>
      <c r="AF14" s="227">
        <v>1</v>
      </c>
      <c r="AG14" s="73">
        <f>AF14*参数调整!$F$29</f>
        <v>120000</v>
      </c>
      <c r="AI14" s="325"/>
      <c r="AJ14" s="298"/>
      <c r="AK14" s="298"/>
      <c r="AL14" s="95" t="s">
        <v>269</v>
      </c>
      <c r="AM14" s="124">
        <v>1</v>
      </c>
      <c r="AN14" s="95">
        <f>AM14*参数调整!$F$33</f>
        <v>3000</v>
      </c>
      <c r="AO14" s="2"/>
      <c r="AP14" s="2"/>
    </row>
    <row r="15" spans="1:42" ht="21" customHeight="1">
      <c r="A15" s="259" t="s">
        <v>161</v>
      </c>
      <c r="B15" s="269">
        <f>SUMIF($O$3:$O$14,3,$R$3:$R$14)+SUMIF($O$3:$O$14,3,$S$3:$S$14)+SUMIF($O$3:$O$14,3,$T$3:$T$14)+SUMIF($O$3:$O$14,3,$U$3:$U$14)+SUMIF($P$3:$P$14,3,$R$3:$R$14)+SUMIF($P$3:$P$14,3,$S$3:$S$14)+SUMIF($P$3:$P$14,3,$T$3:$T$14)+SUMIF($P$3:$P$14,3,$U$3:$U$14)</f>
        <v>0</v>
      </c>
      <c r="C15" s="261">
        <f>参数调整!C57</f>
        <v>75</v>
      </c>
      <c r="D15" s="261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261">
        <f>参数调整!I57</f>
        <v>1</v>
      </c>
      <c r="F15" s="107">
        <f>D15*G15*(参数调整!$B$6+1)</f>
        <v>0</v>
      </c>
      <c r="G15" s="270">
        <f t="shared" si="0"/>
        <v>0</v>
      </c>
      <c r="H15" s="257"/>
      <c r="R15" s="75">
        <f>SUM(R3:R14)</f>
        <v>0</v>
      </c>
      <c r="S15" s="75">
        <f>SUM(S3:S14)</f>
        <v>0</v>
      </c>
      <c r="T15" s="75">
        <f>SUM(T3:T14)</f>
        <v>0</v>
      </c>
      <c r="U15" s="75">
        <f>SUM(U3:U14)</f>
        <v>450</v>
      </c>
      <c r="AD15" s="294" t="s">
        <v>215</v>
      </c>
      <c r="AE15" s="296"/>
      <c r="AF15" s="227">
        <v>3</v>
      </c>
      <c r="AG15" s="73">
        <f>AF15*参数调整!$B$31</f>
        <v>90000</v>
      </c>
      <c r="AI15" s="325"/>
      <c r="AJ15" s="298"/>
      <c r="AK15" s="298"/>
      <c r="AL15" s="95" t="s">
        <v>100</v>
      </c>
      <c r="AM15" s="124">
        <v>0</v>
      </c>
      <c r="AN15" s="95">
        <f>AM15*参数调整!$H$33</f>
        <v>0</v>
      </c>
      <c r="AO15" s="2"/>
      <c r="AP15" s="2"/>
    </row>
    <row r="16" spans="1:42" ht="21" customHeight="1">
      <c r="A16" s="259" t="s">
        <v>162</v>
      </c>
      <c r="B16" s="269">
        <f>SUMIF($O$3:$O$14,4,$R$3:$R$14)+SUMIF($O$3:$O$14,4,$S$3:$S$14)+SUMIF($O$3:$O$14,4,$T$3:$T$14)+SUMIF($O$3:$O$14,4,$U$3:$U$14)+SUMIF($P$3:$P$14,4,$R$3:$R$14)+SUMIF($P$3:$P$14,4,$S$3:$S$14)+SUMIF($P$3:$P$14,4,$T$3:$T$14)+SUMIF($P$3:$P$14,4,$U$3:$U$14)</f>
        <v>0</v>
      </c>
      <c r="C16" s="261">
        <f>参数调整!C58</f>
        <v>82</v>
      </c>
      <c r="D16" s="261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82</v>
      </c>
      <c r="E16" s="261">
        <f>参数调整!I58</f>
        <v>1</v>
      </c>
      <c r="F16" s="107">
        <f>D16*G16*(参数调整!$B$6+1)</f>
        <v>0</v>
      </c>
      <c r="G16" s="270">
        <f t="shared" si="0"/>
        <v>0</v>
      </c>
      <c r="H16" s="257"/>
      <c r="AD16" s="294" t="s">
        <v>216</v>
      </c>
      <c r="AE16" s="296"/>
      <c r="AF16" s="227"/>
      <c r="AG16" s="73">
        <f>AF16*参数调整!$B$32</f>
        <v>0</v>
      </c>
      <c r="AI16" s="325"/>
      <c r="AJ16" s="299"/>
      <c r="AK16" s="299"/>
      <c r="AL16" s="95" t="s">
        <v>270</v>
      </c>
      <c r="AM16" s="124">
        <v>0</v>
      </c>
      <c r="AN16" s="95">
        <f>AM16*参数调整!$G$33</f>
        <v>0</v>
      </c>
      <c r="AO16" s="2"/>
      <c r="AP16" s="2"/>
    </row>
    <row r="17" spans="1:42" ht="13.8" customHeight="1">
      <c r="J17" s="309" t="s">
        <v>195</v>
      </c>
      <c r="K17" s="309"/>
      <c r="O17" s="1">
        <f>SUM(R18:T18)-(SUM(第三季度!R18:T18)-SUM(第三季度!R22:T22))</f>
        <v>3040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191</v>
      </c>
      <c r="V17" s="73" t="s">
        <v>274</v>
      </c>
      <c r="W17" s="337" t="s">
        <v>275</v>
      </c>
      <c r="X17" s="337"/>
      <c r="Y17" s="337"/>
      <c r="AD17" s="297" t="s">
        <v>217</v>
      </c>
      <c r="AE17" s="128" t="s">
        <v>218</v>
      </c>
      <c r="AF17" s="227"/>
      <c r="AG17" s="73">
        <f>AF17*参数调整!$F$3</f>
        <v>0</v>
      </c>
      <c r="AI17" s="325"/>
      <c r="AJ17" s="294" t="s">
        <v>246</v>
      </c>
      <c r="AK17" s="295"/>
      <c r="AL17" s="296"/>
      <c r="AM17" s="75">
        <v>1</v>
      </c>
      <c r="AN17" s="95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341" t="s">
        <v>197</v>
      </c>
      <c r="B18" s="342"/>
      <c r="G18" s="77">
        <f>SUMIF(E3:E16,0,F3:F16)</f>
        <v>23966.513999999996</v>
      </c>
      <c r="J18" s="310">
        <v>32</v>
      </c>
      <c r="K18" s="311"/>
      <c r="O18" s="1">
        <f>SUM(R19:T19)-(SUM(第三季度!R19:T19)-SUM(第三季度!R23:T23))</f>
        <v>3328</v>
      </c>
      <c r="Q18" s="73" t="s">
        <v>176</v>
      </c>
      <c r="R18" s="227">
        <v>1120</v>
      </c>
      <c r="S18" s="227">
        <v>960</v>
      </c>
      <c r="T18" s="227">
        <v>960</v>
      </c>
      <c r="U18" s="227">
        <v>14149.80033029382</v>
      </c>
      <c r="V18" s="73">
        <f>U18+第一季度!T19*0.536537</f>
        <v>18434.961529761906</v>
      </c>
      <c r="W18" s="75">
        <f>J22*35</f>
        <v>1120</v>
      </c>
      <c r="X18" s="75">
        <f>J22*30</f>
        <v>960</v>
      </c>
      <c r="Y18" s="75">
        <f>J22*30</f>
        <v>960</v>
      </c>
      <c r="AD18" s="298"/>
      <c r="AE18" s="128" t="s">
        <v>219</v>
      </c>
      <c r="AF18" s="227"/>
      <c r="AG18" s="73">
        <f>AF18*参数调整!$F$4</f>
        <v>0</v>
      </c>
      <c r="AI18" s="325"/>
      <c r="AJ18" s="327" t="s">
        <v>247</v>
      </c>
      <c r="AK18" s="328"/>
      <c r="AL18" s="95" t="s">
        <v>248</v>
      </c>
      <c r="AM18" s="75">
        <f>AF25+第一季度!AF24</f>
        <v>5</v>
      </c>
      <c r="AN18" s="104">
        <f>AM18*参数调整!$B$10</f>
        <v>5000</v>
      </c>
      <c r="AO18" s="2"/>
      <c r="AP18" s="2"/>
    </row>
    <row r="19" spans="1:42" ht="13.8" customHeight="1">
      <c r="J19" s="310"/>
      <c r="K19" s="311"/>
      <c r="O19" s="1">
        <f>SUM(R20:T20)-(SUM(第三季度!R20:T20)-SUM(第三季度!R24:T24))</f>
        <v>3840</v>
      </c>
      <c r="Q19" s="73" t="s">
        <v>177</v>
      </c>
      <c r="R19" s="227">
        <v>1088</v>
      </c>
      <c r="S19" s="227">
        <v>1120</v>
      </c>
      <c r="T19" s="227">
        <v>1120</v>
      </c>
      <c r="U19" s="227">
        <v>22439.860581292425</v>
      </c>
      <c r="V19" s="73">
        <f>U19+第一季度!T20*0.536537</f>
        <v>26992.937004229319</v>
      </c>
      <c r="W19" s="75">
        <f>J22*34</f>
        <v>1088</v>
      </c>
      <c r="X19" s="75">
        <f>J22*35</f>
        <v>1120</v>
      </c>
      <c r="Y19" s="75">
        <f>J22*35</f>
        <v>1120</v>
      </c>
      <c r="AD19" s="298"/>
      <c r="AE19" s="128" t="s">
        <v>220</v>
      </c>
      <c r="AF19" s="227">
        <v>1</v>
      </c>
      <c r="AG19" s="73">
        <f>AF19*参数调整!$F$5</f>
        <v>20000</v>
      </c>
      <c r="AI19" s="325"/>
      <c r="AJ19" s="329"/>
      <c r="AK19" s="330"/>
      <c r="AL19" s="95" t="s">
        <v>249</v>
      </c>
      <c r="AM19" s="75">
        <f>AF26+第一季度!AF25</f>
        <v>3</v>
      </c>
      <c r="AN19" s="95">
        <f>AM19*参数调整!$B$10</f>
        <v>3000</v>
      </c>
      <c r="AO19" s="2"/>
      <c r="AP19" s="2"/>
    </row>
    <row r="20" spans="1:42" ht="13.8" customHeight="1">
      <c r="A20" s="203"/>
      <c r="B20" s="203"/>
      <c r="C20" s="203"/>
      <c r="D20" s="203"/>
      <c r="E20" s="203"/>
      <c r="F20" s="203"/>
      <c r="G20" s="203"/>
      <c r="J20" s="310"/>
      <c r="K20" s="311"/>
      <c r="O20" s="1">
        <f>SUM(R21:T21)-(SUM(第三季度!R21:T21)-SUM(第三季度!R25:T25))</f>
        <v>4480</v>
      </c>
      <c r="Q20" s="73" t="s">
        <v>178</v>
      </c>
      <c r="R20" s="227">
        <v>1280</v>
      </c>
      <c r="S20" s="227">
        <v>1280</v>
      </c>
      <c r="T20" s="227">
        <v>1280</v>
      </c>
      <c r="U20" s="227">
        <v>13764.421034730589</v>
      </c>
      <c r="V20" s="73">
        <f>U20+第一季度!T21*0.536537</f>
        <v>17113.078314189188</v>
      </c>
      <c r="W20" s="75">
        <f>J22*40</f>
        <v>1280</v>
      </c>
      <c r="X20" s="75">
        <f>J22*40</f>
        <v>1280</v>
      </c>
      <c r="Y20" s="75">
        <f>J22*40</f>
        <v>1280</v>
      </c>
      <c r="AD20" s="298"/>
      <c r="AE20" s="128" t="s">
        <v>221</v>
      </c>
      <c r="AF20" s="227">
        <v>1</v>
      </c>
      <c r="AG20" s="73">
        <f>AF20*参数调整!$F$6</f>
        <v>20000</v>
      </c>
      <c r="AI20" s="325"/>
      <c r="AJ20" s="327" t="s">
        <v>250</v>
      </c>
      <c r="AK20" s="328"/>
      <c r="AL20" s="95" t="s">
        <v>101</v>
      </c>
      <c r="AM20" s="74">
        <v>0</v>
      </c>
      <c r="AN20" s="95">
        <f>AM20*参数调整!$I$29</f>
        <v>0</v>
      </c>
      <c r="AO20" s="2"/>
      <c r="AP20" s="2"/>
    </row>
    <row r="21" spans="1:42" ht="13.8" customHeight="1">
      <c r="A21" s="204"/>
      <c r="B21" s="204"/>
      <c r="C21" s="205"/>
      <c r="D21" s="205"/>
      <c r="E21" s="205"/>
      <c r="F21" s="205"/>
      <c r="G21" s="242" t="s">
        <v>285</v>
      </c>
      <c r="J21" s="309" t="s">
        <v>196</v>
      </c>
      <c r="K21" s="312"/>
      <c r="O21" s="1"/>
      <c r="Q21" s="73" t="s">
        <v>193</v>
      </c>
      <c r="R21" s="227">
        <v>1440</v>
      </c>
      <c r="S21" s="227">
        <v>1600</v>
      </c>
      <c r="T21" s="227">
        <v>1440</v>
      </c>
      <c r="U21" s="227">
        <v>1645.5848581327728</v>
      </c>
      <c r="V21" s="73">
        <f>U21+第一季度!T22*0.536537</f>
        <v>1645.5848581327728</v>
      </c>
      <c r="W21" s="75">
        <f>J22*45</f>
        <v>1440</v>
      </c>
      <c r="X21" s="75">
        <f>J22*50</f>
        <v>1600</v>
      </c>
      <c r="Y21" s="75">
        <f>J22*45</f>
        <v>1440</v>
      </c>
      <c r="AD21" s="298"/>
      <c r="AE21" s="128" t="s">
        <v>222</v>
      </c>
      <c r="AF21" s="227">
        <v>1</v>
      </c>
      <c r="AG21" s="73">
        <f>AF21*参数调整!$F$7</f>
        <v>20000</v>
      </c>
      <c r="AI21" s="325"/>
      <c r="AJ21" s="303"/>
      <c r="AK21" s="331"/>
      <c r="AL21" s="95" t="s">
        <v>269</v>
      </c>
      <c r="AM21" s="74">
        <v>0</v>
      </c>
      <c r="AN21" s="95">
        <f>AM21*参数调整!$F$29</f>
        <v>0</v>
      </c>
      <c r="AO21" s="2"/>
      <c r="AP21" s="2"/>
    </row>
    <row r="22" spans="1:42" ht="46.8">
      <c r="A22" s="340" t="s">
        <v>286</v>
      </c>
      <c r="B22" s="206" t="s">
        <v>287</v>
      </c>
      <c r="C22" s="207"/>
      <c r="D22" s="207"/>
      <c r="E22" s="207"/>
      <c r="F22" s="207"/>
      <c r="G22" s="252">
        <v>32</v>
      </c>
      <c r="H22" s="241" t="s">
        <v>288</v>
      </c>
      <c r="J22" s="310">
        <v>32</v>
      </c>
      <c r="K22" s="311"/>
      <c r="Q22" s="92" t="s">
        <v>194</v>
      </c>
      <c r="T22" s="91" t="s">
        <v>443</v>
      </c>
      <c r="U22" s="91">
        <v>10823.875723338631</v>
      </c>
      <c r="AD22" s="299"/>
      <c r="AE22" s="128" t="s">
        <v>223</v>
      </c>
      <c r="AF22" s="227">
        <v>1</v>
      </c>
      <c r="AG22" s="73">
        <f>AF22*参数调整!$F$8</f>
        <v>20000</v>
      </c>
      <c r="AI22" s="325"/>
      <c r="AJ22" s="303"/>
      <c r="AK22" s="331"/>
      <c r="AL22" s="95" t="s">
        <v>100</v>
      </c>
      <c r="AM22" s="74">
        <v>0</v>
      </c>
      <c r="AN22" s="95">
        <f>AM22*参数调整!$H$29</f>
        <v>0</v>
      </c>
      <c r="AO22" s="2"/>
      <c r="AP22" s="2"/>
    </row>
    <row r="23" spans="1:42" ht="31.2">
      <c r="A23" s="340"/>
      <c r="B23" s="206" t="s">
        <v>289</v>
      </c>
      <c r="C23" s="207"/>
      <c r="D23" s="207"/>
      <c r="E23" s="207"/>
      <c r="F23" s="207"/>
      <c r="G23" s="231">
        <v>32</v>
      </c>
      <c r="H23" s="209" t="s">
        <v>290</v>
      </c>
      <c r="J23" s="310"/>
      <c r="K23" s="311"/>
      <c r="Q23" s="225"/>
      <c r="U23" s="91">
        <v>17176.477630863857</v>
      </c>
      <c r="X23" s="220" t="s">
        <v>304</v>
      </c>
      <c r="AB23" s="115" t="s">
        <v>337</v>
      </c>
      <c r="AD23" s="294" t="s">
        <v>352</v>
      </c>
      <c r="AE23" s="296"/>
      <c r="AF23" s="227">
        <v>1</v>
      </c>
      <c r="AG23" s="73">
        <f>AF23*参数调整!$C$40</f>
        <v>30000</v>
      </c>
      <c r="AI23" s="325"/>
      <c r="AJ23" s="329"/>
      <c r="AK23" s="330"/>
      <c r="AL23" s="95" t="s">
        <v>270</v>
      </c>
      <c r="AM23" s="74">
        <v>0</v>
      </c>
      <c r="AN23" s="95">
        <f>AM23*参数调整!$G$29</f>
        <v>0</v>
      </c>
      <c r="AO23" s="2"/>
      <c r="AP23" s="2"/>
    </row>
    <row r="24" spans="1:42" ht="62.4">
      <c r="A24" s="340" t="s">
        <v>291</v>
      </c>
      <c r="B24" s="206" t="s">
        <v>287</v>
      </c>
      <c r="C24" s="207"/>
      <c r="D24" s="207"/>
      <c r="E24" s="207"/>
      <c r="F24" s="207"/>
      <c r="G24" s="231">
        <v>11</v>
      </c>
      <c r="H24" s="209" t="s">
        <v>292</v>
      </c>
      <c r="U24" s="91">
        <v>6589.5861792214282</v>
      </c>
      <c r="W24" s="115" t="str">
        <f t="shared" ref="W24:W35" si="6">J3</f>
        <v>S</v>
      </c>
      <c r="X24" s="271">
        <f>ROUNDUP(IF(J3="S",V3*$R$18/($R$18+$S$18+$T$18),IF(J3="B",V3*$R$19/($R$19+$S$19+$T$19),IF(J3="Q",V3*$R$20/($R$20+$S$20+$T$20),V3*$R$21/($R$21+$S$21+$T$21)))),1)</f>
        <v>18.5</v>
      </c>
      <c r="Y24" s="244">
        <f>ROUNDUP(IF(J3="S",V3*$S$18/($R$18+$S$18+$T$18),IF(J3="B",V3*$S$19/($R$19+$S$19+$T$19),IF(J3="Q",V3*$S$20/($R$20+$S$20+$T$20),V3*$S$21/($R$21+$S$21+$T$21)))),1)</f>
        <v>15.799999999999999</v>
      </c>
      <c r="Z24" s="244">
        <f>ROUNDUP(IF(J3="S",V3*$T$18/($R$18+$S$18+$T$18),IF(J3="B",V3*$T$19/($R$19+$S$19+$T$19),IF(J3="Q",V3*$T$20/($R$20+$S$20+$T$20),V3*$T$21/($R$21+$S$21+$T$21)))),1)</f>
        <v>15.799999999999999</v>
      </c>
      <c r="AA24" s="115">
        <f>V3-TRUNC(X24)-TRUNC(Y24)-TRUNC(Z24)</f>
        <v>2</v>
      </c>
      <c r="AB24" s="122"/>
      <c r="AD24" s="294" t="s">
        <v>353</v>
      </c>
      <c r="AE24" s="296"/>
      <c r="AF24" s="227"/>
      <c r="AG24" s="73">
        <f>AF24*参数调整!$C$41</f>
        <v>0</v>
      </c>
      <c r="AI24" s="325"/>
      <c r="AJ24" s="327" t="s">
        <v>251</v>
      </c>
      <c r="AK24" s="328"/>
      <c r="AL24" s="95" t="s">
        <v>252</v>
      </c>
      <c r="AM24" s="74">
        <v>0</v>
      </c>
      <c r="AN24" s="95">
        <f>AM24*参数调整!$F$23</f>
        <v>0</v>
      </c>
      <c r="AO24" s="2"/>
      <c r="AP24" s="2"/>
    </row>
    <row r="25" spans="1:42" ht="20.399999999999999" customHeight="1">
      <c r="A25" s="340"/>
      <c r="B25" s="206" t="s">
        <v>442</v>
      </c>
      <c r="C25" s="207"/>
      <c r="D25" s="207"/>
      <c r="E25" s="207"/>
      <c r="F25" s="207"/>
      <c r="G25" s="114">
        <f>H25-G24-G26</f>
        <v>53</v>
      </c>
      <c r="H25" s="208">
        <v>68</v>
      </c>
      <c r="U25" s="91">
        <v>1645.5848581327728</v>
      </c>
      <c r="W25" s="115" t="str">
        <f t="shared" si="6"/>
        <v>B</v>
      </c>
      <c r="X25" s="271">
        <f t="shared" ref="X25:X34" si="7">ROUNDUP(IF(J4="S",V4*$R$18/($R$18+$S$18+$T$18),IF(J4="B",V4*$R$19/($R$19+$S$19+$T$19),IF(J4="Q",V4*$R$20/($R$20+$S$20+$T$20),V4*$R$21/($R$21+$S$21+$T$21)))),1)</f>
        <v>29.1</v>
      </c>
      <c r="Y25" s="244">
        <f t="shared" ref="Y25:Y35" si="8">ROUNDUP(IF(J4="S",V4*$S$18/($R$18+$S$18+$T$18),IF(J4="B",V4*$S$19/($R$19+$S$19+$T$19),IF(J4="Q",V4*$S$20/($R$20+$S$20+$T$20),V4*$S$21/($R$21+$S$21+$T$21)))),1)</f>
        <v>30</v>
      </c>
      <c r="Z25" s="244">
        <f t="shared" ref="Z25:Z35" si="9">ROUNDUP(IF(J4="S",V4*$T$18/($R$18+$S$18+$T$18),IF(J4="B",V4*$T$19/($R$19+$S$19+$T$19),IF(J4="Q",V4*$T$20/($R$20+$S$20+$T$20),V4*$T$21/($R$21+$S$21+$T$21)))),1)</f>
        <v>30</v>
      </c>
      <c r="AA25" s="115">
        <f t="shared" ref="AA25:AA35" si="10">V4-TRUNC(X25)-TRUNC(Y25)-TRUNC(Z25)</f>
        <v>0</v>
      </c>
      <c r="AB25" s="122"/>
      <c r="AD25" s="294" t="s">
        <v>224</v>
      </c>
      <c r="AE25" s="296"/>
      <c r="AF25" s="227"/>
      <c r="AG25" s="73">
        <f>AF25*参数调整!$F$18</f>
        <v>0</v>
      </c>
      <c r="AI25" s="325"/>
      <c r="AJ25" s="303"/>
      <c r="AK25" s="331"/>
      <c r="AL25" s="95" t="s">
        <v>253</v>
      </c>
      <c r="AM25" s="74">
        <v>0</v>
      </c>
      <c r="AN25" s="95">
        <f>AM25*参数调整!$H$23</f>
        <v>0</v>
      </c>
      <c r="AO25" s="2"/>
      <c r="AP25" s="2"/>
    </row>
    <row r="26" spans="1:42" ht="15.6">
      <c r="A26" s="340"/>
      <c r="B26" s="206">
        <v>113</v>
      </c>
      <c r="C26" s="207"/>
      <c r="D26" s="207"/>
      <c r="E26" s="207"/>
      <c r="F26" s="207"/>
      <c r="G26" s="231">
        <v>4</v>
      </c>
      <c r="H26" s="206" t="s">
        <v>293</v>
      </c>
      <c r="W26" s="115" t="str">
        <f t="shared" si="6"/>
        <v>B</v>
      </c>
      <c r="X26" s="271">
        <f t="shared" si="7"/>
        <v>9.9</v>
      </c>
      <c r="Y26" s="244">
        <f>ROUNDUP(IF(J5="S",V5*$S$18/($R$18+$S$18+$T$18),IF(J5="B",V5*$S$19/($R$19+$S$19+$T$19),IF(J5="Q",V5*$S$20/($R$20+$S$20+$T$20),V5*$S$21/($R$21+$S$21+$T$21)))),1)</f>
        <v>10.1</v>
      </c>
      <c r="Z26" s="244">
        <f t="shared" si="9"/>
        <v>10.1</v>
      </c>
      <c r="AA26" s="115">
        <f t="shared" si="10"/>
        <v>1</v>
      </c>
      <c r="AB26" s="122"/>
      <c r="AD26" s="294" t="s">
        <v>225</v>
      </c>
      <c r="AE26" s="296"/>
      <c r="AF26" s="227">
        <v>2</v>
      </c>
      <c r="AG26" s="73">
        <f>AF26*参数调整!$F$17</f>
        <v>1000</v>
      </c>
      <c r="AI26" s="325"/>
      <c r="AJ26" s="329"/>
      <c r="AK26" s="330"/>
      <c r="AL26" s="95" t="s">
        <v>254</v>
      </c>
      <c r="AM26" s="74">
        <v>0</v>
      </c>
      <c r="AN26" s="95">
        <f>AM26*参数调整!$J$23</f>
        <v>0</v>
      </c>
      <c r="AO26" s="2"/>
      <c r="AP26" s="2"/>
    </row>
    <row r="27" spans="1:42" ht="46.8">
      <c r="A27" s="340" t="s">
        <v>294</v>
      </c>
      <c r="B27" s="206">
        <v>212</v>
      </c>
      <c r="C27" s="207"/>
      <c r="D27" s="207"/>
      <c r="E27" s="207"/>
      <c r="F27" s="207"/>
      <c r="G27" s="231">
        <v>32</v>
      </c>
      <c r="H27" s="209" t="s">
        <v>295</v>
      </c>
      <c r="J27" s="215" t="s">
        <v>303</v>
      </c>
      <c r="K27" s="114" t="s">
        <v>191</v>
      </c>
      <c r="W27" s="115" t="str">
        <f t="shared" si="6"/>
        <v>B</v>
      </c>
      <c r="X27" s="244">
        <f t="shared" si="7"/>
        <v>9.9</v>
      </c>
      <c r="Y27" s="244">
        <f t="shared" si="8"/>
        <v>10.1</v>
      </c>
      <c r="Z27" s="244">
        <f t="shared" si="9"/>
        <v>10.1</v>
      </c>
      <c r="AA27" s="115">
        <f t="shared" si="10"/>
        <v>1</v>
      </c>
      <c r="AB27" s="122"/>
      <c r="AD27" s="294" t="s">
        <v>226</v>
      </c>
      <c r="AE27" s="295"/>
      <c r="AF27" s="296"/>
      <c r="AG27" s="73">
        <f>SUM(X3:X14)</f>
        <v>89738</v>
      </c>
      <c r="AI27" s="325"/>
      <c r="AJ27" s="294" t="s">
        <v>255</v>
      </c>
      <c r="AK27" s="295"/>
      <c r="AL27" s="296"/>
      <c r="AM27" s="75">
        <f>AM19</f>
        <v>3</v>
      </c>
      <c r="AN27" s="95">
        <f>AM27*参数调整!$J$17*(1+参数调整!$B$12+参数调整!$B$13+参数调整!$B$14+参数调整!$B$15+参数调整!$B$16)</f>
        <v>16151.999999999998</v>
      </c>
      <c r="AO27" s="2"/>
      <c r="AP27" s="2"/>
    </row>
    <row r="28" spans="1:42" ht="13.8" customHeight="1">
      <c r="A28" s="340"/>
      <c r="B28" s="206">
        <v>1121</v>
      </c>
      <c r="C28" s="207"/>
      <c r="D28" s="207"/>
      <c r="E28" s="207"/>
      <c r="F28" s="207"/>
      <c r="G28" s="114">
        <f>H28-G27-G301</f>
        <v>31</v>
      </c>
      <c r="H28" s="208">
        <v>63</v>
      </c>
      <c r="J28" s="228">
        <v>0.63</v>
      </c>
      <c r="K28" s="114">
        <f>((AA3*参数调整!H11/第二季度!J28)-第一季度!G21*$J$18*0.536537)/$J$18</f>
        <v>14149.80033029382</v>
      </c>
      <c r="Q28" s="237">
        <f>K28/3</f>
        <v>4716.6001100979402</v>
      </c>
      <c r="W28" s="115" t="str">
        <f t="shared" si="6"/>
        <v>Q</v>
      </c>
      <c r="X28" s="244">
        <f t="shared" si="7"/>
        <v>17.400000000000002</v>
      </c>
      <c r="Y28" s="271">
        <f t="shared" si="8"/>
        <v>17.400000000000002</v>
      </c>
      <c r="Z28" s="244">
        <f t="shared" si="9"/>
        <v>17.400000000000002</v>
      </c>
      <c r="AA28" s="115">
        <f t="shared" si="10"/>
        <v>1</v>
      </c>
      <c r="AB28" s="122"/>
      <c r="AD28" s="294" t="s">
        <v>227</v>
      </c>
      <c r="AE28" s="295"/>
      <c r="AF28" s="296"/>
      <c r="AG28" s="73">
        <f>G18</f>
        <v>23966.513999999996</v>
      </c>
      <c r="AI28" s="325"/>
      <c r="AJ28" s="297" t="s">
        <v>256</v>
      </c>
      <c r="AK28" s="316" t="s">
        <v>257</v>
      </c>
      <c r="AL28" s="334" t="s">
        <v>176</v>
      </c>
      <c r="AM28" s="332">
        <v>0</v>
      </c>
      <c r="AN28" s="297">
        <f>AM28*参数调整!$B$30*参数调整!F11</f>
        <v>0</v>
      </c>
      <c r="AO28" s="2"/>
      <c r="AP28" s="2"/>
    </row>
    <row r="29" spans="1:42" ht="15.6">
      <c r="A29" s="340"/>
      <c r="B29" s="206">
        <v>112</v>
      </c>
      <c r="C29" s="207"/>
      <c r="D29" s="207"/>
      <c r="E29" s="207"/>
      <c r="F29" s="207"/>
      <c r="G29" s="231">
        <v>10</v>
      </c>
      <c r="H29" s="206" t="s">
        <v>296</v>
      </c>
      <c r="J29" s="228">
        <v>1.33</v>
      </c>
      <c r="K29" s="114">
        <f>((AA4*参数调整!H12/第二季度!J29)-第一季度!G22*$J$18*0.536537)/$J$18</f>
        <v>22439.860581292425</v>
      </c>
      <c r="Q29" s="237">
        <f>K29/5</f>
        <v>4487.9721162584847</v>
      </c>
      <c r="W29" s="115" t="str">
        <f t="shared" si="6"/>
        <v>Q</v>
      </c>
      <c r="X29" s="271">
        <f t="shared" si="7"/>
        <v>17.400000000000002</v>
      </c>
      <c r="Y29" s="244">
        <f t="shared" si="8"/>
        <v>17.400000000000002</v>
      </c>
      <c r="Z29" s="244">
        <f t="shared" si="9"/>
        <v>17.400000000000002</v>
      </c>
      <c r="AA29" s="115">
        <f t="shared" si="10"/>
        <v>1</v>
      </c>
      <c r="AB29" s="122"/>
      <c r="AD29" s="294" t="s">
        <v>228</v>
      </c>
      <c r="AE29" s="295"/>
      <c r="AF29" s="296"/>
      <c r="AG29" s="98">
        <f>AG3+AG4*(1-参数调整!$B$18)-SUM(AG5:AG28)</f>
        <v>0.67950000002747402</v>
      </c>
      <c r="AH29" s="98">
        <f>AG29/(1-参数调整!B23)</f>
        <v>0.70051546394584951</v>
      </c>
      <c r="AI29" s="325"/>
      <c r="AJ29" s="298"/>
      <c r="AK29" s="317"/>
      <c r="AL29" s="335"/>
      <c r="AM29" s="333"/>
      <c r="AN29" s="299"/>
      <c r="AO29" s="2"/>
      <c r="AP29" s="2"/>
    </row>
    <row r="30" spans="1:42" ht="15.6">
      <c r="A30" s="340" t="s">
        <v>297</v>
      </c>
      <c r="B30" s="206" t="s">
        <v>298</v>
      </c>
      <c r="C30" s="207"/>
      <c r="D30" s="207"/>
      <c r="E30" s="207"/>
      <c r="F30" s="207"/>
      <c r="G30" s="114">
        <f>H30-G31</f>
        <v>57</v>
      </c>
      <c r="H30" s="208">
        <v>61</v>
      </c>
      <c r="J30" s="228">
        <v>1.1100000000000001</v>
      </c>
      <c r="K30" s="114">
        <f>((AA5*参数调整!H13/第二季度!J30)-第一季度!G23*$J$18*0.536537)/$J$18</f>
        <v>13764.421034730589</v>
      </c>
      <c r="Q30" s="237">
        <f>K30/3</f>
        <v>4588.1403449101963</v>
      </c>
      <c r="W30" s="115" t="str">
        <f t="shared" si="6"/>
        <v>Q</v>
      </c>
      <c r="X30" s="244">
        <f t="shared" si="7"/>
        <v>40.4</v>
      </c>
      <c r="Y30" s="244">
        <f t="shared" si="8"/>
        <v>40.4</v>
      </c>
      <c r="Z30" s="244">
        <f t="shared" si="9"/>
        <v>40.4</v>
      </c>
      <c r="AA30" s="115">
        <f t="shared" si="10"/>
        <v>1</v>
      </c>
      <c r="AB30" s="122"/>
      <c r="AD30" s="294" t="s">
        <v>317</v>
      </c>
      <c r="AE30" s="295"/>
      <c r="AF30" s="296"/>
      <c r="AG30" s="131">
        <v>0</v>
      </c>
      <c r="AI30" s="325"/>
      <c r="AJ30" s="298"/>
      <c r="AK30" s="317"/>
      <c r="AL30" s="334" t="s">
        <v>177</v>
      </c>
      <c r="AM30" s="332">
        <v>0</v>
      </c>
      <c r="AN30" s="297">
        <f>参数调整!F12*AM30*参数调整!$B$30</f>
        <v>0</v>
      </c>
      <c r="AO30" s="2"/>
      <c r="AP30" s="2"/>
    </row>
    <row r="31" spans="1:42" ht="13.8" customHeight="1">
      <c r="A31" s="340"/>
      <c r="B31" s="206">
        <v>111</v>
      </c>
      <c r="C31" s="207"/>
      <c r="D31" s="207"/>
      <c r="E31" s="207"/>
      <c r="F31" s="207"/>
      <c r="G31" s="231">
        <v>4</v>
      </c>
      <c r="H31" s="206" t="s">
        <v>299</v>
      </c>
      <c r="J31" s="228" t="e">
        <f>H37/H38*H39/J18</f>
        <v>#DIV/0!</v>
      </c>
      <c r="K31" s="114" t="e">
        <f>((AA6*参数调整!H14/第二季度!J31)-第一季度!G24*$J$18*0.536537)/$J$18</f>
        <v>#DIV/0!</v>
      </c>
      <c r="Q31" s="237" t="e">
        <f>K31</f>
        <v>#DIV/0!</v>
      </c>
      <c r="W31" s="115" t="str">
        <f t="shared" si="6"/>
        <v>L</v>
      </c>
      <c r="X31" s="244">
        <f t="shared" si="7"/>
        <v>11</v>
      </c>
      <c r="Y31" s="271">
        <f t="shared" si="8"/>
        <v>12.2</v>
      </c>
      <c r="Z31" s="244">
        <f t="shared" si="9"/>
        <v>11</v>
      </c>
      <c r="AA31" s="115">
        <f t="shared" si="10"/>
        <v>0</v>
      </c>
      <c r="AB31" s="122"/>
      <c r="AD31" s="294" t="s">
        <v>228</v>
      </c>
      <c r="AE31" s="295"/>
      <c r="AF31" s="296"/>
      <c r="AG31" s="98">
        <f>AG30*(1-参数调整!B23)+AG29</f>
        <v>0.67950000002747402</v>
      </c>
      <c r="AI31" s="325"/>
      <c r="AJ31" s="298"/>
      <c r="AK31" s="317"/>
      <c r="AL31" s="335"/>
      <c r="AM31" s="333"/>
      <c r="AN31" s="299"/>
      <c r="AO31" s="2"/>
      <c r="AP31" s="2"/>
    </row>
    <row r="32" spans="1:42" ht="13.8" customHeight="1">
      <c r="W32" s="115">
        <f t="shared" si="6"/>
        <v>0</v>
      </c>
      <c r="X32" s="244">
        <f t="shared" si="7"/>
        <v>0</v>
      </c>
      <c r="Y32" s="244">
        <f t="shared" si="8"/>
        <v>0</v>
      </c>
      <c r="Z32" s="244">
        <f t="shared" si="9"/>
        <v>0</v>
      </c>
      <c r="AA32" s="115">
        <f t="shared" si="10"/>
        <v>0</v>
      </c>
      <c r="AB32" s="122"/>
      <c r="AI32" s="325"/>
      <c r="AJ32" s="298"/>
      <c r="AK32" s="317"/>
      <c r="AL32" s="334" t="s">
        <v>178</v>
      </c>
      <c r="AM32" s="332">
        <v>0</v>
      </c>
      <c r="AN32" s="297">
        <f>参数调整!F13*AM32*参数调整!$B$30</f>
        <v>0</v>
      </c>
      <c r="AO32" s="2"/>
      <c r="AP32" s="2"/>
    </row>
    <row r="33" spans="2:42" ht="13.8" customHeight="1">
      <c r="W33" s="115">
        <f t="shared" si="6"/>
        <v>0</v>
      </c>
      <c r="X33" s="244">
        <f t="shared" si="7"/>
        <v>0</v>
      </c>
      <c r="Y33" s="244">
        <f t="shared" si="8"/>
        <v>0</v>
      </c>
      <c r="Z33" s="244">
        <f t="shared" si="9"/>
        <v>0</v>
      </c>
      <c r="AA33" s="115">
        <f t="shared" si="10"/>
        <v>0</v>
      </c>
      <c r="AB33" s="122"/>
      <c r="AI33" s="325"/>
      <c r="AJ33" s="298"/>
      <c r="AK33" s="317"/>
      <c r="AL33" s="335"/>
      <c r="AM33" s="333"/>
      <c r="AN33" s="299"/>
      <c r="AO33" s="2"/>
      <c r="AP33" s="2"/>
    </row>
    <row r="34" spans="2:42" ht="13.8" customHeight="1">
      <c r="W34" s="115">
        <f t="shared" si="6"/>
        <v>0</v>
      </c>
      <c r="X34" s="244">
        <f t="shared" si="7"/>
        <v>0</v>
      </c>
      <c r="Y34" s="244">
        <f t="shared" si="8"/>
        <v>0</v>
      </c>
      <c r="Z34" s="244">
        <f t="shared" si="9"/>
        <v>0</v>
      </c>
      <c r="AA34" s="115">
        <f t="shared" si="10"/>
        <v>0</v>
      </c>
      <c r="AB34" s="122"/>
      <c r="AI34" s="325"/>
      <c r="AJ34" s="298"/>
      <c r="AK34" s="317"/>
      <c r="AL34" s="334" t="s">
        <v>193</v>
      </c>
      <c r="AM34" s="332">
        <v>0</v>
      </c>
      <c r="AN34" s="297">
        <f>参数调整!F14*AM34*参数调整!$B$30</f>
        <v>0</v>
      </c>
      <c r="AO34" s="2"/>
      <c r="AP34" s="2"/>
    </row>
    <row r="35" spans="2:42" ht="13.8" customHeight="1">
      <c r="W35" s="115">
        <f t="shared" si="6"/>
        <v>0</v>
      </c>
      <c r="X35" s="244">
        <f>ROUNDUP(IF(J14="S",V14*$R$18/($R$18+$S$18+$T$18),IF(J14="B",V14*$R$19/($R$19+$S$19+$T$19),IF(J14="Q",V14*$R$20/($R$20+$S$20+$T$20),V14*$R$21/($R$21+$S$21+$T$21)))),1)</f>
        <v>0</v>
      </c>
      <c r="Y35" s="244">
        <f t="shared" si="8"/>
        <v>0</v>
      </c>
      <c r="Z35" s="245">
        <f t="shared" si="9"/>
        <v>0</v>
      </c>
      <c r="AA35" s="116">
        <f t="shared" si="10"/>
        <v>0</v>
      </c>
      <c r="AB35" s="102"/>
      <c r="AI35" s="325"/>
      <c r="AJ35" s="299"/>
      <c r="AK35" s="318"/>
      <c r="AL35" s="335"/>
      <c r="AM35" s="333"/>
      <c r="AN35" s="299"/>
      <c r="AO35" s="95" t="s">
        <v>258</v>
      </c>
      <c r="AP35" s="95" t="s">
        <v>259</v>
      </c>
    </row>
    <row r="36" spans="2:42" ht="13.8" customHeight="1">
      <c r="D36" s="304" t="s">
        <v>301</v>
      </c>
      <c r="E36" s="291" t="s">
        <v>302</v>
      </c>
      <c r="F36" s="291" t="s">
        <v>354</v>
      </c>
      <c r="AI36" s="326"/>
      <c r="AJ36" s="294" t="s">
        <v>260</v>
      </c>
      <c r="AK36" s="295"/>
      <c r="AL36" s="295"/>
      <c r="AM36" s="296"/>
      <c r="AN36" s="98">
        <f>AN2-SUM(AN5:AN19)+SUM(AN20:AN26)-SUM(AN27:AN35)+AO36*(1-参数调整!B23)+AP36*(1-参数调整!B24)</f>
        <v>85482.68</v>
      </c>
      <c r="AO36" s="74">
        <v>0</v>
      </c>
      <c r="AP36" s="74"/>
    </row>
    <row r="37" spans="2:42" ht="13.8" customHeight="1">
      <c r="B37" s="343" t="s">
        <v>449</v>
      </c>
      <c r="D37" s="304"/>
      <c r="E37" s="291"/>
      <c r="F37" s="291"/>
      <c r="G37" s="274" t="s">
        <v>447</v>
      </c>
      <c r="H37" s="258"/>
      <c r="I37" s="258"/>
      <c r="J37" s="258"/>
      <c r="AI37" s="321" t="s">
        <v>332</v>
      </c>
      <c r="AJ37" s="294" t="s">
        <v>262</v>
      </c>
      <c r="AK37" s="295"/>
      <c r="AL37" s="295"/>
      <c r="AM37" s="296"/>
      <c r="AN37" s="75">
        <f>AO3-AO36</f>
        <v>132853.5</v>
      </c>
      <c r="AO37" s="2"/>
      <c r="AP37" s="2"/>
    </row>
    <row r="38" spans="2:42" ht="13.8" customHeight="1">
      <c r="B38" s="343"/>
      <c r="D38" s="9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2">
        <f>第一季度!G3+第一季度!H3+第一季度!E38-第一季度!B3</f>
        <v>0</v>
      </c>
      <c r="F38" s="138">
        <f>E38+G3-B3</f>
        <v>0</v>
      </c>
      <c r="G38" s="274" t="s">
        <v>446</v>
      </c>
      <c r="H38" s="258"/>
      <c r="I38" s="258"/>
      <c r="J38" s="258"/>
      <c r="Q38" s="113"/>
      <c r="R38" s="113"/>
      <c r="S38" s="338" t="s">
        <v>277</v>
      </c>
      <c r="T38" s="339"/>
      <c r="U38" s="339"/>
      <c r="V38" s="1"/>
      <c r="AI38" s="322"/>
      <c r="AJ38" s="294" t="s">
        <v>263</v>
      </c>
      <c r="AK38" s="295"/>
      <c r="AL38" s="295"/>
      <c r="AM38" s="296"/>
      <c r="AN38" s="75">
        <f>(G3*D3*E3+G4*D4*E4+G5*D5*1.5*E5+G6*D6*E6+G7*E7*D7+G8*E8*D8+G9*E9*D9+G10*E10*D10+G11*E11*D11+G12*E12*D12+G13*E13*D13*1.5+G14*E14*D14*1.5+G15*E15*D15*1.5+G16*E16*D16*1.5)*(1+参数调整!B6)</f>
        <v>45591.506999999998</v>
      </c>
      <c r="AO38" s="2"/>
      <c r="AP38" s="2"/>
    </row>
    <row r="39" spans="2:42" ht="13.8" customHeight="1">
      <c r="B39" s="343"/>
      <c r="D39" s="9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82</v>
      </c>
      <c r="E39" s="2">
        <f>第一季度!G4+第一季度!H4+第一季度!E39-第一季度!B4</f>
        <v>0</v>
      </c>
      <c r="F39" s="138">
        <f t="shared" ref="F39:F51" si="11">E39+G4-B4</f>
        <v>0</v>
      </c>
      <c r="G39" s="274" t="s">
        <v>448</v>
      </c>
      <c r="H39" s="258">
        <v>15</v>
      </c>
      <c r="I39" s="258"/>
      <c r="J39" s="258"/>
      <c r="Q39" s="113"/>
      <c r="R39" s="113"/>
      <c r="S39" s="113" t="s">
        <v>278</v>
      </c>
      <c r="T39" s="113" t="s">
        <v>279</v>
      </c>
      <c r="U39" s="113" t="s">
        <v>280</v>
      </c>
      <c r="V39" s="2"/>
      <c r="AI39" s="322"/>
      <c r="AJ39" s="294" t="s">
        <v>264</v>
      </c>
      <c r="AK39" s="295"/>
      <c r="AL39" s="295"/>
      <c r="AM39" s="296"/>
      <c r="AN39" s="75">
        <f>H5*D40*(1+参数调整!B6)+H13*D48*(1+参数调整!B6)+H14*D49*(1+参数调整!B6)+H15*D50*(1+参数调整!B6)+H16*D51*(1+参数调整!B6)</f>
        <v>14084.927999999996</v>
      </c>
      <c r="AO39" s="2"/>
      <c r="AP39" s="2"/>
    </row>
    <row r="40" spans="2:42" ht="13.8" customHeight="1">
      <c r="D40" s="9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108</v>
      </c>
      <c r="E40" s="2">
        <f>第一季度!G5+第一季度!H5+第一季度!E40-第一季度!B5</f>
        <v>0</v>
      </c>
      <c r="F40" s="138">
        <f t="shared" si="11"/>
        <v>0</v>
      </c>
      <c r="Q40" s="113"/>
      <c r="R40" s="113" t="s">
        <v>444</v>
      </c>
      <c r="S40" s="111">
        <v>1</v>
      </c>
      <c r="T40" s="111">
        <v>1</v>
      </c>
      <c r="U40" s="111">
        <v>1</v>
      </c>
      <c r="V40" s="2"/>
      <c r="W40" s="112"/>
      <c r="X40" s="112"/>
      <c r="Y40" s="112" t="s">
        <v>281</v>
      </c>
      <c r="Z40" s="112" t="s">
        <v>282</v>
      </c>
      <c r="AA40" s="112" t="s">
        <v>283</v>
      </c>
      <c r="AB40" s="112" t="s">
        <v>284</v>
      </c>
      <c r="AI40" s="322"/>
      <c r="AJ40" s="294" t="s">
        <v>265</v>
      </c>
      <c r="AK40" s="295"/>
      <c r="AL40" s="295"/>
      <c r="AM40" s="296"/>
      <c r="AN40" s="75">
        <v>10000</v>
      </c>
      <c r="AO40" s="2"/>
      <c r="AP40" s="2"/>
    </row>
    <row r="41" spans="2:42" ht="13.8" customHeight="1">
      <c r="D41" s="9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13</v>
      </c>
      <c r="E41" s="2">
        <f>第一季度!G6+第一季度!H6+第一季度!E41-第一季度!B6</f>
        <v>0</v>
      </c>
      <c r="F41" s="138">
        <f t="shared" si="11"/>
        <v>0</v>
      </c>
      <c r="Q41" s="113" t="str">
        <f t="shared" ref="Q41:Q52" si="12">J3</f>
        <v>S</v>
      </c>
      <c r="R41" s="113">
        <f t="shared" ref="R41:R52" si="13">K3</f>
        <v>113</v>
      </c>
      <c r="S41" s="113">
        <f>IF(Q41="S",$S$40*参数调整!$J$11/(($S$40-1)*COUNTIF($Q$41:$Q$52,"S")+$G$22+$G$23),IF(Q41="B",$S$40*参数调整!$J$12/(($S$40-1)*COUNTIF($Q$41:$Q$52,"B")+$G$24+$G$25+$G$26),IF(Q41="Q",$S$40*参数调整!$J$13/(($S$40-1)*COUNTIF($Q$41:$Q$52,"Q")+$G$27+$G$28+$G$29),$S$40*参数调整!$J$14/(($S$40-1)*COUNTIF($Q$41:$Q$52,"L")+$G$30+$G$31))))</f>
        <v>0.15625</v>
      </c>
      <c r="T41" s="113">
        <f>IF(Q41="S",$T$40*参数调整!$J$11/(($T$40-1)*COUNTIF($Q$41:$Q$52,"S")+$G$22+$G$23),IF(Q41="B",$T$40*参数调整!$J$12/(($T$40-1)*COUNTIF($Q$41:$Q$52,"B")+$G$24+$G$25+$G$26),IF(Q41="Q",$T$40*参数调整!$J$13/(($T$40-1)*COUNTIF($Q$41:$Q$52,"Q")+$G$27+$G$28+$G$29),$T$40*参数调整!$J$14/(($T$40-1)*COUNTIF($Q$41:$Q$52,"L")+$G$30+$G$31))))</f>
        <v>0.15625</v>
      </c>
      <c r="U41" s="113">
        <f>IF(Q41="S",$U$40*参数调整!$J$11/(($U$40-1)*COUNTIF($Q$41:$Q$52,"S")+$G$22+$G$23),IF(Q41="B",$U$40*参数调整!$J$12/(($U$40-1)*COUNTIF($Q$41:$Q$52,"B")+$G$24+$G$25+$G$26),IF(Q41="Q",$U$40*参数调整!$J$13/(($U$40-1)*COUNTIF($Q$41:$Q$52,"Q")+$G$27+$G$28+$G$29),$U$40*参数调整!$J$14/(($U$40-1)*COUNTIF($Q$41:$Q$52,"L")+$G$30+$G$31))))</f>
        <v>0.15625</v>
      </c>
      <c r="V41" s="2"/>
      <c r="W41" s="112" t="str">
        <f t="shared" ref="W41:W52" si="14">J3</f>
        <v>S</v>
      </c>
      <c r="X41" s="112">
        <f t="shared" ref="X41:X52" si="15">K3</f>
        <v>113</v>
      </c>
      <c r="Y41" s="112">
        <f>IF(W41="S",IF(X41=113,12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Q",IF(X41=212,30*参数调整!$I$13/($G$27*30+$G$28*31+$G$29*21),IF(X41=1121,31*参数调整!$I$13/($G$27*30+$G$28*31+$G$29*21),21*参数调整!$I$13/($G$27*30+$G$28*31+$G$29*21))),IF(W41="L",IF(MID(X41,2,1)="2",30*参数调整!$I$14/($G$30*30+$G$31*21),21*参数调整!$I$14/($G$30*30+$G$31*21))))))</f>
        <v>0.43269230769230771</v>
      </c>
      <c r="Z41" s="112">
        <f>IF(W41="S",1/($G$22+$G$23)*参数调整!$G$11,IF(W41="B",1/($G$24+$G$25+$G$26)*参数调整!$G$12,IF(W41="Q",1/($G$27+$G$28+$G$29)*参数调整!$G$13,1/($G$30+$G$31)*参数调整!$G$14)))</f>
        <v>0.15625</v>
      </c>
      <c r="AA41" s="112">
        <f>IF(W41="S",(第一季度!U3-Q3)*参数调整!$K$11/(第一季度!$R$19-($R$18-$J$22*35)),IF(W41="B",(第一季度!U3-Q3)*参数调整!$K$12/(第一季度!$R$20-($R$19-34*$J$22)),IF(W41="Q",(第一季度!U3-Q3)*参数调整!$K$13/(第一季度!$R$21-($R$20-40*$J$22)),IFERROR((第一季度!U3-Q3)*参数调整!$K$14/(第一季度!$R$22-($R$21-$J$22*45)),0))))</f>
        <v>0.15178571428571427</v>
      </c>
      <c r="AB41" s="112">
        <f>IF(W41="S",Y3*参数调整!$H$11/($V$18*($J$18-1)+Y3),IF(W41="B",Y3*参数调整!$H$12/($V$19*($J$18-1)+Y3),IF(W41="Q",Y3*参数调整!$H$13/($V$20*($J$18-1)+Y3),Y3*参数调整!$H$14/($V$21*($J$18-1)+Y3))))</f>
        <v>0.62329953005194161</v>
      </c>
      <c r="AI41" s="322"/>
      <c r="AJ41" s="294" t="s">
        <v>266</v>
      </c>
      <c r="AK41" s="295"/>
      <c r="AL41" s="295"/>
      <c r="AM41" s="296"/>
      <c r="AN41" s="75">
        <f>(AN2+AO3+AP3-AK2)*参数调整!B6/(1+参数调整!B6)-(F3+F4+F5*1.5+F6+F7+F8+F9+F10+F11+F12+F13*1.5+F14*1.5+F15*1.5+F16*1.5+第一季度!AN39)/(1+参数调整!B6)*参数调整!B6</f>
        <v>39227.27900000001</v>
      </c>
      <c r="AO41" s="2"/>
      <c r="AP41" s="2"/>
    </row>
    <row r="42" spans="2:42" ht="13.8" customHeight="1">
      <c r="D42" s="9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18</v>
      </c>
      <c r="E42" s="2">
        <f>第一季度!G7+第一季度!H7+第一季度!E42-第一季度!B7</f>
        <v>0</v>
      </c>
      <c r="F42" s="138">
        <f t="shared" si="11"/>
        <v>0</v>
      </c>
      <c r="Q42" s="113" t="str">
        <f t="shared" si="12"/>
        <v>B</v>
      </c>
      <c r="R42" s="113">
        <f t="shared" si="13"/>
        <v>1111</v>
      </c>
      <c r="S42" s="113">
        <f>IF(Q42="S",$S$40*参数调整!$J$11/(($S$40-1)*COUNTIF($Q$41:$Q$52,"S")+$G$22+$G$23),IF(Q42="B",$S$40*参数调整!$J$12/(($S$40-1)*COUNTIF($Q$41:$Q$52,"B")+$G$24+$G$25+$G$26),IF(Q42="Q",$S$40*参数调整!$J$13/(($S$40-1)*COUNTIF($Q$41:$Q$52,"Q")+$G$27+$G$28+$G$29),$S$40*参数调整!$J$14/(($S$40-1)*COUNTIF($Q$41:$Q$52,"L")+$G$30+$G$31))))</f>
        <v>7.3529411764705885E-2</v>
      </c>
      <c r="T42" s="113">
        <f>IF(Q42="S",$T$40*参数调整!$J$11/(($T$40-1)*COUNTIF($Q$41:$Q$52,"S")+$G$22+$G$23),IF(Q42="B",$T$40*参数调整!$J$12/(($T$40-1)*COUNTIF($Q$41:$Q$52,"B")+$G$24+$G$25+$G$26),IF(Q42="Q",$T$40*参数调整!$J$13/(($T$40-1)*COUNTIF($Q$41:$Q$52,"Q")+$G$27+$G$28+$G$29),$T$40*参数调整!$J$14/(($T$40-1)*COUNTIF($Q$41:$Q$52,"L")+$G$30+$G$31))))</f>
        <v>7.3529411764705885E-2</v>
      </c>
      <c r="U42" s="113">
        <f>IF(Q42="S",$U$40*参数调整!$J$11/(($U$40-1)*COUNTIF($Q$41:$Q$52,"S")+$G$22+$G$23),IF(Q42="B",$U$40*参数调整!$J$12/(($U$40-1)*COUNTIF($Q$41:$Q$52,"B")+$G$24+$G$25+$G$26),IF(Q42="Q",$U$40*参数调整!$J$13/(($U$40-1)*COUNTIF($Q$41:$Q$52,"Q")+$G$27+$G$28+$G$29),$U$40*参数调整!$J$14/(($U$40-1)*COUNTIF($Q$41:$Q$52,"L")+$G$30+$G$31))))</f>
        <v>7.3529411764705885E-2</v>
      </c>
      <c r="V42" s="2"/>
      <c r="W42" s="112" t="str">
        <f t="shared" si="14"/>
        <v>B</v>
      </c>
      <c r="X42" s="112">
        <f t="shared" si="15"/>
        <v>1111</v>
      </c>
      <c r="Y42" s="112">
        <f>IF(W42="S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Q",IF(X42=212,30*参数调整!$I$13/($G$27*30+$G$28*31+$G$29*21),IF(X42=1121,31*参数调整!$I$13/($G$27*30+$G$28*31+$G$29*21),21*参数调整!$I$13/($G$27*30+$G$28*31+$G$29*21))),IF(W42="L",IF(MID(X42,2,1)="2",30*参数调整!$I$14/($G$30*30+$G$31*21),21*参数调整!$I$14/($G$30*30+$G$31*21))))))</f>
        <v>0.60296846011131722</v>
      </c>
      <c r="Z42" s="112">
        <f>IF(W42="S",1/($G$22+$G$23)*参数调整!$G$11,IF(W42="B",1/($G$24+$G$25+$G$26)*参数调整!$G$12,IF(W42="Q",1/($G$27+$G$28+$G$29)*参数调整!$G$13,1/($G$30+$G$31)*参数调整!$G$14)))</f>
        <v>0.22058823529411764</v>
      </c>
      <c r="AA42" s="112">
        <f>IF(W42="S",(第一季度!U4-Q4)*参数调整!$K$11/(第一季度!$R$19-($R$18-$J$22*35)),IF(W42="B",(第一季度!U4-Q4)*参数调整!$K$12/(第一季度!$R$20-($R$19-34*$J$22)),IF(W42="Q",(第一季度!U4-Q4)*参数调整!$K$13/(第一季度!$R$21-($R$20-40*$J$22)),IFERROR((第一季度!U4-Q4)*参数调整!$K$14/(第一季度!$R$22-($R$21-$J$22*45)),0))))</f>
        <v>0.1708984375</v>
      </c>
      <c r="AB42" s="112">
        <f>IF(W42="S",Y4*参数调整!$H$11/($V$18*($J$18-1)+Y4),IF(W42="B",Y4*参数调整!$H$12/($V$19*($J$18-1)+Y4),IF(W42="Q",Y4*参数调整!$H$13/($V$20*($J$18-1)+Y4),Y4*参数调整!$H$14/($V$21*($J$18-1)+Y4))))</f>
        <v>1.3014335339302314</v>
      </c>
      <c r="AI42" s="322"/>
      <c r="AJ42" s="294" t="s">
        <v>267</v>
      </c>
      <c r="AK42" s="295"/>
      <c r="AL42" s="295"/>
      <c r="AM42" s="296"/>
      <c r="AN42" s="75">
        <f>AN41*(参数调整!$B$7+参数调整!$B$8+参数调整!$B$9)</f>
        <v>4707.2734800000017</v>
      </c>
      <c r="AO42" s="2"/>
      <c r="AP42" s="2"/>
    </row>
    <row r="43" spans="2:42" ht="13.8" customHeight="1">
      <c r="D43" s="9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30</v>
      </c>
      <c r="E43" s="2">
        <f>第一季度!G8+第一季度!H8+第一季度!E43-第一季度!B8</f>
        <v>0</v>
      </c>
      <c r="F43" s="138">
        <f t="shared" si="11"/>
        <v>0</v>
      </c>
      <c r="Q43" s="113" t="str">
        <f t="shared" si="12"/>
        <v>B</v>
      </c>
      <c r="R43" s="113">
        <f t="shared" si="13"/>
        <v>1121</v>
      </c>
      <c r="S43" s="113">
        <f>IF(Q43="S",$S$40*参数调整!$J$11/(($S$40-1)*COUNTIF($Q$41:$Q$52,"S")+$G$22+$G$23),IF(Q43="B",$S$40*参数调整!$J$12/(($S$40-1)*COUNTIF($Q$41:$Q$52,"B")+$G$24+$G$25+$G$26),IF(Q43="Q",$S$40*参数调整!$J$13/(($S$40-1)*COUNTIF($Q$41:$Q$52,"Q")+$G$27+$G$28+$G$29),$S$40*参数调整!$J$14/(($S$40-1)*COUNTIF($Q$41:$Q$52,"L")+$G$30+$G$31))))</f>
        <v>7.3529411764705885E-2</v>
      </c>
      <c r="T43" s="113">
        <f>IF(Q43="S",$T$40*参数调整!$J$11/(($T$40-1)*COUNTIF($Q$41:$Q$52,"S")+$G$22+$G$23),IF(Q43="B",$T$40*参数调整!$J$12/(($T$40-1)*COUNTIF($Q$41:$Q$52,"B")+$G$24+$G$25+$G$26),IF(Q43="Q",$T$40*参数调整!$J$13/(($T$40-1)*COUNTIF($Q$41:$Q$52,"Q")+$G$27+$G$28+$G$29),$T$40*参数调整!$J$14/(($T$40-1)*COUNTIF($Q$41:$Q$52,"L")+$G$30+$G$31))))</f>
        <v>7.3529411764705885E-2</v>
      </c>
      <c r="U43" s="113">
        <f>IF(Q43="S",$U$40*参数调整!$J$11/(($U$40-1)*COUNTIF($Q$41:$Q$52,"S")+$G$22+$G$23),IF(Q43="B",$U$40*参数调整!$J$12/(($U$40-1)*COUNTIF($Q$41:$Q$52,"B")+$G$24+$G$25+$G$26),IF(Q43="Q",$U$40*参数调整!$J$13/(($U$40-1)*COUNTIF($Q$41:$Q$52,"Q")+$G$27+$G$28+$G$29),$U$40*参数调整!$J$14/(($U$40-1)*COUNTIF($Q$41:$Q$52,"L")+$G$30+$G$31))))</f>
        <v>7.3529411764705885E-2</v>
      </c>
      <c r="V43" s="2"/>
      <c r="W43" s="112" t="str">
        <f t="shared" si="14"/>
        <v>B</v>
      </c>
      <c r="X43" s="112">
        <f t="shared" si="15"/>
        <v>1121</v>
      </c>
      <c r="Y43" s="112">
        <f>IF(W43="S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Q",IF(X43=212,30*参数调整!$I$13/($G$27*30+$G$28*31+$G$29*21),IF(X43=1121,31*参数调整!$I$13/($G$27*30+$G$28*31+$G$29*21),21*参数调整!$I$13/($G$27*30+$G$28*31+$G$29*21))),IF(W43="L",IF(MID(X43,2,1)="2",30*参数调整!$I$14/($G$30*30+$G$31*21),21*参数调整!$I$14/($G$30*30+$G$31*21))))))</f>
        <v>0.60296846011131722</v>
      </c>
      <c r="Z43" s="112">
        <f>IF(W43="S",1/($G$22+$G$23)*参数调整!$G$11,IF(W43="B",1/($G$24+$G$25+$G$26)*参数调整!$G$12,IF(W43="Q",1/($G$27+$G$28+$G$29)*参数调整!$G$13,1/($G$30+$G$31)*参数调整!$G$14)))</f>
        <v>0.22058823529411764</v>
      </c>
      <c r="AA43" s="112">
        <f>IF(W43="S",(第一季度!U5-Q5)*参数调整!$K$11/(第一季度!$R$19-($R$18-$J$22*35)),IF(W43="B",(第一季度!U5-Q5)*参数调整!$K$12/(第一季度!$R$20-($R$19-34*$J$22)),IF(W43="Q",(第一季度!U5-Q5)*参数调整!$K$13/(第一季度!$R$21-($R$20-40*$J$22)),IFERROR((第一季度!U5-Q5)*参数调整!$K$14/(第一季度!$R$22-($R$21-$J$22*45)),0))))</f>
        <v>0</v>
      </c>
      <c r="AB43" s="112">
        <f>IF(W43="S",Y5*参数调整!$H$11/($V$18*($J$18-1)+Y5),IF(W43="B",Y5*参数调整!$H$12/($V$19*($J$18-1)+Y5),IF(W43="Q",Y5*参数调整!$H$13/($V$20*($J$18-1)+Y5),Y5*参数调整!$H$14/($V$21*($J$18-1)+Y5))))</f>
        <v>0</v>
      </c>
      <c r="AI43" s="322"/>
      <c r="AJ43" s="294" t="s">
        <v>268</v>
      </c>
      <c r="AK43" s="295"/>
      <c r="AL43" s="295"/>
      <c r="AM43" s="296"/>
      <c r="AN43" s="75">
        <v>0</v>
      </c>
      <c r="AO43" s="2"/>
      <c r="AP43" s="2"/>
    </row>
    <row r="44" spans="2:42" ht="13.8" customHeight="1">
      <c r="D44" s="9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51</v>
      </c>
      <c r="E44" s="2">
        <f>第一季度!G9+第一季度!H9+第一季度!E44-第一季度!B9</f>
        <v>0</v>
      </c>
      <c r="F44" s="138">
        <f t="shared" si="11"/>
        <v>0</v>
      </c>
      <c r="Q44" s="113" t="str">
        <f t="shared" si="12"/>
        <v>B</v>
      </c>
      <c r="R44" s="113">
        <f t="shared" si="13"/>
        <v>113</v>
      </c>
      <c r="S44" s="113">
        <f>IF(Q44="S",$S$40*参数调整!$J$11/(($S$40-1)*COUNTIF($Q$41:$Q$52,"S")+$G$22+$G$23),IF(Q44="B",$S$40*参数调整!$J$12/(($S$40-1)*COUNTIF($Q$41:$Q$52,"B")+$G$24+$G$25+$G$26),IF(Q44="Q",$S$40*参数调整!$J$13/(($S$40-1)*COUNTIF($Q$41:$Q$52,"Q")+$G$27+$G$28+$G$29),$S$40*参数调整!$J$14/(($S$40-1)*COUNTIF($Q$41:$Q$52,"L")+$G$30+$G$31))))</f>
        <v>7.3529411764705885E-2</v>
      </c>
      <c r="T44" s="113">
        <f>IF(Q44="S",$T$40*参数调整!$J$11/(($T$40-1)*COUNTIF($Q$41:$Q$52,"S")+$G$22+$G$23),IF(Q44="B",$T$40*参数调整!$J$12/(($T$40-1)*COUNTIF($Q$41:$Q$52,"B")+$G$24+$G$25+$G$26),IF(Q44="Q",$T$40*参数调整!$J$13/(($T$40-1)*COUNTIF($Q$41:$Q$52,"Q")+$G$27+$G$28+$G$29),$T$40*参数调整!$J$14/(($T$40-1)*COUNTIF($Q$41:$Q$52,"L")+$G$30+$G$31))))</f>
        <v>7.3529411764705885E-2</v>
      </c>
      <c r="U44" s="113">
        <f>IF(Q44="S",$U$40*参数调整!$J$11/(($U$40-1)*COUNTIF($Q$41:$Q$52,"S")+$G$22+$G$23),IF(Q44="B",$U$40*参数调整!$J$12/(($U$40-1)*COUNTIF($Q$41:$Q$52,"B")+$G$24+$G$25+$G$26),IF(Q44="Q",$U$40*参数调整!$J$13/(($U$40-1)*COUNTIF($Q$41:$Q$52,"Q")+$G$27+$G$28+$G$29),$U$40*参数调整!$J$14/(($U$40-1)*COUNTIF($Q$41:$Q$52,"L")+$G$30+$G$31))))</f>
        <v>7.3529411764705885E-2</v>
      </c>
      <c r="V44" s="2"/>
      <c r="W44" s="112" t="str">
        <f t="shared" si="14"/>
        <v>B</v>
      </c>
      <c r="X44" s="112">
        <f t="shared" si="15"/>
        <v>113</v>
      </c>
      <c r="Y44" s="112">
        <f>IF(W44="S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Q",IF(X44=212,30*参数调整!$I$13/($G$27*30+$G$28*31+$G$29*21),IF(X44=1121,31*参数调整!$I$13/($G$27*30+$G$28*31+$G$29*21),21*参数调整!$I$13/($G$27*30+$G$28*31+$G$29*21))),IF(W44="L",IF(MID(X44,2,1)="2",30*参数调整!$I$14/($G$30*30+$G$31*21),21*参数调整!$I$14/($G$30*30+$G$31*21))))))</f>
        <v>0.5565862708719852</v>
      </c>
      <c r="Z44" s="112">
        <f>IF(W44="S",1/($G$22+$G$23)*参数调整!$G$11,IF(W44="B",1/($G$24+$G$25+$G$26)*参数调整!$G$12,IF(W44="Q",1/($G$27+$G$28+$G$29)*参数调整!$G$13,1/($G$30+$G$31)*参数调整!$G$14)))</f>
        <v>0.22058823529411764</v>
      </c>
      <c r="AA44" s="112">
        <f>IF(W44="S",(第一季度!U6-Q6)*参数调整!$K$11/(第一季度!$R$19-($R$18-$J$22*35)),IF(W44="B",(第一季度!U6-Q6)*参数调整!$K$12/(第一季度!$R$20-($R$19-34*$J$22)),IF(W44="Q",(第一季度!U6-Q6)*参数调整!$K$13/(第一季度!$R$21-($R$20-40*$J$22)),IFERROR((第一季度!U6-Q6)*参数调整!$K$14/(第一季度!$R$22-($R$21-$J$22*45)),0))))</f>
        <v>0</v>
      </c>
      <c r="AB44" s="112">
        <f>IF(W44="S",Y6*参数调整!$H$11/($V$18*($J$18-1)+Y6),IF(W44="B",Y6*参数调整!$H$12/($V$19*($J$18-1)+Y6),IF(W44="Q",Y6*参数调整!$H$13/($V$20*($J$18-1)+Y6),Y6*参数调整!$H$14/($V$21*($J$18-1)+Y6))))</f>
        <v>0</v>
      </c>
      <c r="AI44" s="323"/>
      <c r="AJ44" s="294" t="s">
        <v>260</v>
      </c>
      <c r="AK44" s="295"/>
      <c r="AL44" s="295"/>
      <c r="AM44" s="296"/>
      <c r="AN44" s="98">
        <f>AN36+AN37-SUM(AN38:AN43)</f>
        <v>104725.19251999998</v>
      </c>
      <c r="AO44" s="2"/>
      <c r="AP44" s="2"/>
    </row>
    <row r="45" spans="2:42">
      <c r="D45" s="9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2">
        <f>第一季度!G10+第一季度!H10+第一季度!E45-第一季度!B10</f>
        <v>0</v>
      </c>
      <c r="F45" s="138">
        <f t="shared" si="11"/>
        <v>0</v>
      </c>
      <c r="Q45" s="113" t="str">
        <f t="shared" si="12"/>
        <v>Q</v>
      </c>
      <c r="R45" s="113">
        <f t="shared" si="13"/>
        <v>212</v>
      </c>
      <c r="S45" s="113">
        <f>IF(Q45="S",$S$40*参数调整!$J$11/(($S$40-1)*COUNTIF($Q$41:$Q$52,"S")+$G$22+$G$23),IF(Q45="B",$S$40*参数调整!$J$12/(($S$40-1)*COUNTIF($Q$41:$Q$52,"B")+$G$24+$G$25+$G$26),IF(Q45="Q",$S$40*参数调整!$J$13/(($S$40-1)*COUNTIF($Q$41:$Q$52,"Q")+$G$27+$G$28+$G$29),$S$40*参数调整!$J$14/(($S$40-1)*COUNTIF($Q$41:$Q$52,"L")+$G$30+$G$31))))</f>
        <v>6.8493150684931503E-2</v>
      </c>
      <c r="T45" s="113">
        <f>IF(Q45="S",$T$40*参数调整!$J$11/(($T$40-1)*COUNTIF($Q$41:$Q$52,"S")+$G$22+$G$23),IF(Q45="B",$T$40*参数调整!$J$12/(($T$40-1)*COUNTIF($Q$41:$Q$52,"B")+$G$24+$G$25+$G$26),IF(Q45="Q",$T$40*参数调整!$J$13/(($T$40-1)*COUNTIF($Q$41:$Q$52,"Q")+$G$27+$G$28+$G$29),$T$40*参数调整!$J$14/(($T$40-1)*COUNTIF($Q$41:$Q$52,"L")+$G$30+$G$31))))</f>
        <v>6.8493150684931503E-2</v>
      </c>
      <c r="U45" s="113">
        <f>IF(Q45="S",$U$40*参数调整!$J$11/(($U$40-1)*COUNTIF($Q$41:$Q$52,"S")+$G$22+$G$23),IF(Q45="B",$U$40*参数调整!$J$12/(($U$40-1)*COUNTIF($Q$41:$Q$52,"B")+$G$24+$G$25+$G$26),IF(Q45="Q",$U$40*参数调整!$J$13/(($U$40-1)*COUNTIF($Q$41:$Q$52,"Q")+$G$27+$G$28+$G$29),$U$40*参数调整!$J$14/(($U$40-1)*COUNTIF($Q$41:$Q$52,"L")+$G$30+$G$31))))</f>
        <v>6.8493150684931503E-2</v>
      </c>
      <c r="V45" s="2"/>
      <c r="W45" s="112" t="str">
        <f t="shared" si="14"/>
        <v>Q</v>
      </c>
      <c r="X45" s="112">
        <f t="shared" si="15"/>
        <v>212</v>
      </c>
      <c r="Y45" s="112">
        <f>IF(W45="S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Q",IF(X45=212,30*参数调整!$I$13/($G$27*30+$G$28*31+$G$29*21),IF(X45=1121,31*参数调整!$I$13/($G$27*30+$G$28*31+$G$29*21),21*参数调整!$I$13/($G$27*30+$G$28*31+$G$29*21))),IF(W45="L",IF(MID(X45,2,1)="2",30*参数调整!$I$14/($G$30*30+$G$31*21),21*参数调整!$I$14/($G$30*30+$G$31*21))))))</f>
        <v>0.5631159080244017</v>
      </c>
      <c r="Z45" s="112">
        <f>IF(W45="S",1/($G$22+$G$23)*参数调整!$G$11,IF(W45="B",1/($G$24+$G$25+$G$26)*参数调整!$G$12,IF(W45="Q",1/($G$27+$G$28+$G$29)*参数调整!$G$13,1/($G$30+$G$31)*参数调整!$G$14)))</f>
        <v>0.34246575342465752</v>
      </c>
      <c r="AA45" s="112">
        <f>IF(W45="S",(第一季度!U7-Q7)*参数调整!$K$11/(第一季度!$R$19-($R$18-$J$22*35)),IF(W45="B",(第一季度!U7-Q7)*参数调整!$K$12/(第一季度!$R$20-($R$19-34*$J$22)),IF(W45="Q",(第一季度!U7-Q7)*参数调整!$K$13/(第一季度!$R$21-($R$20-40*$J$22)),IFERROR((第一季度!U7-Q7)*参数调整!$K$14/(第一季度!$R$22-($R$21-$J$22*45)),0))))</f>
        <v>0.35416666666666669</v>
      </c>
      <c r="AB45" s="112">
        <f>IF(W45="S",Y7*参数调整!$H$11/($V$18*($J$18-1)+Y7),IF(W45="B",Y7*参数调整!$H$12/($V$19*($J$18-1)+Y7),IF(W45="Q",Y7*参数调整!$H$13/($V$20*($J$18-1)+Y7),Y7*参数调整!$H$14/($V$21*($J$18-1)+Y7))))</f>
        <v>0</v>
      </c>
    </row>
    <row r="46" spans="2:42">
      <c r="D46" s="9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2">
        <f>第一季度!G11+第一季度!H11+第一季度!E46-第一季度!B11</f>
        <v>0</v>
      </c>
      <c r="F46" s="138">
        <f t="shared" si="11"/>
        <v>0</v>
      </c>
      <c r="Q46" s="113" t="str">
        <f t="shared" si="12"/>
        <v>Q</v>
      </c>
      <c r="R46" s="113">
        <f t="shared" si="13"/>
        <v>1121</v>
      </c>
      <c r="S46" s="113">
        <f>IF(Q46="S",$S$40*参数调整!$J$11/(($S$40-1)*COUNTIF($Q$41:$Q$52,"S")+$G$22+$G$23),IF(Q46="B",$S$40*参数调整!$J$12/(($S$40-1)*COUNTIF($Q$41:$Q$52,"B")+$G$24+$G$25+$G$26),IF(Q46="Q",$S$40*参数调整!$J$13/(($S$40-1)*COUNTIF($Q$41:$Q$52,"Q")+$G$27+$G$28+$G$29),$S$40*参数调整!$J$14/(($S$40-1)*COUNTIF($Q$41:$Q$52,"L")+$G$30+$G$31))))</f>
        <v>6.8493150684931503E-2</v>
      </c>
      <c r="T46" s="113">
        <f>IF(Q46="S",$T$40*参数调整!$J$11/(($T$40-1)*COUNTIF($Q$41:$Q$52,"S")+$G$22+$G$23),IF(Q46="B",$T$40*参数调整!$J$12/(($T$40-1)*COUNTIF($Q$41:$Q$52,"B")+$G$24+$G$25+$G$26),IF(Q46="Q",$T$40*参数调整!$J$13/(($T$40-1)*COUNTIF($Q$41:$Q$52,"Q")+$G$27+$G$28+$G$29),$T$40*参数调整!$J$14/(($T$40-1)*COUNTIF($Q$41:$Q$52,"L")+$G$30+$G$31))))</f>
        <v>6.8493150684931503E-2</v>
      </c>
      <c r="U46" s="113">
        <f>IF(Q46="S",$U$40*参数调整!$J$11/(($U$40-1)*COUNTIF($Q$41:$Q$52,"S")+$G$22+$G$23),IF(Q46="B",$U$40*参数调整!$J$12/(($U$40-1)*COUNTIF($Q$41:$Q$52,"B")+$G$24+$G$25+$G$26),IF(Q46="Q",$U$40*参数调整!$J$13/(($U$40-1)*COUNTIF($Q$41:$Q$52,"Q")+$G$27+$G$28+$G$29),$U$40*参数调整!$J$14/(($U$40-1)*COUNTIF($Q$41:$Q$52,"L")+$G$30+$G$31))))</f>
        <v>6.8493150684931503E-2</v>
      </c>
      <c r="V46" s="2"/>
      <c r="W46" s="112" t="str">
        <f t="shared" si="14"/>
        <v>Q</v>
      </c>
      <c r="X46" s="112">
        <f t="shared" si="15"/>
        <v>1121</v>
      </c>
      <c r="Y46" s="112">
        <f>IF(W46="S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Q",IF(X46=212,30*参数调整!$I$13/($G$27*30+$G$28*31+$G$29*21),IF(X46=1121,31*参数调整!$I$13/($G$27*30+$G$28*31+$G$29*21),21*参数调整!$I$13/($G$27*30+$G$28*31+$G$29*21))),IF(W46="L",IF(MID(X46,2,1)="2",30*参数调整!$I$14/($G$30*30+$G$31*21),21*参数调整!$I$14/($G$30*30+$G$31*21))))))</f>
        <v>0.58188643829188169</v>
      </c>
      <c r="Z46" s="112">
        <f>IF(W46="S",1/($G$22+$G$23)*参数调整!$G$11,IF(W46="B",1/($G$24+$G$25+$G$26)*参数调整!$G$12,IF(W46="Q",1/($G$27+$G$28+$G$29)*参数调整!$G$13,1/($G$30+$G$31)*参数调整!$G$14)))</f>
        <v>0.34246575342465752</v>
      </c>
      <c r="AA46" s="112">
        <f>IF(W46="S",(第一季度!U8-Q8)*参数调整!$K$11/(第一季度!$R$19-($R$18-$J$22*35)),IF(W46="B",(第一季度!U8-Q8)*参数调整!$K$12/(第一季度!$R$20-($R$19-34*$J$22)),IF(W46="Q",(第一季度!U8-Q8)*参数调整!$K$13/(第一季度!$R$21-($R$20-40*$J$22)),IFERROR((第一季度!U8-Q8)*参数调整!$K$14/(第一季度!$R$22-($R$21-$J$22*45)),0))))</f>
        <v>0.35416666666666669</v>
      </c>
      <c r="AB46" s="112">
        <f>IF(W46="S",Y8*参数调整!$H$11/($V$18*($J$18-1)+Y8),IF(W46="B",Y8*参数调整!$H$12/($V$19*($J$18-1)+Y8),IF(W46="Q",Y8*参数调整!$H$13/($V$20*($J$18-1)+Y8),Y8*参数调整!$H$14/($V$21*($J$18-1)+Y8))))</f>
        <v>0</v>
      </c>
    </row>
    <row r="47" spans="2:42">
      <c r="D47" s="9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155</v>
      </c>
      <c r="E47" s="2">
        <f>第一季度!G12+第一季度!H12+第一季度!E47-第一季度!B12</f>
        <v>0</v>
      </c>
      <c r="F47" s="138">
        <f t="shared" si="11"/>
        <v>0</v>
      </c>
      <c r="Q47" s="113" t="str">
        <f t="shared" si="12"/>
        <v>Q</v>
      </c>
      <c r="R47" s="113">
        <f t="shared" si="13"/>
        <v>112</v>
      </c>
      <c r="S47" s="113">
        <f>IF(Q47="S",$S$40*参数调整!$J$11/(($S$40-1)*COUNTIF($Q$41:$Q$52,"S")+$G$22+$G$23),IF(Q47="B",$S$40*参数调整!$J$12/(($S$40-1)*COUNTIF($Q$41:$Q$52,"B")+$G$24+$G$25+$G$26),IF(Q47="Q",$S$40*参数调整!$J$13/(($S$40-1)*COUNTIF($Q$41:$Q$52,"Q")+$G$27+$G$28+$G$29),$S$40*参数调整!$J$14/(($S$40-1)*COUNTIF($Q$41:$Q$52,"L")+$G$30+$G$31))))</f>
        <v>6.8493150684931503E-2</v>
      </c>
      <c r="T47" s="113">
        <f>IF(Q47="S",$T$40*参数调整!$J$11/(($T$40-1)*COUNTIF($Q$41:$Q$52,"S")+$G$22+$G$23),IF(Q47="B",$T$40*参数调整!$J$12/(($T$40-1)*COUNTIF($Q$41:$Q$52,"B")+$G$24+$G$25+$G$26),IF(Q47="Q",$T$40*参数调整!$J$13/(($T$40-1)*COUNTIF($Q$41:$Q$52,"Q")+$G$27+$G$28+$G$29),$T$40*参数调整!$J$14/(($T$40-1)*COUNTIF($Q$41:$Q$52,"L")+$G$30+$G$31))))</f>
        <v>6.8493150684931503E-2</v>
      </c>
      <c r="U47" s="113">
        <f>IF(Q47="S",$U$40*参数调整!$J$11/(($U$40-1)*COUNTIF($Q$41:$Q$52,"S")+$G$22+$G$23),IF(Q47="B",$U$40*参数调整!$J$12/(($U$40-1)*COUNTIF($Q$41:$Q$52,"B")+$G$24+$G$25+$G$26),IF(Q47="Q",$U$40*参数调整!$J$13/(($U$40-1)*COUNTIF($Q$41:$Q$52,"Q")+$G$27+$G$28+$G$29),$U$40*参数调整!$J$14/(($U$40-1)*COUNTIF($Q$41:$Q$52,"L")+$G$30+$G$31))))</f>
        <v>6.8493150684931503E-2</v>
      </c>
      <c r="V47" s="2"/>
      <c r="W47" s="112" t="str">
        <f t="shared" si="14"/>
        <v>Q</v>
      </c>
      <c r="X47" s="112">
        <f t="shared" si="15"/>
        <v>112</v>
      </c>
      <c r="Y47" s="112">
        <f>IF(W47="S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Q",IF(X47=212,30*参数调整!$I$13/($G$27*30+$G$28*31+$G$29*21),IF(X47=1121,31*参数调整!$I$13/($G$27*30+$G$28*31+$G$29*21),21*参数调整!$I$13/($G$27*30+$G$28*31+$G$29*21))),IF(W47="L",IF(MID(X47,2,1)="2",30*参数调整!$I$14/($G$30*30+$G$31*21),21*参数调整!$I$14/($G$30*30+$G$31*21))))))</f>
        <v>0.39418113561708118</v>
      </c>
      <c r="Z47" s="112">
        <f>IF(W47="S",1/($G$22+$G$23)*参数调整!$G$11,IF(W47="B",1/($G$24+$G$25+$G$26)*参数调整!$G$12,IF(W47="Q",1/($G$27+$G$28+$G$29)*参数调整!$G$13,1/($G$30+$G$31)*参数调整!$G$14)))</f>
        <v>0.34246575342465752</v>
      </c>
      <c r="AA47" s="112">
        <f>IF(W47="S",(第一季度!U9-Q9)*参数调整!$K$11/(第一季度!$R$19-($R$18-$J$22*35)),IF(W47="B",(第一季度!U9-Q9)*参数调整!$K$12/(第一季度!$R$20-($R$19-34*$J$22)),IF(W47="Q",(第一季度!U9-Q9)*参数调整!$K$13/(第一季度!$R$21-($R$20-40*$J$22)),IFERROR((第一季度!U9-Q9)*参数调整!$K$14/(第一季度!$R$22-($R$21-$J$22*45)),0))))</f>
        <v>0.5625</v>
      </c>
      <c r="AB47" s="112">
        <f>IF(W47="S",Y9*参数调整!$H$11/($V$18*($J$18-1)+Y9),IF(W47="B",Y9*参数调整!$H$12/($V$19*($J$18-1)+Y9),IF(W47="Q",Y9*参数调整!$H$13/($V$20*($J$18-1)+Y9),Y9*参数调整!$H$14/($V$21*($J$18-1)+Y9))))</f>
        <v>1.0644929273555503</v>
      </c>
    </row>
    <row r="48" spans="2:42">
      <c r="D48" s="9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45.599999999999994</v>
      </c>
      <c r="E48" s="2">
        <f>第一季度!G13+第一季度!H13+第一季度!E48-第一季度!B13</f>
        <v>156</v>
      </c>
      <c r="F48" s="138">
        <f t="shared" si="11"/>
        <v>0</v>
      </c>
      <c r="Q48" s="113" t="str">
        <f t="shared" si="12"/>
        <v>L</v>
      </c>
      <c r="R48" s="113">
        <f t="shared" si="13"/>
        <v>121</v>
      </c>
      <c r="S48" s="113">
        <f>IF(Q48="S",$S$40*参数调整!$J$11/(($S$40-1)*COUNTIF($Q$41:$Q$52,"S")+$G$22+$G$23),IF(Q48="B",$S$40*参数调整!$J$12/(($S$40-1)*COUNTIF($Q$41:$Q$52,"B")+$G$24+$G$25+$G$26),IF(Q48="Q",$S$40*参数调整!$J$13/(($S$40-1)*COUNTIF($Q$41:$Q$52,"Q")+$G$27+$G$28+$G$29),$S$40*参数调整!$J$14/(($S$40-1)*COUNTIF($Q$41:$Q$52,"L")+$G$30+$G$31))))</f>
        <v>0.16393442622950818</v>
      </c>
      <c r="T48" s="113">
        <f>IF(Q48="S",$T$40*参数调整!$J$11/(($T$40-1)*COUNTIF($Q$41:$Q$52,"S")+$G$22+$G$23),IF(Q48="B",$T$40*参数调整!$J$12/(($T$40-1)*COUNTIF($Q$41:$Q$52,"B")+$G$24+$G$25+$G$26),IF(Q48="Q",$T$40*参数调整!$J$13/(($T$40-1)*COUNTIF($Q$41:$Q$52,"Q")+$G$27+$G$28+$G$29),$T$40*参数调整!$J$14/(($T$40-1)*COUNTIF($Q$41:$Q$52,"L")+$G$30+$G$31))))</f>
        <v>0.16393442622950818</v>
      </c>
      <c r="U48" s="113">
        <f>IF(Q48="S",$U$40*参数调整!$J$11/(($U$40-1)*COUNTIF($Q$41:$Q$52,"S")+$G$22+$G$23),IF(Q48="B",$U$40*参数调整!$J$12/(($U$40-1)*COUNTIF($Q$41:$Q$52,"B")+$G$24+$G$25+$G$26),IF(Q48="Q",$U$40*参数调整!$J$13/(($U$40-1)*COUNTIF($Q$41:$Q$52,"Q")+$G$27+$G$28+$G$29),$U$40*参数调整!$J$14/(($U$40-1)*COUNTIF($Q$41:$Q$52,"L")+$G$30+$G$31))))</f>
        <v>0.16393442622950818</v>
      </c>
      <c r="V48" s="1"/>
      <c r="W48" s="112" t="str">
        <f t="shared" si="14"/>
        <v>L</v>
      </c>
      <c r="X48" s="112">
        <f t="shared" si="15"/>
        <v>121</v>
      </c>
      <c r="Y48" s="112">
        <f>IF(W48="S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Q",IF(X48=212,30*参数调整!$I$13/($G$27*30+$G$28*31+$G$29*21),IF(X48=1121,31*参数调整!$I$13/($G$27*30+$G$28*31+$G$29*21),21*参数调整!$I$13/($G$27*30+$G$28*31+$G$29*21))),IF(W48="L",IF(MID(X48,2,1)="2",30*参数调整!$I$14/($G$30*30+$G$31*21),21*参数调整!$I$14/($G$30*30+$G$31*21))))))</f>
        <v>0.50167224080267558</v>
      </c>
      <c r="Z48" s="112">
        <f>IF(W48="S",1/($G$22+$G$23)*参数调整!$G$11,IF(W48="B",1/($G$24+$G$25+$G$26)*参数调整!$G$12,IF(W48="Q",1/($G$27+$G$28+$G$29)*参数调整!$G$13,1/($G$30+$G$31)*参数调整!$G$14)))</f>
        <v>0.81967213114754101</v>
      </c>
      <c r="AA48" s="112">
        <f>IF(W48="S",(第一季度!U10-Q10)*参数调整!$K$11/(第一季度!$R$19-($R$18-$J$22*35)),IF(W48="B",(第一季度!U10-Q10)*参数调整!$K$12/(第一季度!$R$20-($R$19-34*$J$22)),IF(W48="Q",(第一季度!U10-Q10)*参数调整!$K$13/(第一季度!$R$21-($R$20-40*$J$22)),IFERROR((第一季度!U10-Q10)*参数调整!$K$14/(第一季度!$R$22-($R$21-$J$22*45)),0))))</f>
        <v>0</v>
      </c>
      <c r="AB48" s="112">
        <f>IF(W48="S",Y10*参数调整!$H$11/($V$18*($J$18-1)+Y10),IF(W48="B",Y10*参数调整!$H$12/($V$19*($J$18-1)+Y10),IF(W48="Q",Y10*参数调整!$H$13/($V$20*($J$18-1)+Y10),Y10*参数调整!$H$14/($V$21*($J$18-1)+Y10))))</f>
        <v>0</v>
      </c>
    </row>
    <row r="49" spans="4:28">
      <c r="D49" s="9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2">
        <f>第一季度!G14+第一季度!H14+第一季度!E49-第一季度!B14</f>
        <v>0</v>
      </c>
      <c r="F49" s="138">
        <f t="shared" si="11"/>
        <v>0</v>
      </c>
      <c r="Q49" s="113">
        <f t="shared" si="12"/>
        <v>0</v>
      </c>
      <c r="R49" s="113">
        <f t="shared" si="13"/>
        <v>0</v>
      </c>
      <c r="S49" s="113">
        <f>IF(Q49="S",$S$40*参数调整!$J$11/(($S$40-1)*COUNTIF($Q$41:$Q$52,"S")+$G$22+$G$23),IF(Q49="B",$S$40*参数调整!$J$12/(($S$40-1)*COUNTIF($Q$41:$Q$52,"B")+$G$24+$G$25+$G$26),IF(Q49="Q",$S$40*参数调整!$J$13/(($S$40-1)*COUNTIF($Q$41:$Q$52,"Q")+$G$27+$G$28+$G$29),$S$40*参数调整!$J$14/(($S$40-1)*COUNTIF($Q$41:$Q$52,"L")+$G$30+$G$31))))</f>
        <v>0.16393442622950818</v>
      </c>
      <c r="T49" s="113">
        <f>IF(Q49="S",$T$40*参数调整!$J$11/(($T$40-1)*COUNTIF($Q$41:$Q$52,"S")+$G$22+$G$23),IF(Q49="B",$T$40*参数调整!$J$12/(($T$40-1)*COUNTIF($Q$41:$Q$52,"B")+$G$24+$G$25+$G$26),IF(Q49="Q",$T$40*参数调整!$J$13/(($T$40-1)*COUNTIF($Q$41:$Q$52,"Q")+$G$27+$G$28+$G$29),$T$40*参数调整!$J$14/(($T$40-1)*COUNTIF($Q$41:$Q$52,"L")+$G$30+$G$31))))</f>
        <v>0.16393442622950818</v>
      </c>
      <c r="U49" s="113">
        <f>IF(Q49="S",$U$40*参数调整!$J$11/(($U$40-1)*COUNTIF($Q$41:$Q$52,"S")+$G$22+$G$23),IF(Q49="B",$U$40*参数调整!$J$12/(($U$40-1)*COUNTIF($Q$41:$Q$52,"B")+$G$24+$G$25+$G$26),IF(Q49="Q",$U$40*参数调整!$J$13/(($U$40-1)*COUNTIF($Q$41:$Q$52,"Q")+$G$27+$G$28+$G$29),$U$40*参数调整!$J$14/(($U$40-1)*COUNTIF($Q$41:$Q$52,"L")+$G$30+$G$31))))</f>
        <v>0.16393442622950818</v>
      </c>
      <c r="V49" s="1"/>
      <c r="W49" s="112">
        <f t="shared" si="14"/>
        <v>0</v>
      </c>
      <c r="X49" s="112">
        <f t="shared" si="15"/>
        <v>0</v>
      </c>
      <c r="Y49" s="112" t="b">
        <f>IF(W49="S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Q",IF(X49=212,30*参数调整!$I$13/($G$27*30+$G$28*31+$G$29*21),IF(X49=1121,31*参数调整!$I$13/($G$27*30+$G$28*31+$G$29*21),21*参数调整!$I$13/($G$27*30+$G$28*31+$G$29*21))),IF(W49="L",IF(MID(X49,2,1)="2",30*参数调整!$I$14/($G$30*30+$G$31*21),21*参数调整!$I$14/($G$30*30+$G$31*21))))))</f>
        <v>0</v>
      </c>
      <c r="Z49" s="112">
        <f>IF(W49="S",1/($G$22+$G$23)*参数调整!$G$11,IF(W49="B",1/($G$24+$G$25+$G$26)*参数调整!$G$12,IF(W49="Q",1/($G$27+$G$28+$G$29)*参数调整!$G$13,1/($G$30+$G$31)*参数调整!$G$14)))</f>
        <v>0.81967213114754101</v>
      </c>
      <c r="AA49" s="112">
        <f>IF(W49="S",(第一季度!U11-Q11)*参数调整!$K$11/(第一季度!$R$19-($R$18-$J$22*35)),IF(W49="B",(第一季度!U11-Q11)*参数调整!$K$12/(第一季度!$R$20-($R$19-34*$J$22)),IF(W49="Q",(第一季度!U11-Q11)*参数调整!$K$13/(第一季度!$R$21-($R$20-40*$J$22)),IFERROR((第一季度!U11-Q11)*参数调整!$K$14/(第一季度!$R$22-($R$21-$J$22*45)),0))))</f>
        <v>0</v>
      </c>
      <c r="AB49" s="112">
        <f>IF(W49="S",Y11*参数调整!$H$11/($V$18*($J$18-1)+Y11),IF(W49="B",Y11*参数调整!$H$12/($V$19*($J$18-1)+Y11),IF(W49="Q",Y11*参数调整!$H$13/($V$20*($J$18-1)+Y11),Y11*参数调整!$H$14/($V$21*($J$18-1)+Y11))))</f>
        <v>0</v>
      </c>
    </row>
    <row r="50" spans="4:28">
      <c r="D50" s="9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第一季度!G15+第一季度!H15+第一季度!E50-第一季度!B15</f>
        <v>0</v>
      </c>
      <c r="F50" s="138">
        <f t="shared" si="11"/>
        <v>0</v>
      </c>
      <c r="Q50" s="113">
        <f t="shared" si="12"/>
        <v>0</v>
      </c>
      <c r="R50" s="113">
        <f t="shared" si="13"/>
        <v>0</v>
      </c>
      <c r="S50" s="113">
        <f>IF(Q50="S",$S$40*参数调整!$J$11/(($S$40-1)*COUNTIF($Q$41:$Q$52,"S")+$G$22+$G$23),IF(Q50="B",$S$40*参数调整!$J$12/(($S$40-1)*COUNTIF($Q$41:$Q$52,"B")+$G$24+$G$25+$G$26),IF(Q50="Q",$S$40*参数调整!$J$13/(($S$40-1)*COUNTIF($Q$41:$Q$52,"Q")+$G$27+$G$28+$G$29),$S$40*参数调整!$J$14/(($S$40-1)*COUNTIF($Q$41:$Q$52,"L")+$G$30+$G$31))))</f>
        <v>0.16393442622950818</v>
      </c>
      <c r="T50" s="113">
        <f>IF(Q50="S",$T$40*参数调整!$J$11/(($T$40-1)*COUNTIF($Q$41:$Q$52,"S")+$G$22+$G$23),IF(Q50="B",$T$40*参数调整!$J$12/(($T$40-1)*COUNTIF($Q$41:$Q$52,"B")+$G$24+$G$25+$G$26),IF(Q50="Q",$T$40*参数调整!$J$13/(($T$40-1)*COUNTIF($Q$41:$Q$52,"Q")+$G$27+$G$28+$G$29),$T$40*参数调整!$J$14/(($T$40-1)*COUNTIF($Q$41:$Q$52,"L")+$G$30+$G$31))))</f>
        <v>0.16393442622950818</v>
      </c>
      <c r="U50" s="113">
        <f>IF(Q50="S",$U$40*参数调整!$J$11/(($U$40-1)*COUNTIF($Q$41:$Q$52,"S")+$G$22+$G$23),IF(Q50="B",$U$40*参数调整!$J$12/(($U$40-1)*COUNTIF($Q$41:$Q$52,"B")+$G$24+$G$25+$G$26),IF(Q50="Q",$U$40*参数调整!$J$13/(($U$40-1)*COUNTIF($Q$41:$Q$52,"Q")+$G$27+$G$28+$G$29),$U$40*参数调整!$J$14/(($U$40-1)*COUNTIF($Q$41:$Q$52,"L")+$G$30+$G$31))))</f>
        <v>0.16393442622950818</v>
      </c>
      <c r="V50" s="1"/>
      <c r="W50" s="112">
        <f t="shared" si="14"/>
        <v>0</v>
      </c>
      <c r="X50" s="112">
        <f t="shared" si="15"/>
        <v>0</v>
      </c>
      <c r="Y50" s="112" t="b">
        <f>IF(W50="S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Q",IF(X50=212,30*参数调整!$I$13/($G$27*30+$G$28*31+$G$29*21),IF(X50=1121,31*参数调整!$I$13/($G$27*30+$G$28*31+$G$29*21),21*参数调整!$I$13/($G$27*30+$G$28*31+$G$29*21))),IF(W50="L",IF(MID(X50,2,1)="2",30*参数调整!$I$14/($G$30*30+$G$31*21),21*参数调整!$I$14/($G$30*30+$G$31*21))))))</f>
        <v>0</v>
      </c>
      <c r="Z50" s="112">
        <f>IF(W50="S",1/($G$22+$G$23)*参数调整!$G$11,IF(W50="B",1/($G$24+$G$25+$G$26)*参数调整!$G$12,IF(W50="Q",1/($G$27+$G$28+$G$29)*参数调整!$G$13,1/($G$30+$G$31)*参数调整!$G$14)))</f>
        <v>0.81967213114754101</v>
      </c>
      <c r="AA50" s="112">
        <f>IF(W50="S",(第一季度!U12-Q12)*参数调整!$K$11/(第一季度!$R$19-($R$18-$J$22*35)),IF(W50="B",(第一季度!U12-Q12)*参数调整!$K$12/(第一季度!$R$20-($R$19-34*$J$22)),IF(W50="Q",(第一季度!U12-Q12)*参数调整!$K$13/(第一季度!$R$21-($R$20-40*$J$22)),IFERROR((第一季度!U12-Q12)*参数调整!$K$14/(第一季度!$R$22-($R$21-$J$22*45)),0))))</f>
        <v>0</v>
      </c>
      <c r="AB50" s="112">
        <f>IF(W50="S",Y12*参数调整!$H$11/($V$18*($J$18-1)+Y12),IF(W50="B",Y12*参数调整!$H$12/($V$19*($J$18-1)+Y12),IF(W50="Q",Y12*参数调整!$H$13/($V$20*($J$18-1)+Y12),Y12*参数调整!$H$14/($V$21*($J$18-1)+Y12))))</f>
        <v>0</v>
      </c>
    </row>
    <row r="51" spans="4:28">
      <c r="D51" s="9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82</v>
      </c>
      <c r="E51" s="2">
        <f>第一季度!G16+第一季度!H16+第一季度!E51-第一季度!B16</f>
        <v>0</v>
      </c>
      <c r="F51" s="138">
        <f t="shared" si="11"/>
        <v>0</v>
      </c>
      <c r="Q51" s="113">
        <f t="shared" si="12"/>
        <v>0</v>
      </c>
      <c r="R51" s="113">
        <f t="shared" si="13"/>
        <v>0</v>
      </c>
      <c r="S51" s="113">
        <f>IF(Q51="S",$S$40*参数调整!$J$11/(($S$40-1)*COUNTIF($Q$41:$Q$52,"S")+$G$22+$G$23),IF(Q51="B",$S$40*参数调整!$J$12/(($S$40-1)*COUNTIF($Q$41:$Q$52,"B")+$G$24+$G$25+$G$26),IF(Q51="Q",$S$40*参数调整!$J$13/(($S$40-1)*COUNTIF($Q$41:$Q$52,"Q")+$G$27+$G$28+$G$29),$S$40*参数调整!$J$14/(($S$40-1)*COUNTIF($Q$41:$Q$52,"L")+$G$30+$G$31))))</f>
        <v>0.16393442622950818</v>
      </c>
      <c r="T51" s="113">
        <f>IF(Q51="S",$T$40*参数调整!$J$11/(($T$40-1)*COUNTIF($Q$41:$Q$52,"S")+$G$22+$G$23),IF(Q51="B",$T$40*参数调整!$J$12/(($T$40-1)*COUNTIF($Q$41:$Q$52,"B")+$G$24+$G$25+$G$26),IF(Q51="Q",$T$40*参数调整!$J$13/(($T$40-1)*COUNTIF($Q$41:$Q$52,"Q")+$G$27+$G$28+$G$29),$T$40*参数调整!$J$14/(($T$40-1)*COUNTIF($Q$41:$Q$52,"L")+$G$30+$G$31))))</f>
        <v>0.16393442622950818</v>
      </c>
      <c r="U51" s="113">
        <f>IF(Q51="S",$U$40*参数调整!$J$11/(($U$40-1)*COUNTIF($Q$41:$Q$52,"S")+$G$22+$G$23),IF(Q51="B",$U$40*参数调整!$J$12/(($U$40-1)*COUNTIF($Q$41:$Q$52,"B")+$G$24+$G$25+$G$26),IF(Q51="Q",$U$40*参数调整!$J$13/(($U$40-1)*COUNTIF($Q$41:$Q$52,"Q")+$G$27+$G$28+$G$29),$U$40*参数调整!$J$14/(($U$40-1)*COUNTIF($Q$41:$Q$52,"L")+$G$30+$G$31))))</f>
        <v>0.16393442622950818</v>
      </c>
      <c r="W51" s="112">
        <f t="shared" si="14"/>
        <v>0</v>
      </c>
      <c r="X51" s="112">
        <f t="shared" si="15"/>
        <v>0</v>
      </c>
      <c r="Y51" s="112" t="b">
        <f>IF(W51="S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Q",IF(X51=212,30*参数调整!$I$13/($G$27*30+$G$28*31+$G$29*21),IF(X51=1121,31*参数调整!$I$13/($G$27*30+$G$28*31+$G$29*21),21*参数调整!$I$13/($G$27*30+$G$28*31+$G$29*21))),IF(W51="L",IF(MID(X51,2,1)="2",30*参数调整!$I$14/($G$30*30+$G$31*21),21*参数调整!$I$14/($G$30*30+$G$31*21))))))</f>
        <v>0</v>
      </c>
      <c r="Z51" s="112">
        <f>IF(W51="S",1/($G$22+$G$23)*参数调整!$G$11,IF(W51="B",1/($G$24+$G$25+$G$26)*参数调整!$G$12,IF(W51="Q",1/($G$27+$G$28+$G$29)*参数调整!$G$13,1/($G$30+$G$31)*参数调整!$G$14)))</f>
        <v>0.81967213114754101</v>
      </c>
      <c r="AA51" s="112">
        <f>IF(W51="S",(第一季度!U13-Q13)*参数调整!$K$11/(第一季度!$R$19-($R$18-$J$22*35)),IF(W51="B",(第一季度!U13-Q13)*参数调整!$K$12/(第一季度!$R$20-($R$19-34*$J$22)),IF(W51="Q",(第一季度!U13-Q13)*参数调整!$K$13/(第一季度!$R$21-($R$20-40*$J$22)),IFERROR((第一季度!U13-Q13)*参数调整!$K$14/(第一季度!$R$22-($R$21-$J$22*45)),0))))</f>
        <v>0</v>
      </c>
      <c r="AB51" s="112">
        <f>IF(W51="S",Y13*参数调整!$H$11/($V$18*($J$18-1)+Y13),IF(W51="B",Y13*参数调整!$H$12/($V$19*($J$18-1)+Y13),IF(W51="Q",Y13*参数调整!$H$13/($V$20*($J$18-1)+Y13),Y13*参数调整!$H$14/($V$21*($J$18-1)+Y13))))</f>
        <v>0</v>
      </c>
    </row>
    <row r="52" spans="4:28">
      <c r="Q52" s="113">
        <f t="shared" si="12"/>
        <v>0</v>
      </c>
      <c r="R52" s="113">
        <f t="shared" si="13"/>
        <v>0</v>
      </c>
      <c r="S52" s="113">
        <f>IF(Q52="S",$S$40*参数调整!$J$11/(($S$40-1)*COUNTIF($Q$41:$Q$52,"S")+$G$22+$G$23),IF(Q52="B",$S$40*参数调整!$J$12/(($S$40-1)*COUNTIF($Q$41:$Q$52,"B")+$G$24+$G$25+$G$26),IF(Q52="Q",$S$40*参数调整!$J$13/(($S$40-1)*COUNTIF($Q$41:$Q$52,"Q")+$G$27+$G$28+$G$29),$S$40*参数调整!$J$14/(($S$40-1)*COUNTIF($Q$41:$Q$52,"L")+$G$30+$G$31))))</f>
        <v>0.16393442622950818</v>
      </c>
      <c r="T52" s="113">
        <f>IF(Q52="S",$T$40*参数调整!$J$11/(($T$40-1)*COUNTIF($Q$41:$Q$52,"S")+$G$22+$G$23),IF(Q52="B",$T$40*参数调整!$J$12/(($T$40-1)*COUNTIF($Q$41:$Q$52,"B")+$G$24+$G$25+$G$26),IF(Q52="Q",$T$40*参数调整!$J$13/(($T$40-1)*COUNTIF($Q$41:$Q$52,"Q")+$G$27+$G$28+$G$29),$T$40*参数调整!$J$14/(($T$40-1)*COUNTIF($Q$41:$Q$52,"L")+$G$30+$G$31))))</f>
        <v>0.16393442622950818</v>
      </c>
      <c r="U52" s="113">
        <f>IF(Q52="S",$U$40*参数调整!$J$11/(($U$40-1)*COUNTIF($Q$41:$Q$52,"S")+$G$22+$G$23),IF(Q52="B",$U$40*参数调整!$J$12/(($U$40-1)*COUNTIF($Q$41:$Q$52,"B")+$G$24+$G$25+$G$26),IF(Q52="Q",$U$40*参数调整!$J$13/(($U$40-1)*COUNTIF($Q$41:$Q$52,"Q")+$G$27+$G$28+$G$29),$U$40*参数调整!$J$14/(($U$40-1)*COUNTIF($Q$41:$Q$52,"L")+$G$30+$G$31))))</f>
        <v>0.16393442622950818</v>
      </c>
      <c r="W52" s="112">
        <f t="shared" si="14"/>
        <v>0</v>
      </c>
      <c r="X52" s="112">
        <f t="shared" si="15"/>
        <v>0</v>
      </c>
      <c r="Y52" s="112" t="b">
        <f>IF(W52="S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Q",IF(X52=212,30*参数调整!$I$13/($G$27*30+$G$28*31+$G$29*21),IF(X52=1121,31*参数调整!$I$13/($G$27*30+$G$28*31+$G$29*21),21*参数调整!$I$13/($G$27*30+$G$28*31+$G$29*21))),IF(W52="L",IF(MID(X52,2,1)="2",30*参数调整!$I$14/($G$30*30+$G$31*21),21*参数调整!$I$14/($G$30*30+$G$31*21))))))</f>
        <v>0</v>
      </c>
      <c r="Z52" s="112">
        <f>IF(W52="S",1/($G$22+$G$23)*参数调整!$G$11,IF(W52="B",1/($G$24+$G$25+$G$26)*参数调整!$G$12,IF(W52="Q",1/($G$27+$G$28+$G$29)*参数调整!$G$13,1/($G$30+$G$31)*参数调整!$G$14)))</f>
        <v>0.81967213114754101</v>
      </c>
      <c r="AA52" s="112">
        <f>IF(W52="S",(第一季度!U14-Q14)*参数调整!$K$11/(第一季度!$R$19-($R$18-$J$22*35)),IF(W52="B",(第一季度!U14-Q14)*参数调整!$K$12/(第一季度!$R$20-($R$19-34*$J$22)),IF(W52="Q",(第一季度!U14-Q14)*参数调整!$K$13/(第一季度!$R$21-($R$20-40*$J$22)),IFERROR((第一季度!U14-Q14)*参数调整!$K$14/(第一季度!$R$22-($R$21-$J$22*45)),0))))</f>
        <v>0</v>
      </c>
      <c r="AB52" s="112">
        <f>IF(W52="S",Y14*参数调整!$H$11/($V$18*($J$18-1)+Y14),IF(W52="B",Y14*参数调整!$H$12/($V$19*($J$18-1)+Y14),IF(W52="Q",Y14*参数调整!$H$13/($V$20*($J$18-1)+Y14),Y14*参数调整!$H$14/($V$21*($J$18-1)+Y14))))</f>
        <v>0</v>
      </c>
    </row>
    <row r="54" spans="4:28">
      <c r="E54">
        <f>IF(B3&gt;E38,(B3-E38)*D3+E38*第一季度!D38,B3*第一季度!D38)</f>
        <v>16119.599999999999</v>
      </c>
    </row>
    <row r="55" spans="4:28">
      <c r="E55">
        <f>IF(B4&gt;E39,(B4-E39)*D4+E39*第一季度!D39,B4*第一季度!D39)</f>
        <v>3772</v>
      </c>
    </row>
    <row r="56" spans="4:28">
      <c r="E56">
        <f>IF(B5&gt;E40,(B5-E40)*D5+E40*第一季度!D40,B5*第一季度!D40)</f>
        <v>0</v>
      </c>
    </row>
    <row r="57" spans="4:28">
      <c r="E57">
        <f>IF(B6&gt;E41,(B6-E41)*D6+E41*第一季度!D41,B6*第一季度!D41)</f>
        <v>5088.2</v>
      </c>
    </row>
    <row r="58" spans="4:28">
      <c r="E58">
        <f>IF(B7&gt;E42,(B7-E42)*D7+E42*第一季度!D42,B7*第一季度!D42)</f>
        <v>684</v>
      </c>
    </row>
    <row r="59" spans="4:28">
      <c r="E59">
        <f>IF(B8&gt;E43,(B8-E43)*D8+E43*第一季度!D43,B8*第一季度!D43)</f>
        <v>0</v>
      </c>
    </row>
    <row r="60" spans="4:28">
      <c r="E60">
        <f>IF(B9&gt;E44,(B9-E44)*D9+E44*第一季度!D44,B9*第一季度!D44)</f>
        <v>6426</v>
      </c>
    </row>
    <row r="61" spans="4:28">
      <c r="E61">
        <f>IF(B10&gt;E45,(B10-E45)*D10+E45*第一季度!D45,B10*第一季度!D45)</f>
        <v>17527.5</v>
      </c>
    </row>
    <row r="62" spans="4:28">
      <c r="E62">
        <f>IF(B11&gt;E46,(B11-E46)*D11+E46*第一季度!D46,B11*第一季度!D46)</f>
        <v>8970</v>
      </c>
    </row>
    <row r="63" spans="4:28">
      <c r="E63">
        <f>IF(B12&gt;E47,(B12-E47)*D12+E47*第一季度!D47,B12*第一季度!D47)</f>
        <v>0</v>
      </c>
    </row>
    <row r="64" spans="4:28">
      <c r="E64">
        <f>IF(B13&gt;E48,(B13-E48)*D13+E48*第一季度!D48,B13*第一季度!D48)</f>
        <v>8376</v>
      </c>
    </row>
    <row r="65" spans="4:5">
      <c r="E65">
        <f>IF(B14&gt;E49,(B14-E49)*D14+E49*第一季度!D49,B14*第一季度!D49)</f>
        <v>0</v>
      </c>
    </row>
    <row r="66" spans="4:5">
      <c r="E66">
        <f>IF(B15&gt;E50,(B15-E50)*D15+E50*第一季度!D50,B15*第一季度!D50)</f>
        <v>0</v>
      </c>
    </row>
    <row r="67" spans="4:5">
      <c r="E67">
        <f>IF(B16&gt;E51,(B16-E51)*D16+E51*第一季度!D51,B16*第一季度!D51)</f>
        <v>0</v>
      </c>
    </row>
    <row r="68" spans="4:5">
      <c r="D68" t="s">
        <v>356</v>
      </c>
      <c r="E68">
        <f>SUM(E54:E67)</f>
        <v>66963.3</v>
      </c>
    </row>
  </sheetData>
  <mergeCells count="83">
    <mergeCell ref="AN30:AN31"/>
    <mergeCell ref="AL32:AL33"/>
    <mergeCell ref="AM32:AM33"/>
    <mergeCell ref="AN32:AN33"/>
    <mergeCell ref="AL34:AL35"/>
    <mergeCell ref="AM34:AM35"/>
    <mergeCell ref="AN34:AN35"/>
    <mergeCell ref="AO4:AP4"/>
    <mergeCell ref="AO5:AP6"/>
    <mergeCell ref="AL28:AL29"/>
    <mergeCell ref="AM28:AM29"/>
    <mergeCell ref="AN28:AN29"/>
    <mergeCell ref="AN2:AN3"/>
    <mergeCell ref="AK2:AK3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I4:AI36"/>
    <mergeCell ref="AJ4:AL4"/>
    <mergeCell ref="AJ5:AJ16"/>
    <mergeCell ref="AK5:AK8"/>
    <mergeCell ref="AJ36:AM36"/>
    <mergeCell ref="AD25:AE25"/>
    <mergeCell ref="AD27:AF27"/>
    <mergeCell ref="AD28:AF28"/>
    <mergeCell ref="AJ28:AJ35"/>
    <mergeCell ref="AD26:AE26"/>
    <mergeCell ref="AD29:AF29"/>
    <mergeCell ref="AD30:AF30"/>
    <mergeCell ref="AD31:AF31"/>
    <mergeCell ref="AK28:AK35"/>
    <mergeCell ref="AI2:AJ3"/>
    <mergeCell ref="AJ18:AK19"/>
    <mergeCell ref="AJ20:AK23"/>
    <mergeCell ref="AJ24:AK26"/>
    <mergeCell ref="AJ27:AL27"/>
    <mergeCell ref="AK9:AK11"/>
    <mergeCell ref="AK12:AL12"/>
    <mergeCell ref="AK13:AK16"/>
    <mergeCell ref="AJ17:AL17"/>
    <mergeCell ref="AL2:AM3"/>
    <mergeCell ref="AL30:AL31"/>
    <mergeCell ref="AM30:AM31"/>
    <mergeCell ref="AD24:AE24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W17:Y17"/>
    <mergeCell ref="S38:U38"/>
    <mergeCell ref="A22:A23"/>
    <mergeCell ref="A24:A26"/>
    <mergeCell ref="A27:A29"/>
    <mergeCell ref="A30:A31"/>
    <mergeCell ref="J22:K23"/>
    <mergeCell ref="A18:B18"/>
    <mergeCell ref="J17:K17"/>
    <mergeCell ref="J18:K20"/>
    <mergeCell ref="J21:K21"/>
    <mergeCell ref="B37:B39"/>
    <mergeCell ref="R1:U1"/>
    <mergeCell ref="H1:H2"/>
    <mergeCell ref="E36:E37"/>
    <mergeCell ref="D36:D37"/>
    <mergeCell ref="B1:B2"/>
    <mergeCell ref="C1:C2"/>
    <mergeCell ref="D1:D2"/>
    <mergeCell ref="E1:E2"/>
    <mergeCell ref="G1:G2"/>
    <mergeCell ref="F36:F37"/>
  </mergeCells>
  <phoneticPr fontId="1" type="noConversion"/>
  <dataValidations count="4">
    <dataValidation type="list" allowBlank="1" showInputMessage="1" showErrorMessage="1" sqref="AE8:AE10" xr:uid="{D5A982C6-A6F2-4FAC-8071-053EFC21211F}">
      <formula1>"租用小厂房,租用中厂房,租用大厂房"</formula1>
    </dataValidation>
    <dataValidation type="list" allowBlank="1" showInputMessage="1" showErrorMessage="1" sqref="AF17:AF24" xr:uid="{8A915492-DBE0-4DF8-8A4F-680B76F473D5}">
      <formula1>"1,0"</formula1>
    </dataValidation>
    <dataValidation type="list" allowBlank="1" showInputMessage="1" showErrorMessage="1" sqref="AE5:AE7" xr:uid="{460DC62C-6081-45F4-8954-D1E989B96ED0}">
      <formula1>"购买小厂房,购买中厂房,购买大厂房"</formula1>
    </dataValidation>
    <dataValidation type="list" allowBlank="1" showInputMessage="1" showErrorMessage="1" sqref="AE11:AE14" xr:uid="{589BA68E-7C01-4927-BB18-DD2FC04CE64B}">
      <formula1>"手工线,半自动线,全自动线,柔性线"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2555-C077-4963-9BD8-D4428E2D42DB}">
  <sheetPr codeName="Sheet5"/>
  <dimension ref="A1:AP69"/>
  <sheetViews>
    <sheetView topLeftCell="W1" zoomScale="85" zoomScaleNormal="85" workbookViewId="0">
      <selection activeCell="Q3" sqref="Q3"/>
    </sheetView>
  </sheetViews>
  <sheetFormatPr defaultRowHeight="13.8"/>
  <cols>
    <col min="1" max="1" width="16.33203125" customWidth="1"/>
    <col min="2" max="2" width="15.109375" bestFit="1" customWidth="1"/>
    <col min="3" max="3" width="8.88671875" hidden="1" customWidth="1"/>
    <col min="4" max="4" width="12.33203125" hidden="1" customWidth="1"/>
    <col min="5" max="5" width="17.5546875" hidden="1" customWidth="1"/>
    <col min="6" max="6" width="8.88671875" hidden="1" customWidth="1"/>
    <col min="7" max="7" width="12.5546875" bestFit="1" customWidth="1"/>
    <col min="12" max="16" width="8.88671875" hidden="1" customWidth="1"/>
    <col min="17" max="17" width="11" customWidth="1"/>
    <col min="18" max="18" width="11.6640625" customWidth="1"/>
    <col min="19" max="19" width="12.5546875" customWidth="1"/>
    <col min="20" max="20" width="14.44140625" customWidth="1"/>
    <col min="21" max="21" width="12.109375" customWidth="1"/>
    <col min="22" max="22" width="14.5546875" customWidth="1"/>
    <col min="24" max="24" width="12.77734375" customWidth="1"/>
    <col min="27" max="27" width="10.44140625" customWidth="1"/>
    <col min="28" max="28" width="13.33203125" customWidth="1"/>
    <col min="29" max="29" width="12" customWidth="1"/>
    <col min="31" max="31" width="16.5546875" customWidth="1"/>
    <col min="33" max="33" width="12.5546875" customWidth="1"/>
    <col min="34" max="34" width="12.44140625" customWidth="1"/>
    <col min="36" max="36" width="12.44140625" bestFit="1" customWidth="1"/>
    <col min="39" max="39" width="11.33203125" customWidth="1"/>
    <col min="40" max="40" width="12.44140625" customWidth="1"/>
    <col min="41" max="41" width="20" customWidth="1"/>
    <col min="42" max="42" width="18.6640625" customWidth="1"/>
    <col min="46" max="46" width="11.77734375" customWidth="1"/>
  </cols>
  <sheetData>
    <row r="1" spans="1:42">
      <c r="A1" s="1"/>
      <c r="B1" s="297" t="s">
        <v>179</v>
      </c>
      <c r="C1" s="297" t="s">
        <v>180</v>
      </c>
      <c r="D1" s="304" t="s">
        <v>181</v>
      </c>
      <c r="E1" s="304" t="s">
        <v>182</v>
      </c>
      <c r="F1" s="1"/>
      <c r="G1" s="305" t="s">
        <v>183</v>
      </c>
      <c r="H1" s="349" t="s">
        <v>184</v>
      </c>
      <c r="S1" s="344"/>
      <c r="T1" s="344"/>
      <c r="U1" s="344"/>
      <c r="V1" s="344"/>
    </row>
    <row r="2" spans="1:42">
      <c r="A2" s="1"/>
      <c r="B2" s="303"/>
      <c r="C2" s="329"/>
      <c r="D2" s="304"/>
      <c r="E2" s="304"/>
      <c r="F2" s="1"/>
      <c r="G2" s="306"/>
      <c r="H2" s="349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216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106" t="s">
        <v>199</v>
      </c>
      <c r="AB2" s="73" t="s">
        <v>175</v>
      </c>
      <c r="AD2" s="308" t="s">
        <v>200</v>
      </c>
      <c r="AE2" s="308"/>
      <c r="AF2" s="308"/>
      <c r="AG2" s="308"/>
      <c r="AI2" s="327" t="s">
        <v>230</v>
      </c>
      <c r="AJ2" s="328"/>
      <c r="AK2" s="345">
        <v>0.86799999999999999</v>
      </c>
      <c r="AL2" s="327" t="s">
        <v>231</v>
      </c>
      <c r="AM2" s="328"/>
      <c r="AN2" s="345">
        <v>314180.96999999997</v>
      </c>
      <c r="AO2" s="100" t="s">
        <v>232</v>
      </c>
      <c r="AP2" s="100" t="s">
        <v>233</v>
      </c>
    </row>
    <row r="3" spans="1:42" ht="21" customHeight="1" thickBot="1">
      <c r="A3" s="78" t="s">
        <v>185</v>
      </c>
      <c r="B3" s="79">
        <f>SUMIF($L$3:$L$14,1,$S$3:$S$14)+SUMIF($L$3:$L$14,1,$T$3:$T$14)+SUMIF($L$3:$L$14,1,$U$3:$U$14)+SUMIF($L$3:$L$14,1,$V$3:$V$14)</f>
        <v>728</v>
      </c>
      <c r="C3" s="93">
        <f>参数调整!D45</f>
        <v>38</v>
      </c>
      <c r="D3" s="9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93">
        <f>参数调整!I45</f>
        <v>1</v>
      </c>
      <c r="F3" s="1">
        <f>D3*G3*(参数调整!$B$6+1)</f>
        <v>29130.191999999999</v>
      </c>
      <c r="G3" s="81">
        <f t="shared" ref="G3:G16" si="0">IF(B3-E38&lt;=0,0,B3-E38)</f>
        <v>728</v>
      </c>
      <c r="H3" s="82"/>
      <c r="J3" s="73" t="str">
        <f>第一季度!J3</f>
        <v>S</v>
      </c>
      <c r="K3" s="73">
        <f>第一季度!K3</f>
        <v>113</v>
      </c>
      <c r="L3" s="106" t="str">
        <f>LEFT(K3,1)</f>
        <v>1</v>
      </c>
      <c r="M3" s="106" t="str">
        <f>MID(K3,2,1)</f>
        <v>1</v>
      </c>
      <c r="N3" s="106" t="str">
        <f>MID(K3,3,1)</f>
        <v>3</v>
      </c>
      <c r="O3" s="106" t="str">
        <f>MID(K3,4,1)</f>
        <v/>
      </c>
      <c r="P3" s="106" t="str">
        <f>MID(K3,5,1)</f>
        <v/>
      </c>
      <c r="Q3" s="227">
        <v>3</v>
      </c>
      <c r="R3" s="227"/>
      <c r="S3" s="227"/>
      <c r="T3" s="227"/>
      <c r="U3" s="227"/>
      <c r="V3" s="227">
        <v>78</v>
      </c>
      <c r="W3" s="76">
        <f>TRUNC(S3*参数调整!$I$30)+TRUNC(T3*参数调整!$H$30)+TRUNC(U3*参数调整!$G$30)+TRUNC(V3*参数调整!$F$30)+Q3</f>
        <v>73</v>
      </c>
      <c r="X3" s="76">
        <f>IF(J3="S",Y29*SUM($R$18:$V$18)/100,IF(J3="B",Y29*SUM($R$19:$V$19)/100,IF(J3="Q",Y29*SUM($R$20:$V$20)/100,Y29*SUM($R$21:$V$21)/100)))</f>
        <v>64.702670422344767</v>
      </c>
      <c r="Y3" s="228">
        <v>12808</v>
      </c>
      <c r="Z3" s="73">
        <f>Y3+0.53653684*0.46055126*第一季度!W3+第二季度!X3*0.53653684</f>
        <v>25775.073046528938</v>
      </c>
      <c r="AA3" s="73">
        <f>IF(J3="S",Z3*参数调整!$H$11/($X$29*$J$18),IF(J3="B",Z3*参数调整!$H$12/($X$30*$J$18),IF(J3="Q",Z3*参数调整!$H$13/($X$31*$J$18),Z3*参数调整!$H$14/($X$32*$J$18))))</f>
        <v>0.69000010537875012</v>
      </c>
      <c r="AB3" s="196">
        <f>SUMIF(J3:J14,"S",Z3:Z14)</f>
        <v>25775.073046528938</v>
      </c>
      <c r="AD3" s="308" t="s">
        <v>201</v>
      </c>
      <c r="AE3" s="308"/>
      <c r="AF3" s="308"/>
      <c r="AG3" s="228">
        <v>104725.19</v>
      </c>
      <c r="AI3" s="329"/>
      <c r="AJ3" s="330"/>
      <c r="AK3" s="346"/>
      <c r="AL3" s="329"/>
      <c r="AM3" s="330"/>
      <c r="AN3" s="346"/>
      <c r="AO3" s="119">
        <v>147782.70000000001</v>
      </c>
      <c r="AP3" s="119">
        <v>57096</v>
      </c>
    </row>
    <row r="4" spans="1:42" ht="21" customHeight="1" thickBot="1">
      <c r="A4" s="78" t="s">
        <v>186</v>
      </c>
      <c r="B4" s="79">
        <f>SUMIF($L$3:$L$14,2,$S$3:$S$14)+SUMIF($L$3:$L$14,2,$T$3:$T$14)+SUMIF($L$3:$L$14,2,$U$3:$U$14)+SUMIF($L$3:$L$14,2,$V$3:$V$14)</f>
        <v>82</v>
      </c>
      <c r="C4" s="93">
        <f>参数调整!D46</f>
        <v>75</v>
      </c>
      <c r="D4" s="9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75</v>
      </c>
      <c r="E4" s="93">
        <f>参数调整!I46</f>
        <v>1</v>
      </c>
      <c r="F4" s="1">
        <f>D4*G4*(参数调整!$B$6+1)</f>
        <v>7195.5</v>
      </c>
      <c r="G4" s="81">
        <f t="shared" si="0"/>
        <v>82</v>
      </c>
      <c r="H4" s="82"/>
      <c r="J4" s="73" t="str">
        <f>第一季度!J4</f>
        <v>B</v>
      </c>
      <c r="K4" s="73">
        <f>第一季度!K4</f>
        <v>1111</v>
      </c>
      <c r="L4" s="106" t="str">
        <f>LEFT(K4,1)</f>
        <v>1</v>
      </c>
      <c r="M4" s="106" t="str">
        <f>MID(K4,2,1)</f>
        <v>1</v>
      </c>
      <c r="N4" s="106" t="str">
        <f>MID(K4,3,1)</f>
        <v>1</v>
      </c>
      <c r="O4" s="106" t="str">
        <f>MID(K4,4,1)</f>
        <v>1</v>
      </c>
      <c r="P4" s="106" t="str">
        <f t="shared" ref="P4:P14" si="1">MID(K4,5,1)</f>
        <v/>
      </c>
      <c r="Q4" s="227">
        <v>9</v>
      </c>
      <c r="R4" s="227"/>
      <c r="S4" s="227"/>
      <c r="T4" s="227"/>
      <c r="U4" s="227"/>
      <c r="V4" s="227">
        <v>126</v>
      </c>
      <c r="W4" s="76">
        <f>TRUNC(S4*参数调整!$I$30)+TRUNC(T4*参数调整!$H$30)+TRUNC(U4*参数调整!$G$30)+TRUNC(V4*参数调整!$F$30)+Q4</f>
        <v>122</v>
      </c>
      <c r="X4" s="76">
        <f t="shared" ref="X4:X14" si="2">IF(J4="S",Y30*SUM($R$18:$V$18)/100,IF(J4="B",Y30*SUM($R$19:$V$19)/100,IF(J4="Q",Y30*SUM($R$20:$V$20)/100,Y30*SUM($R$21:$V$21)/100)))</f>
        <v>107.32253822529127</v>
      </c>
      <c r="Y4" s="228">
        <v>13000</v>
      </c>
      <c r="Z4" s="73">
        <f>Y4+0.53653684*0.46055126*第一季度!W4+第二季度!X4*0.53653684</f>
        <v>37199.231963609906</v>
      </c>
      <c r="AA4" s="73">
        <f>IF(J4="S",Z4*参数调整!$H$11/($X$29*$J$18),IF(J4="B",Z4*参数调整!$H$12/($X$30*$J$18),IF(J4="Q",Z4*参数调整!$H$13/($X$31*$J$18),Z4*参数调整!$H$14/($X$32*$J$18))))</f>
        <v>1.1200001705897682</v>
      </c>
      <c r="AB4" s="196">
        <f>SUMIF(J3:J14,"B",Z3:Z14)</f>
        <v>37199.231963609906</v>
      </c>
      <c r="AD4" s="308" t="s">
        <v>300</v>
      </c>
      <c r="AE4" s="308"/>
      <c r="AF4" s="308"/>
      <c r="AG4" s="74">
        <v>0</v>
      </c>
      <c r="AI4" s="324" t="s">
        <v>333</v>
      </c>
      <c r="AJ4" s="294" t="s">
        <v>235</v>
      </c>
      <c r="AK4" s="295"/>
      <c r="AL4" s="296"/>
      <c r="AM4" s="100" t="s">
        <v>236</v>
      </c>
      <c r="AN4" s="100" t="s">
        <v>237</v>
      </c>
      <c r="AO4" s="308" t="s">
        <v>338</v>
      </c>
      <c r="AP4" s="308"/>
    </row>
    <row r="5" spans="1:42" ht="21" customHeight="1" thickBot="1">
      <c r="A5" s="78" t="s">
        <v>151</v>
      </c>
      <c r="B5" s="83">
        <f>SUMIF($L$3:$L$14,3,$S$3:$S$14)+SUMIF($L$3:$L$14,3,$T$3:$T$14)+SUMIF($L$3:$L$14,3,$U$3:$U$14)+SUMIF($L$3:$L$14,3,$V$3:$V$14)</f>
        <v>0</v>
      </c>
      <c r="C5" s="93">
        <f>参数调整!D47</f>
        <v>106</v>
      </c>
      <c r="D5" s="9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106</v>
      </c>
      <c r="E5" s="93">
        <f>参数调整!I47</f>
        <v>1</v>
      </c>
      <c r="F5" s="1">
        <f>D5*G5*(参数调整!$B$6+1)</f>
        <v>0</v>
      </c>
      <c r="G5" s="81">
        <f t="shared" si="0"/>
        <v>0</v>
      </c>
      <c r="H5" s="84">
        <v>0</v>
      </c>
      <c r="J5" s="73" t="str">
        <f>第一季度!J5</f>
        <v>B</v>
      </c>
      <c r="K5" s="73">
        <f>第一季度!K5</f>
        <v>1121</v>
      </c>
      <c r="L5" s="106" t="str">
        <f>LEFT(K5,1)</f>
        <v>1</v>
      </c>
      <c r="M5" s="106" t="str">
        <f>MID(K5,2,1)</f>
        <v>1</v>
      </c>
      <c r="N5" s="106" t="str">
        <f>MID(K5,3,1)</f>
        <v>2</v>
      </c>
      <c r="O5" s="106" t="str">
        <f>MID(K5,4,1)</f>
        <v>1</v>
      </c>
      <c r="P5" s="106" t="str">
        <f t="shared" si="1"/>
        <v/>
      </c>
      <c r="Q5" s="227"/>
      <c r="R5" s="227"/>
      <c r="S5" s="227"/>
      <c r="T5" s="227"/>
      <c r="U5" s="227"/>
      <c r="V5" s="227">
        <v>54</v>
      </c>
      <c r="W5" s="76">
        <f>TRUNC(S5*参数调整!$I$30)+TRUNC(T5*参数调整!$H$30)+TRUNC(U5*参数调整!$G$30)+TRUNC(V5*参数调整!$F$30)+Q5</f>
        <v>48</v>
      </c>
      <c r="X5" s="76">
        <f t="shared" si="2"/>
        <v>46.608279128959275</v>
      </c>
      <c r="Y5" s="228"/>
      <c r="Z5" s="73">
        <f>Y5+0.53653684*0.46055126*第一季度!W5+第二季度!X5*0.53653684</f>
        <v>0</v>
      </c>
      <c r="AA5" s="73">
        <f>IF(J5="S",Z5*参数调整!$H$11/($X$29*$J$18),IF(J5="B",Z5*参数调整!$H$12/($X$30*$J$18),IF(J5="Q",Z5*参数调整!$H$13/($X$31*$J$18),Z5*参数调整!$H$14/($X$32*$J$18))))</f>
        <v>0</v>
      </c>
      <c r="AB5" s="196">
        <f>SUMIF(J3:J14,"Q",Z3:Z14)</f>
        <v>30579.256917487739</v>
      </c>
      <c r="AD5" s="308" t="s">
        <v>202</v>
      </c>
      <c r="AE5" s="100" t="s">
        <v>203</v>
      </c>
      <c r="AF5" s="227">
        <v>0</v>
      </c>
      <c r="AG5" s="73">
        <f>AF5*参数调整!$J$23</f>
        <v>0</v>
      </c>
      <c r="AI5" s="325"/>
      <c r="AJ5" s="297" t="s">
        <v>238</v>
      </c>
      <c r="AK5" s="297" t="s">
        <v>239</v>
      </c>
      <c r="AL5" s="100" t="s">
        <v>101</v>
      </c>
      <c r="AM5" s="106">
        <f>SUM(S3:S14)</f>
        <v>0</v>
      </c>
      <c r="AN5" s="100">
        <f>AM5*参数调整!$I$32</f>
        <v>0</v>
      </c>
      <c r="AO5" s="336">
        <f>AN2+AO36*(1-参数调整!B23)+AP36*(1-参数调整!B24)</f>
        <v>314180.96999999997</v>
      </c>
      <c r="AP5" s="336"/>
    </row>
    <row r="6" spans="1:42" ht="21" customHeight="1" thickBot="1">
      <c r="A6" s="78" t="s">
        <v>152</v>
      </c>
      <c r="B6" s="85">
        <f>SUMIF($M$3:$M$14,1,$S$3:$S$14)+SUMIF($M$3:$M$14,1,$T$3:$T$14)+SUMIF($M$3:$M$14,1,$U$3:$U$14)+SUMIF($M$3:$M$14,1,$V$3:$V$14)</f>
        <v>606</v>
      </c>
      <c r="C6" s="93">
        <f>参数调整!D48</f>
        <v>14</v>
      </c>
      <c r="D6" s="9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12.6</v>
      </c>
      <c r="E6" s="93">
        <f>参数调整!I48</f>
        <v>0</v>
      </c>
      <c r="F6" s="1">
        <f>D6*G6*(参数调整!$B$6+1)</f>
        <v>8933.6519999999982</v>
      </c>
      <c r="G6" s="86">
        <f t="shared" si="0"/>
        <v>606</v>
      </c>
      <c r="H6" s="82"/>
      <c r="J6" s="73" t="str">
        <f>第一季度!J6</f>
        <v>B</v>
      </c>
      <c r="K6" s="73">
        <f>第一季度!K6</f>
        <v>113</v>
      </c>
      <c r="L6" s="106" t="str">
        <f>LEFT(K6,1)</f>
        <v>1</v>
      </c>
      <c r="M6" s="106" t="str">
        <f>MID(K6,2,1)</f>
        <v>1</v>
      </c>
      <c r="N6" s="106" t="str">
        <f>MID(K6,3,1)</f>
        <v>3</v>
      </c>
      <c r="O6" s="106" t="str">
        <f>MID(K6,4,1)</f>
        <v/>
      </c>
      <c r="P6" s="106" t="str">
        <f t="shared" si="1"/>
        <v/>
      </c>
      <c r="Q6" s="227">
        <v>1</v>
      </c>
      <c r="R6" s="227"/>
      <c r="S6" s="227"/>
      <c r="T6" s="227"/>
      <c r="U6" s="227"/>
      <c r="V6" s="227">
        <v>52</v>
      </c>
      <c r="W6" s="76">
        <f>TRUNC(S6*参数调整!$I$30)+TRUNC(T6*参数调整!$H$30)+TRUNC(U6*参数调整!$G$30)+TRUNC(V6*参数调整!$F$30)+Q6</f>
        <v>47</v>
      </c>
      <c r="X6" s="76">
        <f t="shared" si="2"/>
        <v>45.054669824660635</v>
      </c>
      <c r="Y6" s="228"/>
      <c r="Z6" s="73">
        <f>Y6+0.53653684*0.46055126*第一季度!W6+第二季度!X6*0.53653684</f>
        <v>0</v>
      </c>
      <c r="AA6" s="73">
        <f>IF(J6="S",Z6*参数调整!$H$11/($X$29*$J$18),IF(J6="B",Z6*参数调整!$H$12/($X$30*$J$18),IF(J6="Q",Z6*参数调整!$H$13/($X$31*$J$18),Z6*参数调整!$H$14/($X$32*$J$18))))</f>
        <v>0</v>
      </c>
      <c r="AB6" s="196">
        <f>SUMIF(J3:J14,"L",Z3:Z14)</f>
        <v>5467</v>
      </c>
      <c r="AD6" s="308"/>
      <c r="AE6" s="100" t="s">
        <v>204</v>
      </c>
      <c r="AF6" s="227">
        <v>0</v>
      </c>
      <c r="AG6" s="73">
        <f>AF6*参数调整!$H$23</f>
        <v>0</v>
      </c>
      <c r="AI6" s="325"/>
      <c r="AJ6" s="298"/>
      <c r="AK6" s="298"/>
      <c r="AL6" s="100" t="s">
        <v>269</v>
      </c>
      <c r="AM6" s="106">
        <f>SUM(V3:V14)</f>
        <v>810</v>
      </c>
      <c r="AN6" s="100">
        <f>AM6*参数调整!$F$32</f>
        <v>8100</v>
      </c>
      <c r="AO6" s="336"/>
      <c r="AP6" s="336"/>
    </row>
    <row r="7" spans="1:42" ht="21" customHeight="1" thickBot="1">
      <c r="A7" s="78" t="s">
        <v>153</v>
      </c>
      <c r="B7" s="85">
        <f>SUMIF($M$3:$M$14,2,$S$3:$S$14)+SUMIF($M$3:$M$14,2,$T$3:$T$14)+SUMIF($M$3:$M$14,2,$U$3:$U$14)+SUMIF($M$3:$M$14,2,$V$3:$V$14)</f>
        <v>204</v>
      </c>
      <c r="C7" s="93">
        <f>参数调整!D49</f>
        <v>22</v>
      </c>
      <c r="D7" s="9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20.9</v>
      </c>
      <c r="E7" s="93">
        <f>参数调整!I49</f>
        <v>1</v>
      </c>
      <c r="F7" s="1">
        <f>D7*G7*(参数调整!$B$6+1)</f>
        <v>4988.4119999999994</v>
      </c>
      <c r="G7" s="86">
        <f t="shared" si="0"/>
        <v>204</v>
      </c>
      <c r="H7" s="82"/>
      <c r="J7" s="73" t="str">
        <f>第一季度!J7</f>
        <v>Q</v>
      </c>
      <c r="K7" s="73">
        <f>第一季度!K7</f>
        <v>212</v>
      </c>
      <c r="L7" s="106" t="str">
        <f t="shared" ref="L7:L14" si="3">LEFT(K7,1)</f>
        <v>2</v>
      </c>
      <c r="M7" s="106" t="str">
        <f t="shared" ref="M7:M14" si="4">MID(K7,2,1)</f>
        <v>1</v>
      </c>
      <c r="N7" s="106" t="str">
        <f t="shared" ref="N7:N14" si="5">MID(K7,3,1)</f>
        <v>2</v>
      </c>
      <c r="O7" s="106" t="str">
        <f t="shared" ref="O7:O14" si="6">MID(K7,4,1)</f>
        <v/>
      </c>
      <c r="P7" s="106" t="str">
        <f t="shared" si="1"/>
        <v/>
      </c>
      <c r="Q7" s="227"/>
      <c r="R7" s="227"/>
      <c r="S7" s="227"/>
      <c r="T7" s="227"/>
      <c r="U7" s="227"/>
      <c r="V7" s="227">
        <v>82</v>
      </c>
      <c r="W7" s="76">
        <f>TRUNC(S7*参数调整!$I$30)+TRUNC(T7*参数调整!$H$30)+TRUNC(U7*参数调整!$G$30)+TRUNC(V7*参数调整!$F$30)+Q7</f>
        <v>73</v>
      </c>
      <c r="X7" s="76">
        <f t="shared" si="2"/>
        <v>72.79261363636364</v>
      </c>
      <c r="Y7" s="228"/>
      <c r="Z7" s="73">
        <f>Y7+0.53653684*0.46055126*第一季度!W7+第二季度!X7*0.53653684</f>
        <v>0</v>
      </c>
      <c r="AA7" s="73">
        <f>IF(J7="S",Z7*参数调整!$H$11/($X$29*$J$18),IF(J7="B",Z7*参数调整!$H$12/($X$30*$J$18),IF(J7="Q",Z7*参数调整!$H$13/($X$31*$J$18),Z7*参数调整!$H$14/($X$32*$J$18))))</f>
        <v>0</v>
      </c>
      <c r="AD7" s="308"/>
      <c r="AE7" s="100" t="s">
        <v>205</v>
      </c>
      <c r="AF7" s="227">
        <v>0</v>
      </c>
      <c r="AG7" s="73">
        <f>AF7*参数调整!$F$23</f>
        <v>0</v>
      </c>
      <c r="AI7" s="325"/>
      <c r="AJ7" s="298"/>
      <c r="AK7" s="298"/>
      <c r="AL7" s="100" t="s">
        <v>100</v>
      </c>
      <c r="AM7" s="106">
        <f>SUM(T3:T14)</f>
        <v>0</v>
      </c>
      <c r="AN7" s="100">
        <f>AM7*参数调整!H32</f>
        <v>0</v>
      </c>
      <c r="AO7" s="2"/>
      <c r="AP7" s="2"/>
    </row>
    <row r="8" spans="1:42" ht="21" customHeight="1" thickBot="1">
      <c r="A8" s="78" t="s">
        <v>154</v>
      </c>
      <c r="B8" s="85">
        <f>SUMIF($M$3:$M$14,3,$S$3:$S$14)+SUMIF($M$3:$M$14,3,$T$3:$T$14)+SUMIF($M$3:$M$14,3,$U$3:$U$14)+SUMIF($M$3:$M$14,3,$V$3:$V$14)</f>
        <v>0</v>
      </c>
      <c r="C8" s="93">
        <f>参数调整!D50</f>
        <v>32</v>
      </c>
      <c r="D8" s="9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32</v>
      </c>
      <c r="E8" s="93">
        <f>参数调整!I50</f>
        <v>1</v>
      </c>
      <c r="F8" s="1">
        <f>D8*G8*(参数调整!$B$6+1)</f>
        <v>0</v>
      </c>
      <c r="G8" s="86">
        <f t="shared" si="0"/>
        <v>0</v>
      </c>
      <c r="H8" s="82"/>
      <c r="J8" s="73" t="str">
        <f>第一季度!J8</f>
        <v>Q</v>
      </c>
      <c r="K8" s="73">
        <f>第一季度!K8</f>
        <v>1121</v>
      </c>
      <c r="L8" s="106" t="str">
        <f t="shared" si="3"/>
        <v>1</v>
      </c>
      <c r="M8" s="106" t="str">
        <f t="shared" si="4"/>
        <v>1</v>
      </c>
      <c r="N8" s="106" t="str">
        <f t="shared" si="5"/>
        <v>2</v>
      </c>
      <c r="O8" s="106" t="str">
        <f t="shared" si="6"/>
        <v>1</v>
      </c>
      <c r="P8" s="106" t="str">
        <f t="shared" si="1"/>
        <v/>
      </c>
      <c r="Q8" s="227"/>
      <c r="R8" s="227"/>
      <c r="S8" s="227"/>
      <c r="T8" s="227"/>
      <c r="U8" s="227"/>
      <c r="V8" s="227">
        <v>82</v>
      </c>
      <c r="W8" s="76">
        <f>TRUNC(S8*参数调整!$I$30)+TRUNC(T8*参数调整!$H$30)+TRUNC(U8*参数调整!$G$30)+TRUNC(V8*参数调整!$F$30)+Q8</f>
        <v>73</v>
      </c>
      <c r="X8" s="76">
        <f t="shared" si="2"/>
        <v>72.79261363636364</v>
      </c>
      <c r="Y8" s="228"/>
      <c r="Z8" s="73">
        <f>Y8+0.53653684*0.46055126*第一季度!W8+第二季度!X8*0.53653684</f>
        <v>0</v>
      </c>
      <c r="AA8" s="73">
        <f>IF(J8="S",Z8*参数调整!$H$11/($X$29*$J$18),IF(J8="B",Z8*参数调整!$H$12/($X$30*$J$18),IF(J8="Q",Z8*参数调整!$H$13/($X$31*$J$18),Z8*参数调整!$H$14/($X$32*$J$18))))</f>
        <v>0</v>
      </c>
      <c r="AD8" s="308" t="s">
        <v>206</v>
      </c>
      <c r="AE8" s="100" t="s">
        <v>207</v>
      </c>
      <c r="AF8" s="227">
        <v>1</v>
      </c>
      <c r="AG8" s="300">
        <v>0</v>
      </c>
      <c r="AI8" s="325"/>
      <c r="AJ8" s="298"/>
      <c r="AK8" s="299"/>
      <c r="AL8" s="100" t="s">
        <v>270</v>
      </c>
      <c r="AM8" s="106">
        <f>SUM(U3:U14)</f>
        <v>0</v>
      </c>
      <c r="AN8" s="100">
        <f>AM8*参数调整!G32</f>
        <v>0</v>
      </c>
      <c r="AO8" s="2"/>
      <c r="AP8" s="2"/>
    </row>
    <row r="9" spans="1:42" ht="21" customHeight="1" thickBot="1">
      <c r="A9" s="78" t="s">
        <v>155</v>
      </c>
      <c r="B9" s="87">
        <f>SUMIF($N$3:$N$14,1,$S$3:$S$14)+SUMIF($N$3:$N$14,1,$T$3:$T$14)+SUMIF($N$3:$N$14,1,$U$3:$U$14)+SUMIF($N$3:$N$14,1,$V$3:$V$14)</f>
        <v>330</v>
      </c>
      <c r="C9" s="93">
        <f>参数调整!D51</f>
        <v>53</v>
      </c>
      <c r="D9" s="9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50.349999999999994</v>
      </c>
      <c r="E9" s="93">
        <f>参数调整!I51</f>
        <v>0</v>
      </c>
      <c r="F9" s="1">
        <f>D9*G9*(参数调整!$B$6+1)</f>
        <v>19440.134999999995</v>
      </c>
      <c r="G9" s="88">
        <f t="shared" si="0"/>
        <v>330</v>
      </c>
      <c r="H9" s="82"/>
      <c r="J9" s="73" t="str">
        <f>第一季度!J9</f>
        <v>Q</v>
      </c>
      <c r="K9" s="73">
        <f>第一季度!K9</f>
        <v>112</v>
      </c>
      <c r="L9" s="106" t="str">
        <f t="shared" si="3"/>
        <v>1</v>
      </c>
      <c r="M9" s="106" t="str">
        <f t="shared" si="4"/>
        <v>1</v>
      </c>
      <c r="N9" s="106" t="str">
        <f t="shared" si="5"/>
        <v>2</v>
      </c>
      <c r="O9" s="106" t="str">
        <f t="shared" si="6"/>
        <v/>
      </c>
      <c r="P9" s="106" t="str">
        <f t="shared" si="1"/>
        <v/>
      </c>
      <c r="Q9" s="227">
        <v>21</v>
      </c>
      <c r="R9" s="227"/>
      <c r="S9" s="227"/>
      <c r="T9" s="227"/>
      <c r="U9" s="227"/>
      <c r="V9" s="227">
        <v>132</v>
      </c>
      <c r="W9" s="76">
        <f>TRUNC(S9*参数调整!$I$30)+TRUNC(T9*参数调整!$H$30)+TRUNC(U9*参数调整!$G$30)+TRUNC(V9*参数调整!$F$30)+Q9</f>
        <v>139</v>
      </c>
      <c r="X9" s="76">
        <f t="shared" si="2"/>
        <v>139.76626059747005</v>
      </c>
      <c r="Y9" s="228">
        <v>9689</v>
      </c>
      <c r="Z9" s="73">
        <f>Y9+0.53653684*0.46055126*第一季度!W9+第二季度!X9*0.53653684</f>
        <v>30579.256917487739</v>
      </c>
      <c r="AA9" s="73">
        <f>IF(J9="S",Z9*参数调整!$H$11/($X$29*$J$18),IF(J9="B",Z9*参数调整!$H$12/($X$30*$J$18),IF(J9="Q",Z9*参数调整!$H$13/($X$31*$J$18),Z9*参数调整!$H$14/($X$32*$J$18))))</f>
        <v>1.0200001811533344</v>
      </c>
      <c r="AD9" s="308"/>
      <c r="AE9" s="100" t="s">
        <v>208</v>
      </c>
      <c r="AF9" s="227">
        <v>0</v>
      </c>
      <c r="AG9" s="301"/>
      <c r="AI9" s="325"/>
      <c r="AJ9" s="298"/>
      <c r="AK9" s="297" t="s">
        <v>240</v>
      </c>
      <c r="AL9" s="100" t="s">
        <v>241</v>
      </c>
      <c r="AM9" s="106">
        <f>AF8</f>
        <v>1</v>
      </c>
      <c r="AN9" s="100">
        <f>AM9*参数调整!$J$24</f>
        <v>5000</v>
      </c>
      <c r="AO9" s="2"/>
      <c r="AP9" s="2"/>
    </row>
    <row r="10" spans="1:42" ht="21" customHeight="1" thickBot="1">
      <c r="A10" s="78" t="s">
        <v>156</v>
      </c>
      <c r="B10" s="87">
        <f>SUMIF($N$3:$N$14,2,$S$3:$S$14)+SUMIF($N$3:$N$14,2,$T$3:$T$14)+SUMIF($N$3:$N$14,2,$U$3:$U$14)+SUMIF($N$3:$N$14,2,$V$3:$V$14)</f>
        <v>350</v>
      </c>
      <c r="C10" s="93">
        <f>参数调整!D52</f>
        <v>73</v>
      </c>
      <c r="D10" s="9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69.349999999999994</v>
      </c>
      <c r="E10" s="93">
        <f>参数调整!I52</f>
        <v>1</v>
      </c>
      <c r="F10" s="1">
        <f>D10*G10*(参数调整!$B$6+1)</f>
        <v>28398.824999999993</v>
      </c>
      <c r="G10" s="88">
        <f t="shared" si="0"/>
        <v>350</v>
      </c>
      <c r="H10" s="82"/>
      <c r="J10" s="73" t="str">
        <f>第一季度!J10</f>
        <v>L</v>
      </c>
      <c r="K10" s="73">
        <f>第一季度!K10</f>
        <v>121</v>
      </c>
      <c r="L10" s="106" t="str">
        <f t="shared" si="3"/>
        <v>1</v>
      </c>
      <c r="M10" s="106" t="str">
        <f t="shared" si="4"/>
        <v>2</v>
      </c>
      <c r="N10" s="106" t="str">
        <f t="shared" si="5"/>
        <v>1</v>
      </c>
      <c r="O10" s="106" t="str">
        <f t="shared" si="6"/>
        <v/>
      </c>
      <c r="P10" s="106" t="str">
        <f t="shared" si="1"/>
        <v/>
      </c>
      <c r="Q10" s="227"/>
      <c r="R10" s="227"/>
      <c r="S10" s="227"/>
      <c r="T10" s="227"/>
      <c r="U10" s="227"/>
      <c r="V10" s="227">
        <v>204</v>
      </c>
      <c r="W10" s="76">
        <f>TRUNC(S10*参数调整!$I$30)+TRUNC(T10*参数调整!$H$30)+TRUNC(U10*参数调整!$G$30)+TRUNC(V10*参数调整!$F$30)+Q10</f>
        <v>183</v>
      </c>
      <c r="X10" s="76">
        <f t="shared" si="2"/>
        <v>61.594043455133885</v>
      </c>
      <c r="Y10" s="228">
        <v>5467</v>
      </c>
      <c r="Z10" s="73">
        <f>Y10+0.53653684*0.46055126*第一季度!W10+第二季度!X10*0.53653684</f>
        <v>5467</v>
      </c>
      <c r="AA10" s="73">
        <f>IF(J10="S",Z10*参数调整!$H$11/($X$29*$J$18),IF(J10="B",Z10*参数调整!$H$12/($X$30*$J$18),IF(J10="Q",Z10*参数调整!$H$13/($X$31*$J$18),Z10*参数调整!$H$14/($X$32*$J$18))))</f>
        <v>0.24003862327186865</v>
      </c>
      <c r="AB10" s="275" t="s">
        <v>440</v>
      </c>
      <c r="AD10" s="308"/>
      <c r="AE10" s="100" t="s">
        <v>209</v>
      </c>
      <c r="AF10" s="227">
        <v>0</v>
      </c>
      <c r="AG10" s="302"/>
      <c r="AI10" s="325"/>
      <c r="AJ10" s="298"/>
      <c r="AK10" s="298"/>
      <c r="AL10" s="100" t="s">
        <v>242</v>
      </c>
      <c r="AM10" s="106">
        <f>AF9</f>
        <v>0</v>
      </c>
      <c r="AN10" s="100">
        <f>AM10*参数调整!$H$24</f>
        <v>0</v>
      </c>
      <c r="AO10" s="2"/>
      <c r="AP10" s="142"/>
    </row>
    <row r="11" spans="1:42" ht="21" customHeight="1" thickBot="1">
      <c r="A11" s="78" t="s">
        <v>157</v>
      </c>
      <c r="B11" s="87">
        <f>SUMIF($N$3:$N$14,3,$S$3:$S$14)+SUMIF($N$3:$N$14,3,$T$3:$T$14)+SUMIF($N$3:$N$14,3,$U$3:$U$14)+SUMIF($N$3:$N$14,3,$V$3:$V$14)</f>
        <v>130</v>
      </c>
      <c r="C11" s="93">
        <f>参数调整!D53</f>
        <v>115</v>
      </c>
      <c r="D11" s="9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93">
        <f>参数调整!I53</f>
        <v>0</v>
      </c>
      <c r="F11" s="1">
        <f>D11*G11*(参数调整!$B$6+1)</f>
        <v>17491.5</v>
      </c>
      <c r="G11" s="88">
        <f t="shared" si="0"/>
        <v>130</v>
      </c>
      <c r="H11" s="82"/>
      <c r="J11" s="73">
        <f>第一季度!J11</f>
        <v>0</v>
      </c>
      <c r="K11" s="73">
        <f>第一季度!K11</f>
        <v>0</v>
      </c>
      <c r="L11" s="106" t="str">
        <f t="shared" si="3"/>
        <v>0</v>
      </c>
      <c r="M11" s="106" t="str">
        <f t="shared" si="4"/>
        <v/>
      </c>
      <c r="N11" s="106" t="str">
        <f t="shared" si="5"/>
        <v/>
      </c>
      <c r="O11" s="106" t="str">
        <f t="shared" si="6"/>
        <v/>
      </c>
      <c r="P11" s="106" t="str">
        <f t="shared" si="1"/>
        <v/>
      </c>
      <c r="Q11" s="227"/>
      <c r="R11" s="227"/>
      <c r="S11" s="227"/>
      <c r="T11" s="227"/>
      <c r="U11" s="227"/>
      <c r="V11" s="227"/>
      <c r="W11" s="76">
        <f>TRUNC(S11*参数调整!$I$30)+TRUNC(T11*参数调整!$H$30)+TRUNC(U11*参数调整!$G$30)+TRUNC(V11*参数调整!$F$30)+Q11</f>
        <v>0</v>
      </c>
      <c r="X11" s="76">
        <f t="shared" si="2"/>
        <v>-5.2868852459016384</v>
      </c>
      <c r="Y11" s="228"/>
      <c r="Z11" s="73">
        <f>Y11+0.53653684*0.46055126*第一季度!W11+第二季度!X11*0.53653684</f>
        <v>0</v>
      </c>
      <c r="AA11" s="73">
        <f>IF(J11="S",Z11*参数调整!$H$11/($X$29*$J$18),IF(J11="B",Z11*参数调整!$H$12/($X$30*$J$18),IF(J11="Q",Z11*参数调整!$H$13/($X$31*$J$18),Z11*参数调整!$H$14/($X$32*$J$18))))</f>
        <v>0</v>
      </c>
      <c r="AB11" s="234">
        <f>AG31</f>
        <v>0.86799999998765998</v>
      </c>
      <c r="AD11" s="308" t="s">
        <v>210</v>
      </c>
      <c r="AE11" s="100" t="s">
        <v>211</v>
      </c>
      <c r="AF11" s="227">
        <v>0</v>
      </c>
      <c r="AG11" s="73">
        <f>AF11*参数调整!$I$29</f>
        <v>0</v>
      </c>
      <c r="AI11" s="325"/>
      <c r="AJ11" s="298"/>
      <c r="AK11" s="299"/>
      <c r="AL11" s="100" t="s">
        <v>243</v>
      </c>
      <c r="AM11" s="106">
        <f>AF10</f>
        <v>0</v>
      </c>
      <c r="AN11" s="100">
        <f>AM11*参数调整!$F$24</f>
        <v>0</v>
      </c>
      <c r="AO11" s="2"/>
      <c r="AP11" s="2"/>
    </row>
    <row r="12" spans="1:42" ht="21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93">
        <f>参数调整!D54</f>
        <v>150</v>
      </c>
      <c r="D12" s="9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93">
        <f>参数调整!I54</f>
        <v>1</v>
      </c>
      <c r="F12" s="1">
        <f>D12*G12*(参数调整!$B$6+1)</f>
        <v>0</v>
      </c>
      <c r="G12" s="88">
        <f t="shared" si="0"/>
        <v>0</v>
      </c>
      <c r="H12" s="82"/>
      <c r="J12" s="73">
        <f>第一季度!J12</f>
        <v>0</v>
      </c>
      <c r="K12" s="73">
        <f>第一季度!K12</f>
        <v>0</v>
      </c>
      <c r="L12" s="106" t="str">
        <f t="shared" si="3"/>
        <v>0</v>
      </c>
      <c r="M12" s="106" t="str">
        <f t="shared" si="4"/>
        <v/>
      </c>
      <c r="N12" s="106" t="str">
        <f t="shared" si="5"/>
        <v/>
      </c>
      <c r="O12" s="106" t="str">
        <f t="shared" si="6"/>
        <v/>
      </c>
      <c r="P12" s="106" t="str">
        <f t="shared" si="1"/>
        <v/>
      </c>
      <c r="Q12" s="227"/>
      <c r="R12" s="227"/>
      <c r="S12" s="227"/>
      <c r="T12" s="227"/>
      <c r="U12" s="227"/>
      <c r="V12" s="227"/>
      <c r="W12" s="76">
        <f>TRUNC(S12*参数调整!$I$30)+TRUNC(T12*参数调整!$H$30)+TRUNC(U12*参数调整!$G$30)+TRUNC(V12*参数调整!$F$30)+Q12</f>
        <v>0</v>
      </c>
      <c r="X12" s="76">
        <f t="shared" si="2"/>
        <v>-5.2868852459016384</v>
      </c>
      <c r="Y12" s="228"/>
      <c r="Z12" s="73">
        <f>Y12+0.53653684*0.46055126*第一季度!W12+第二季度!X12*0.53653684</f>
        <v>0</v>
      </c>
      <c r="AA12" s="73">
        <f>IF(J12="S",Z12*参数调整!$H$11/($X$29*$J$18),IF(J12="B",Z12*参数调整!$H$12/($X$30*$J$18),IF(J12="Q",Z12*参数调整!$H$13/($X$31*$J$18),Z12*参数调整!$H$14/($X$32*$J$18))))</f>
        <v>0</v>
      </c>
      <c r="AD12" s="308"/>
      <c r="AE12" s="100" t="s">
        <v>212</v>
      </c>
      <c r="AF12" s="227">
        <v>0</v>
      </c>
      <c r="AG12" s="73">
        <f>AF12*参数调整!$H$29</f>
        <v>0</v>
      </c>
      <c r="AI12" s="325"/>
      <c r="AJ12" s="298"/>
      <c r="AK12" s="319" t="s">
        <v>244</v>
      </c>
      <c r="AL12" s="320"/>
      <c r="AM12" s="106">
        <f>AM18</f>
        <v>9</v>
      </c>
      <c r="AN12" s="100">
        <f>AM12*参数调整!$J$18*(1+参数调整!$B$12+参数调整!$B$13+参数调整!$B$14+参数调整!$B$15+参数调整!$B$16)</f>
        <v>43610.399999999994</v>
      </c>
      <c r="AO12" s="2"/>
      <c r="AP12" s="2"/>
    </row>
    <row r="13" spans="1:42" ht="21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262</v>
      </c>
      <c r="C13" s="93">
        <f>参数调整!D55</f>
        <v>46</v>
      </c>
      <c r="D13" s="9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46</v>
      </c>
      <c r="E13" s="93">
        <f>参数调整!I55</f>
        <v>1</v>
      </c>
      <c r="F13" s="1">
        <f>D13*G13*(参数调整!$B$6+1)</f>
        <v>0</v>
      </c>
      <c r="G13" s="90">
        <f t="shared" si="0"/>
        <v>0</v>
      </c>
      <c r="H13" s="84">
        <v>338</v>
      </c>
      <c r="J13" s="73">
        <f>第一季度!J13</f>
        <v>0</v>
      </c>
      <c r="K13" s="73">
        <f>第一季度!K13</f>
        <v>0</v>
      </c>
      <c r="L13" s="106" t="str">
        <f t="shared" si="3"/>
        <v>0</v>
      </c>
      <c r="M13" s="106" t="str">
        <f t="shared" si="4"/>
        <v/>
      </c>
      <c r="N13" s="106" t="str">
        <f t="shared" si="5"/>
        <v/>
      </c>
      <c r="O13" s="106" t="str">
        <f t="shared" si="6"/>
        <v/>
      </c>
      <c r="P13" s="106" t="str">
        <f t="shared" si="1"/>
        <v/>
      </c>
      <c r="Q13" s="227"/>
      <c r="R13" s="227"/>
      <c r="S13" s="227"/>
      <c r="T13" s="227"/>
      <c r="U13" s="227"/>
      <c r="V13" s="227"/>
      <c r="W13" s="76">
        <f>TRUNC(S13*参数调整!$I$30)+TRUNC(T13*参数调整!$H$30)+TRUNC(U13*参数调整!$G$30)+TRUNC(V13*参数调整!$F$30)+Q13</f>
        <v>0</v>
      </c>
      <c r="X13" s="76">
        <f t="shared" si="2"/>
        <v>-5.2868852459016384</v>
      </c>
      <c r="Y13" s="228"/>
      <c r="Z13" s="73">
        <f>Y13+0.53653684*0.46055126*第一季度!W13+第二季度!X13*0.53653684</f>
        <v>0</v>
      </c>
      <c r="AA13" s="73">
        <f>IF(J13="S",Z13*参数调整!$H$11/($X$29*$J$18),IF(J13="B",Z13*参数调整!$H$12/($X$30*$J$18),IF(J13="Q",Z13*参数调整!$H$13/($X$31*$J$18),Z13*参数调整!$H$14/($X$32*$J$18))))</f>
        <v>0</v>
      </c>
      <c r="AD13" s="308"/>
      <c r="AE13" s="100" t="s">
        <v>213</v>
      </c>
      <c r="AF13" s="227">
        <v>0</v>
      </c>
      <c r="AG13" s="73">
        <f>AF13*参数调整!$G$29</f>
        <v>0</v>
      </c>
      <c r="AI13" s="325"/>
      <c r="AJ13" s="298"/>
      <c r="AK13" s="297" t="s">
        <v>245</v>
      </c>
      <c r="AL13" s="100" t="s">
        <v>101</v>
      </c>
      <c r="AM13" s="124">
        <v>0</v>
      </c>
      <c r="AN13" s="103">
        <f>AM13*参数调整!$I$33</f>
        <v>0</v>
      </c>
      <c r="AO13" s="2"/>
      <c r="AP13" s="2"/>
    </row>
    <row r="14" spans="1:42" ht="21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93">
        <f>参数调整!D56</f>
        <v>50</v>
      </c>
      <c r="D14" s="9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93">
        <f>参数调整!I56</f>
        <v>1</v>
      </c>
      <c r="F14" s="1">
        <f>D14*G14*(参数调整!$B$6+1)</f>
        <v>0</v>
      </c>
      <c r="G14" s="90">
        <f t="shared" si="0"/>
        <v>0</v>
      </c>
      <c r="H14" s="84">
        <v>0</v>
      </c>
      <c r="J14" s="73">
        <f>第一季度!J14</f>
        <v>0</v>
      </c>
      <c r="K14" s="73">
        <f>第一季度!K14</f>
        <v>0</v>
      </c>
      <c r="L14" s="106" t="str">
        <f t="shared" si="3"/>
        <v>0</v>
      </c>
      <c r="M14" s="106" t="str">
        <f t="shared" si="4"/>
        <v/>
      </c>
      <c r="N14" s="106" t="str">
        <f t="shared" si="5"/>
        <v/>
      </c>
      <c r="O14" s="106" t="str">
        <f t="shared" si="6"/>
        <v/>
      </c>
      <c r="P14" s="106" t="str">
        <f t="shared" si="1"/>
        <v/>
      </c>
      <c r="Q14" s="227"/>
      <c r="R14" s="227"/>
      <c r="S14" s="227"/>
      <c r="T14" s="227"/>
      <c r="U14" s="227"/>
      <c r="V14" s="227"/>
      <c r="W14" s="76">
        <f>TRUNC(S14*参数调整!$I$30)+TRUNC(T14*参数调整!$H$30)+TRUNC(U14*参数调整!$G$30)+TRUNC(V14*参数调整!$F$30)+Q14</f>
        <v>0</v>
      </c>
      <c r="X14" s="76">
        <f t="shared" si="2"/>
        <v>-5.2868852459016384</v>
      </c>
      <c r="Y14" s="228"/>
      <c r="Z14" s="73">
        <f>Y14+0.53653684*0.46055126*第一季度!W14+第二季度!X14*0.53653684</f>
        <v>0</v>
      </c>
      <c r="AA14" s="73">
        <f>IF(J14="S",Z14*参数调整!$H$11/($X$29*$J$18),IF(J14="B",Z14*参数调整!$H$12/($X$30*$J$18),IF(J14="Q",Z14*参数调整!$H$13/($X$31*$J$18),Z14*参数调整!$H$14/($X$32*$J$18))))</f>
        <v>0</v>
      </c>
      <c r="AD14" s="308"/>
      <c r="AE14" s="100" t="s">
        <v>98</v>
      </c>
      <c r="AF14" s="227">
        <v>0</v>
      </c>
      <c r="AG14" s="73">
        <f>AF14*参数调整!$F$29</f>
        <v>0</v>
      </c>
      <c r="AI14" s="325"/>
      <c r="AJ14" s="298"/>
      <c r="AK14" s="298"/>
      <c r="AL14" s="100" t="s">
        <v>269</v>
      </c>
      <c r="AM14" s="124">
        <v>2</v>
      </c>
      <c r="AN14" s="100">
        <f>AM14*参数调整!$F$33</f>
        <v>6000</v>
      </c>
      <c r="AO14" s="2"/>
      <c r="AP14" s="142"/>
    </row>
    <row r="15" spans="1:42" ht="14.4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93">
        <f>参数调整!D57</f>
        <v>78</v>
      </c>
      <c r="D15" s="9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78</v>
      </c>
      <c r="E15" s="93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0</v>
      </c>
      <c r="S15" s="73">
        <f>SUM(S3:S14)</f>
        <v>0</v>
      </c>
      <c r="T15" s="73">
        <f>SUM(T3:T14)</f>
        <v>0</v>
      </c>
      <c r="U15" s="73">
        <f>SUM(U3:U14)</f>
        <v>0</v>
      </c>
      <c r="V15" s="73">
        <f>SUM(V3:V14)</f>
        <v>810</v>
      </c>
      <c r="AD15" s="308" t="s">
        <v>215</v>
      </c>
      <c r="AE15" s="308"/>
      <c r="AF15" s="227">
        <v>0</v>
      </c>
      <c r="AG15" s="73">
        <f>AF15*参数调整!$B$31</f>
        <v>0</v>
      </c>
      <c r="AI15" s="325"/>
      <c r="AJ15" s="298"/>
      <c r="AK15" s="298"/>
      <c r="AL15" s="100" t="s">
        <v>100</v>
      </c>
      <c r="AM15" s="124">
        <v>0</v>
      </c>
      <c r="AN15" s="100">
        <f>AM15*参数调整!$H$33</f>
        <v>0</v>
      </c>
      <c r="AO15" s="2"/>
      <c r="AP15" s="2"/>
    </row>
    <row r="16" spans="1:42" ht="14.4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93">
        <f>参数调整!D58</f>
        <v>83</v>
      </c>
      <c r="D16" s="9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83</v>
      </c>
      <c r="E16" s="93">
        <f>参数调整!I58</f>
        <v>1</v>
      </c>
      <c r="F16" s="1">
        <f>D16*G16*(参数调整!$B$6+1)</f>
        <v>0</v>
      </c>
      <c r="G16" s="90">
        <f t="shared" si="0"/>
        <v>0</v>
      </c>
      <c r="H16" s="84">
        <v>0</v>
      </c>
      <c r="AC16" s="115" t="s">
        <v>337</v>
      </c>
      <c r="AD16" s="308" t="s">
        <v>216</v>
      </c>
      <c r="AE16" s="308"/>
      <c r="AF16" s="227">
        <v>0</v>
      </c>
      <c r="AG16" s="73">
        <f>AF16*参数调整!$B$32</f>
        <v>0</v>
      </c>
      <c r="AI16" s="325"/>
      <c r="AJ16" s="299"/>
      <c r="AK16" s="299"/>
      <c r="AL16" s="100" t="s">
        <v>270</v>
      </c>
      <c r="AM16" s="124">
        <v>0</v>
      </c>
      <c r="AN16" s="100">
        <f>AM16*参数调整!$G$33</f>
        <v>0</v>
      </c>
      <c r="AO16" s="2"/>
      <c r="AP16" s="142"/>
    </row>
    <row r="17" spans="1:42">
      <c r="J17" s="343" t="s">
        <v>195</v>
      </c>
      <c r="K17" s="343"/>
      <c r="P17" s="1">
        <f>SUM(第三季度!R18:V18)-(SUM(第四季度!R18:V18)-SUM(第四季度!R22:V22))</f>
        <v>4170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X17" s="232"/>
      <c r="AB17" s="73" t="str">
        <f>J3</f>
        <v>S</v>
      </c>
      <c r="AC17" s="122"/>
      <c r="AD17" s="308" t="s">
        <v>217</v>
      </c>
      <c r="AE17" s="100" t="s">
        <v>218</v>
      </c>
      <c r="AF17" s="227">
        <v>0</v>
      </c>
      <c r="AG17" s="73">
        <f>AF17*参数调整!$F$3</f>
        <v>0</v>
      </c>
      <c r="AI17" s="325"/>
      <c r="AJ17" s="294" t="s">
        <v>246</v>
      </c>
      <c r="AK17" s="295"/>
      <c r="AL17" s="296"/>
      <c r="AM17" s="106">
        <v>1</v>
      </c>
      <c r="AN17" s="100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347" t="s">
        <v>197</v>
      </c>
      <c r="B18" s="348"/>
      <c r="G18" s="77">
        <f>SUMIF(E3:E16,0,F3:F16)</f>
        <v>45865.286999999997</v>
      </c>
      <c r="J18" s="310">
        <v>30</v>
      </c>
      <c r="K18" s="311"/>
      <c r="P18" s="1">
        <f>SUM(第三季度!R19:V19)-(SUM(第四季度!R19:V19)-SUM(第四季度!R23:V23))</f>
        <v>4980</v>
      </c>
      <c r="Q18" s="73" t="s">
        <v>176</v>
      </c>
      <c r="R18" s="227">
        <v>840</v>
      </c>
      <c r="S18" s="227">
        <v>750</v>
      </c>
      <c r="T18" s="227">
        <v>750</v>
      </c>
      <c r="U18" s="227">
        <v>840</v>
      </c>
      <c r="V18" s="227">
        <v>990</v>
      </c>
      <c r="AB18" s="73" t="str">
        <f t="shared" ref="AB18:AB28" si="7">J4</f>
        <v>B</v>
      </c>
      <c r="AC18" s="122"/>
      <c r="AD18" s="308"/>
      <c r="AE18" s="100" t="s">
        <v>219</v>
      </c>
      <c r="AF18" s="227">
        <v>0</v>
      </c>
      <c r="AG18" s="73">
        <f>AF18*参数调整!$F$4</f>
        <v>0</v>
      </c>
      <c r="AI18" s="325"/>
      <c r="AJ18" s="327" t="s">
        <v>247</v>
      </c>
      <c r="AK18" s="328"/>
      <c r="AL18" s="100" t="s">
        <v>248</v>
      </c>
      <c r="AM18" s="106">
        <f>AF25+第一季度!AF24+第二季度!AF25</f>
        <v>9</v>
      </c>
      <c r="AN18" s="104">
        <f>AM18*参数调整!$B$10</f>
        <v>9000</v>
      </c>
      <c r="AO18" s="2"/>
      <c r="AP18" s="2"/>
    </row>
    <row r="19" spans="1:42" ht="13.8" customHeight="1">
      <c r="J19" s="310"/>
      <c r="K19" s="311"/>
      <c r="P19" s="1">
        <f>SUM(第三季度!R20:V20)-(SUM(第四季度!R20:V20)-SUM(第四季度!R24:V24))</f>
        <v>5850</v>
      </c>
      <c r="Q19" s="73" t="s">
        <v>177</v>
      </c>
      <c r="R19" s="227">
        <v>900</v>
      </c>
      <c r="S19" s="227">
        <v>900</v>
      </c>
      <c r="T19" s="227">
        <v>1140</v>
      </c>
      <c r="U19" s="227">
        <v>990</v>
      </c>
      <c r="V19" s="227">
        <v>1050</v>
      </c>
      <c r="AB19" s="73" t="str">
        <f t="shared" si="7"/>
        <v>B</v>
      </c>
      <c r="AC19" s="122"/>
      <c r="AD19" s="308"/>
      <c r="AE19" s="100" t="s">
        <v>220</v>
      </c>
      <c r="AF19" s="227">
        <v>0</v>
      </c>
      <c r="AG19" s="73">
        <f>AF19*参数调整!$F$5</f>
        <v>0</v>
      </c>
      <c r="AI19" s="325"/>
      <c r="AJ19" s="329"/>
      <c r="AK19" s="330"/>
      <c r="AL19" s="100" t="s">
        <v>249</v>
      </c>
      <c r="AM19" s="106">
        <f>AF26+第一季度!AF25+第二季度!AF26</f>
        <v>5</v>
      </c>
      <c r="AN19" s="100">
        <f>AM19*参数调整!$B$10</f>
        <v>5000</v>
      </c>
      <c r="AO19" s="2"/>
      <c r="AP19" s="2"/>
    </row>
    <row r="20" spans="1:42" ht="13.8" customHeight="1">
      <c r="J20" s="310"/>
      <c r="K20" s="311"/>
      <c r="P20" s="1">
        <f>SUM(第三季度!R21:V21)-(SUM(第四季度!R21:V21)-SUM(第四季度!R25:V25))</f>
        <v>6450</v>
      </c>
      <c r="Q20" s="73" t="s">
        <v>178</v>
      </c>
      <c r="R20" s="227">
        <v>1050</v>
      </c>
      <c r="S20" s="227">
        <v>1050</v>
      </c>
      <c r="T20" s="227">
        <v>1050</v>
      </c>
      <c r="U20" s="227">
        <v>1500</v>
      </c>
      <c r="V20" s="227">
        <v>1200</v>
      </c>
      <c r="AB20" s="73" t="str">
        <f t="shared" si="7"/>
        <v>B</v>
      </c>
      <c r="AC20" s="122"/>
      <c r="AD20" s="308"/>
      <c r="AE20" s="100" t="s">
        <v>221</v>
      </c>
      <c r="AF20" s="227">
        <v>0</v>
      </c>
      <c r="AG20" s="73">
        <f>AF20*参数调整!$F$6</f>
        <v>0</v>
      </c>
      <c r="AI20" s="325"/>
      <c r="AJ20" s="327" t="s">
        <v>250</v>
      </c>
      <c r="AK20" s="328"/>
      <c r="AL20" s="100" t="s">
        <v>101</v>
      </c>
      <c r="AM20" s="74">
        <v>0</v>
      </c>
      <c r="AN20" s="100">
        <f>AM20*参数调整!$I$29</f>
        <v>0</v>
      </c>
      <c r="AO20" s="2"/>
      <c r="AP20" s="2"/>
    </row>
    <row r="21" spans="1:42" ht="18" customHeight="1">
      <c r="J21" s="343" t="s">
        <v>196</v>
      </c>
      <c r="K21" s="350"/>
      <c r="P21" s="1"/>
      <c r="Q21" s="73" t="s">
        <v>193</v>
      </c>
      <c r="R21" s="227">
        <v>1200</v>
      </c>
      <c r="S21" s="227">
        <v>1350</v>
      </c>
      <c r="T21" s="227">
        <v>1200</v>
      </c>
      <c r="U21" s="227">
        <v>1350</v>
      </c>
      <c r="V21" s="227">
        <v>1350</v>
      </c>
      <c r="AB21" s="73" t="str">
        <f t="shared" si="7"/>
        <v>Q</v>
      </c>
      <c r="AC21" s="122"/>
      <c r="AD21" s="308"/>
      <c r="AE21" s="100" t="s">
        <v>222</v>
      </c>
      <c r="AF21" s="227">
        <v>1</v>
      </c>
      <c r="AG21" s="73">
        <f>AF21*参数调整!$F$7</f>
        <v>20000</v>
      </c>
      <c r="AI21" s="325"/>
      <c r="AJ21" s="303"/>
      <c r="AK21" s="331"/>
      <c r="AL21" s="100" t="s">
        <v>269</v>
      </c>
      <c r="AM21" s="74">
        <v>0</v>
      </c>
      <c r="AN21" s="100">
        <f>AM21*参数调整!$F$29</f>
        <v>0</v>
      </c>
      <c r="AO21" s="2"/>
      <c r="AP21" s="2"/>
    </row>
    <row r="22" spans="1:42" ht="13.8" customHeight="1">
      <c r="J22" s="310">
        <v>30</v>
      </c>
      <c r="K22" s="310"/>
      <c r="Q22" s="300" t="s">
        <v>309</v>
      </c>
      <c r="R22" s="117">
        <f>J22*28</f>
        <v>840</v>
      </c>
      <c r="S22" s="117">
        <f>J22*25</f>
        <v>750</v>
      </c>
      <c r="T22" s="117">
        <f>J22*25</f>
        <v>750</v>
      </c>
      <c r="U22" s="117">
        <f>J22*28</f>
        <v>840</v>
      </c>
      <c r="V22" s="117">
        <f>J22*33</f>
        <v>990</v>
      </c>
      <c r="AB22" s="73" t="str">
        <f t="shared" si="7"/>
        <v>Q</v>
      </c>
      <c r="AC22" s="122"/>
      <c r="AD22" s="308"/>
      <c r="AE22" s="100" t="s">
        <v>223</v>
      </c>
      <c r="AF22" s="227">
        <v>1</v>
      </c>
      <c r="AG22" s="73">
        <f>AF22*参数调整!$F$8</f>
        <v>20000</v>
      </c>
      <c r="AI22" s="325"/>
      <c r="AJ22" s="303"/>
      <c r="AK22" s="331"/>
      <c r="AL22" s="100" t="s">
        <v>100</v>
      </c>
      <c r="AM22" s="74">
        <v>0</v>
      </c>
      <c r="AN22" s="100">
        <f>AM22*参数调整!$H$29</f>
        <v>0</v>
      </c>
      <c r="AO22" s="2"/>
      <c r="AP22" s="2"/>
    </row>
    <row r="23" spans="1:42" ht="13.8" customHeight="1">
      <c r="J23" s="310"/>
      <c r="K23" s="310"/>
      <c r="Q23" s="301"/>
      <c r="R23" s="117">
        <f>J22*30</f>
        <v>900</v>
      </c>
      <c r="S23" s="117">
        <f>J22*30</f>
        <v>900</v>
      </c>
      <c r="T23" s="117">
        <f>J22*38</f>
        <v>1140</v>
      </c>
      <c r="U23" s="117">
        <f>J22*33</f>
        <v>990</v>
      </c>
      <c r="V23" s="117">
        <f>J22*35</f>
        <v>1050</v>
      </c>
      <c r="AB23" s="73" t="str">
        <f t="shared" si="7"/>
        <v>Q</v>
      </c>
      <c r="AC23" s="122"/>
      <c r="AD23" s="294" t="s">
        <v>352</v>
      </c>
      <c r="AE23" s="296"/>
      <c r="AF23" s="227">
        <v>1</v>
      </c>
      <c r="AG23" s="73">
        <f>AF23*参数调整!$C$40</f>
        <v>30000</v>
      </c>
      <c r="AI23" s="325"/>
      <c r="AJ23" s="329"/>
      <c r="AK23" s="330"/>
      <c r="AL23" s="100" t="s">
        <v>270</v>
      </c>
      <c r="AM23" s="74">
        <v>0</v>
      </c>
      <c r="AN23" s="100">
        <f>AM23*参数调整!$G$29</f>
        <v>0</v>
      </c>
      <c r="AO23" s="2"/>
      <c r="AP23" s="2"/>
    </row>
    <row r="24" spans="1:42">
      <c r="J24" s="310"/>
      <c r="K24" s="310"/>
      <c r="Q24" s="301"/>
      <c r="R24" s="117">
        <f>J22*35</f>
        <v>1050</v>
      </c>
      <c r="S24" s="117">
        <f>J22*35</f>
        <v>1050</v>
      </c>
      <c r="T24" s="117">
        <f>J22*35</f>
        <v>1050</v>
      </c>
      <c r="U24" s="117">
        <f>J22*50</f>
        <v>1500</v>
      </c>
      <c r="V24" s="117">
        <f>J22*40</f>
        <v>1200</v>
      </c>
      <c r="AB24" s="73" t="str">
        <f t="shared" si="7"/>
        <v>L</v>
      </c>
      <c r="AC24" s="122"/>
      <c r="AD24" s="294" t="s">
        <v>353</v>
      </c>
      <c r="AE24" s="296"/>
      <c r="AF24" s="227">
        <v>0</v>
      </c>
      <c r="AG24" s="73">
        <f>AF24*参数调整!$C$41</f>
        <v>0</v>
      </c>
      <c r="AI24" s="325"/>
      <c r="AJ24" s="327" t="s">
        <v>251</v>
      </c>
      <c r="AK24" s="328"/>
      <c r="AL24" s="100" t="s">
        <v>252</v>
      </c>
      <c r="AM24" s="74">
        <v>0</v>
      </c>
      <c r="AN24" s="100">
        <f>AM24*参数调整!$F$23</f>
        <v>0</v>
      </c>
      <c r="AO24" s="2"/>
      <c r="AP24" s="2"/>
    </row>
    <row r="25" spans="1:42">
      <c r="C25">
        <f>266-35</f>
        <v>231</v>
      </c>
      <c r="Q25" s="302"/>
      <c r="R25" s="117">
        <f>J22*40</f>
        <v>1200</v>
      </c>
      <c r="S25" s="117">
        <f>J22*45</f>
        <v>1350</v>
      </c>
      <c r="T25" s="117">
        <f>J22*40</f>
        <v>1200</v>
      </c>
      <c r="U25" s="117">
        <f>J22*45</f>
        <v>1350</v>
      </c>
      <c r="V25" s="117">
        <f>J22*45</f>
        <v>1350</v>
      </c>
      <c r="AB25" s="73">
        <f t="shared" si="7"/>
        <v>0</v>
      </c>
      <c r="AC25" s="122"/>
      <c r="AD25" s="308" t="s">
        <v>224</v>
      </c>
      <c r="AE25" s="308"/>
      <c r="AF25" s="227">
        <v>4</v>
      </c>
      <c r="AG25" s="73">
        <f>AF25*参数调整!$F$18</f>
        <v>1200</v>
      </c>
      <c r="AI25" s="325"/>
      <c r="AJ25" s="303"/>
      <c r="AK25" s="331"/>
      <c r="AL25" s="100" t="s">
        <v>253</v>
      </c>
      <c r="AM25" s="74">
        <v>0</v>
      </c>
      <c r="AN25" s="100">
        <f>AM25*参数调整!$H$23</f>
        <v>0</v>
      </c>
      <c r="AO25" s="2"/>
      <c r="AP25" s="2"/>
    </row>
    <row r="26" spans="1:42">
      <c r="AB26" s="73">
        <f t="shared" si="7"/>
        <v>0</v>
      </c>
      <c r="AC26" s="122"/>
      <c r="AD26" s="308" t="s">
        <v>225</v>
      </c>
      <c r="AE26" s="308"/>
      <c r="AF26" s="227">
        <v>2</v>
      </c>
      <c r="AG26" s="73">
        <f>AF26*参数调整!$F$17</f>
        <v>1000</v>
      </c>
      <c r="AI26" s="325"/>
      <c r="AJ26" s="329"/>
      <c r="AK26" s="330"/>
      <c r="AL26" s="100" t="s">
        <v>254</v>
      </c>
      <c r="AM26" s="74">
        <v>0</v>
      </c>
      <c r="AN26" s="100">
        <f>AM26*参数调整!$J$23</f>
        <v>0</v>
      </c>
      <c r="AO26" s="2"/>
      <c r="AP26" s="2"/>
    </row>
    <row r="27" spans="1:42">
      <c r="AB27" s="73">
        <f t="shared" si="7"/>
        <v>0</v>
      </c>
      <c r="AC27" s="122"/>
      <c r="AD27" s="308" t="s">
        <v>226</v>
      </c>
      <c r="AE27" s="308"/>
      <c r="AF27" s="308"/>
      <c r="AG27" s="73">
        <f>SUM(Y3:Y14)</f>
        <v>40964</v>
      </c>
      <c r="AI27" s="325"/>
      <c r="AJ27" s="294" t="s">
        <v>255</v>
      </c>
      <c r="AK27" s="295"/>
      <c r="AL27" s="296"/>
      <c r="AM27" s="106">
        <f>AM19</f>
        <v>5</v>
      </c>
      <c r="AN27" s="100">
        <f>AM27*参数调整!$J$17*(1+参数调整!$B$12+参数调整!$B$13+参数调整!$B$14+参数调整!$B$15+参数调整!$B$16)</f>
        <v>26919.999999999996</v>
      </c>
      <c r="AO27" s="2"/>
      <c r="AP27" s="2"/>
    </row>
    <row r="28" spans="1:42">
      <c r="J28" s="1"/>
      <c r="P28" s="1"/>
      <c r="Q28" s="73" t="s">
        <v>310</v>
      </c>
      <c r="R28" s="73" t="s">
        <v>441</v>
      </c>
      <c r="S28" s="73" t="s">
        <v>311</v>
      </c>
      <c r="T28" s="73" t="s">
        <v>312</v>
      </c>
      <c r="U28" s="73" t="s">
        <v>313</v>
      </c>
      <c r="V28" s="73" t="s">
        <v>314</v>
      </c>
      <c r="W28" s="73" t="s">
        <v>191</v>
      </c>
      <c r="X28" s="73" t="s">
        <v>274</v>
      </c>
      <c r="Y28" s="73" t="s">
        <v>315</v>
      </c>
      <c r="Z28" s="255" t="s">
        <v>443</v>
      </c>
      <c r="AB28" s="73">
        <f t="shared" si="7"/>
        <v>0</v>
      </c>
      <c r="AC28" s="123"/>
      <c r="AD28" s="308" t="s">
        <v>227</v>
      </c>
      <c r="AE28" s="308"/>
      <c r="AF28" s="308"/>
      <c r="AG28" s="73">
        <f>G18</f>
        <v>45865.286999999997</v>
      </c>
      <c r="AI28" s="325"/>
      <c r="AJ28" s="297" t="s">
        <v>256</v>
      </c>
      <c r="AK28" s="316" t="s">
        <v>257</v>
      </c>
      <c r="AL28" s="334" t="s">
        <v>176</v>
      </c>
      <c r="AM28" s="332">
        <v>0</v>
      </c>
      <c r="AN28" s="297">
        <f>AM28*参数调整!$B$30*参数调整!F11</f>
        <v>0</v>
      </c>
      <c r="AO28" s="2"/>
      <c r="AP28" s="2"/>
    </row>
    <row r="29" spans="1:42">
      <c r="J29" s="73" t="str">
        <f t="shared" ref="J29:J40" si="8">J3</f>
        <v>S</v>
      </c>
      <c r="K29" s="73">
        <f>第二季度!V3-第三季度!Q3+第三季度!R3</f>
        <v>47</v>
      </c>
      <c r="L29" s="73"/>
      <c r="M29" s="73"/>
      <c r="N29" s="73"/>
      <c r="O29" s="73"/>
      <c r="P29" s="73"/>
      <c r="Q29" s="137">
        <v>0</v>
      </c>
      <c r="R29" s="73">
        <f>IF(J29="S",K29*100/(SUM(第二季度!$R$18:$T$18)-$Q$29),IF(第三季度!J29="B",第三季度!K29*100/(SUM(第二季度!$R$19:$T$19)-$Q$30),IF(第三季度!J29="Q",第三季度!K29*100/(SUM(第二季度!$R$20:$T$20)-$Q$31),IF(第一季度!$R$22=0,第三季度!K29*100/(SUM(第二季度!$R$21:$T$21)-$Q$32)))))</f>
        <v>1.5460526315789473</v>
      </c>
      <c r="S29" s="1">
        <f>IF(J29="S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Q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-5.4429945054945042E-2</v>
      </c>
      <c r="T29" s="227">
        <v>0.63</v>
      </c>
      <c r="U29" s="73">
        <f>R29+S29-T29</f>
        <v>0.86162268652400231</v>
      </c>
      <c r="V29" s="73">
        <f>IF(J29="S",Z3*参数调整!$H$11/($X$29*$J$18),IF(第三季度!J29="B",第三季度!Z3*参数调整!$H$12/(第三季度!$X$30*第三季度!$J$18),IF(第三季度!J29="Q",第三季度!Z3*参数调整!$H$13/(第三季度!$X$31*第三季度!$J$18),第三季度!Z3*参数调整!$H$14/(第三季度!$X$32*第三季度!$J$18))))</f>
        <v>0.69000010537875012</v>
      </c>
      <c r="W29" s="227">
        <v>9112.161354618409</v>
      </c>
      <c r="X29" s="1">
        <f>W29+第二季度!U18*0.53653684+第一季度!T19*0.53653684*0.46055126</f>
        <v>18677.586311657633</v>
      </c>
      <c r="Y29" s="73">
        <f>U29+V29</f>
        <v>1.5516227919027523</v>
      </c>
      <c r="Z29" s="91">
        <v>5298.3145444946713</v>
      </c>
      <c r="AD29" s="308" t="s">
        <v>228</v>
      </c>
      <c r="AE29" s="308"/>
      <c r="AF29" s="308"/>
      <c r="AG29" s="98">
        <f>AG3+AG4*(1-参数调整!$B$18)-SUM(AG5:AG28)</f>
        <v>-54304.097000000009</v>
      </c>
      <c r="AH29" s="98">
        <f>AG29/(1-参数调整!B23)</f>
        <v>-55983.605154639183</v>
      </c>
      <c r="AI29" s="325"/>
      <c r="AJ29" s="298"/>
      <c r="AK29" s="317"/>
      <c r="AL29" s="335"/>
      <c r="AM29" s="333"/>
      <c r="AN29" s="299"/>
      <c r="AO29" s="2"/>
      <c r="AP29" s="2"/>
    </row>
    <row r="30" spans="1:42">
      <c r="J30" s="73" t="str">
        <f t="shared" si="8"/>
        <v>B</v>
      </c>
      <c r="K30" s="73">
        <f>第二季度!V4-第三季度!Q4+第三季度!R4</f>
        <v>80</v>
      </c>
      <c r="L30" s="73"/>
      <c r="M30" s="73"/>
      <c r="N30" s="73"/>
      <c r="O30" s="73"/>
      <c r="P30" s="73"/>
      <c r="Q30" s="137">
        <v>0</v>
      </c>
      <c r="R30" s="73">
        <f>IF(J30="S",K30*100/(SUM(第二季度!$R$18:$T$18)-$Q$29),IF(第三季度!J30="B",第三季度!K30*100/(SUM(第二季度!$R$19:$T$19)-$Q$30),IF(第三季度!J30="Q",第三季度!K30*100/(SUM(第二季度!$R$20:$T$20)-$Q$31),IF(第一季度!$R$22=0,第三季度!K30*100/(SUM(第二季度!$R$21:$T$21)-$Q$32)))))</f>
        <v>2.4038461538461537</v>
      </c>
      <c r="S30" s="1">
        <f>IF(J30="S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Q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-3.8775275735294129E-2</v>
      </c>
      <c r="T30" s="227">
        <v>1.33</v>
      </c>
      <c r="U30" s="73">
        <f t="shared" ref="U30:U40" si="9">R30+S30-T30</f>
        <v>1.0350708781108597</v>
      </c>
      <c r="V30" s="73">
        <f>IF(J30="S",Z4*参数调整!$H$11/($X$29*$J$18),IF(第三季度!J30="B",第三季度!Z4*参数调整!$H$12/(第三季度!$X$30*第三季度!$J$18),IF(第三季度!J30="Q",第三季度!Z4*参数调整!$H$13/(第三季度!$X$31*第三季度!$J$18),第三季度!Z4*参数调整!$H$14/(第三季度!$X$32*第三季度!$J$18))))</f>
        <v>1.1200001705897682</v>
      </c>
      <c r="W30" s="227">
        <v>13541.259412759257</v>
      </c>
      <c r="X30" s="1">
        <f>W30+第二季度!U19*0.53653684+第一季度!T20*0.53653684*0.46055126</f>
        <v>27677.995757225035</v>
      </c>
      <c r="Y30" s="73">
        <f t="shared" ref="Y30:Y40" si="10">U30+V30</f>
        <v>2.1550710487006279</v>
      </c>
      <c r="Z30" s="91">
        <v>8126.1903625041605</v>
      </c>
      <c r="AD30" s="294" t="s">
        <v>317</v>
      </c>
      <c r="AE30" s="295"/>
      <c r="AF30" s="296"/>
      <c r="AG30" s="243">
        <v>55984.5</v>
      </c>
      <c r="AI30" s="325"/>
      <c r="AJ30" s="298"/>
      <c r="AK30" s="317"/>
      <c r="AL30" s="334" t="s">
        <v>177</v>
      </c>
      <c r="AM30" s="332">
        <v>0</v>
      </c>
      <c r="AN30" s="297">
        <f>参数调整!F12*AM30*参数调整!$B$30</f>
        <v>0</v>
      </c>
      <c r="AO30" s="2"/>
      <c r="AP30" s="2"/>
    </row>
    <row r="31" spans="1:42">
      <c r="J31" s="73" t="str">
        <f t="shared" si="8"/>
        <v>B</v>
      </c>
      <c r="K31" s="73">
        <f>第二季度!V5-第三季度!Q5+第三季度!R5</f>
        <v>30</v>
      </c>
      <c r="L31" s="73"/>
      <c r="M31" s="73"/>
      <c r="N31" s="73"/>
      <c r="O31" s="73"/>
      <c r="P31" s="73"/>
      <c r="Q31" s="137">
        <v>0</v>
      </c>
      <c r="R31" s="73">
        <f>IF(J31="S",K31*100/(SUM(第二季度!$R$18:$T$18)-$Q$29),IF(第三季度!J31="B",第三季度!K31*100/(SUM(第二季度!$R$19:$T$19)-$Q$30),IF(第三季度!J31="Q",第三季度!K31*100/(SUM(第二季度!$R$20:$T$20)-$Q$31),IF(第一季度!$R$22=0,第三季度!K31*100/(SUM(第二季度!$R$21:$T$21)-$Q$32)))))</f>
        <v>0.90144230769230771</v>
      </c>
      <c r="S31" s="1">
        <f>IF(J31="S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Q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3.4466911764705885E-2</v>
      </c>
      <c r="T31" s="227"/>
      <c r="U31" s="73">
        <f t="shared" si="9"/>
        <v>0.93590921945701355</v>
      </c>
      <c r="V31" s="73">
        <f>IF(J31="S",Z5*参数调整!$H$11/($X$29*$J$18),IF(第三季度!J31="B",第三季度!Z5*参数调整!$H$12/(第三季度!$X$30*第三季度!$J$18),IF(第三季度!J31="Q",第三季度!Z5*参数调整!$H$13/(第三季度!$X$31*第三季度!$J$18),第三季度!Z5*参数调整!$H$14/(第三季度!$X$32*第三季度!$J$18))))</f>
        <v>0</v>
      </c>
      <c r="W31" s="227">
        <v>6062.4823242238372</v>
      </c>
      <c r="X31" s="1">
        <f>W31+第二季度!U20*0.53653684+第一季度!T21*0.53653684*0.46055126</f>
        <v>14989.829160084646</v>
      </c>
      <c r="Y31" s="73">
        <f t="shared" si="10"/>
        <v>0.93590921945701355</v>
      </c>
      <c r="Z31" s="91">
        <v>4271.0157869757541</v>
      </c>
      <c r="AD31" s="294" t="s">
        <v>228</v>
      </c>
      <c r="AE31" s="295"/>
      <c r="AF31" s="296"/>
      <c r="AG31" s="98">
        <f>AG30*(1-参数调整!B23)+AG29</f>
        <v>0.86799999998765998</v>
      </c>
      <c r="AI31" s="325"/>
      <c r="AJ31" s="298"/>
      <c r="AK31" s="317"/>
      <c r="AL31" s="335"/>
      <c r="AM31" s="333"/>
      <c r="AN31" s="299"/>
      <c r="AO31" s="2"/>
      <c r="AP31" s="2"/>
    </row>
    <row r="32" spans="1:42">
      <c r="J32" s="73" t="str">
        <f t="shared" si="8"/>
        <v>B</v>
      </c>
      <c r="K32" s="73">
        <f>第二季度!V6-第三季度!Q6+第三季度!R6</f>
        <v>29</v>
      </c>
      <c r="L32" s="73"/>
      <c r="M32" s="73"/>
      <c r="N32" s="73"/>
      <c r="O32" s="73"/>
      <c r="P32" s="73"/>
      <c r="Q32" s="137">
        <v>0</v>
      </c>
      <c r="R32" s="73">
        <f>IF(J32="S",K32*100/(SUM(第二季度!$R$18:$T$18)-$Q$29),IF(第三季度!J32="B",第三季度!K32*100/(SUM(第二季度!$R$19:$T$19)-$Q$30),IF(第三季度!J32="Q",第三季度!K32*100/(SUM(第二季度!$R$20:$T$20)-$Q$31),IF(第一季度!$R$22=0,第三季度!K32*100/(SUM(第二季度!$R$21:$T$21)-$Q$32)))))</f>
        <v>0.87139423076923073</v>
      </c>
      <c r="S32" s="1">
        <f>IF(J32="S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Q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3.3318014705882353E-2</v>
      </c>
      <c r="T32" s="227"/>
      <c r="U32" s="73">
        <f t="shared" si="9"/>
        <v>0.90471224547511309</v>
      </c>
      <c r="V32" s="73">
        <f>IF(J32="S",Z6*参数调整!$H$11/($X$29*$J$18),IF(第三季度!J32="B",第三季度!Z6*参数调整!$H$12/(第三季度!$X$30*第三季度!$J$18),IF(第三季度!J32="Q",第三季度!Z6*参数调整!$H$13/(第三季度!$X$31*第三季度!$J$18),第三季度!Z6*参数调整!$H$14/(第三季度!$X$32*第三季度!$J$18))))</f>
        <v>0</v>
      </c>
      <c r="W32" s="227">
        <v>2913</v>
      </c>
      <c r="X32" s="1">
        <f>W32+第二季度!U21*0.53653684+第一季度!T22*0.53653684*0.46055126</f>
        <v>3795.9168997344063</v>
      </c>
      <c r="Y32" s="73">
        <f t="shared" si="10"/>
        <v>0.90471224547511309</v>
      </c>
      <c r="Z32" s="91">
        <v>757.50665067089903</v>
      </c>
      <c r="AI32" s="325"/>
      <c r="AJ32" s="298"/>
      <c r="AK32" s="317"/>
      <c r="AL32" s="334" t="s">
        <v>178</v>
      </c>
      <c r="AM32" s="332">
        <v>0</v>
      </c>
      <c r="AN32" s="297">
        <f>参数调整!F13*AM32*参数调整!$B$30</f>
        <v>0</v>
      </c>
      <c r="AO32" s="2"/>
      <c r="AP32" s="2"/>
    </row>
    <row r="33" spans="1:42">
      <c r="A33" s="73" t="s">
        <v>316</v>
      </c>
      <c r="B33" s="73" t="s">
        <v>191</v>
      </c>
      <c r="J33" s="73" t="str">
        <f t="shared" si="8"/>
        <v>Q</v>
      </c>
      <c r="K33" s="73">
        <f>第二季度!V7-第三季度!Q7+第三季度!R7</f>
        <v>52</v>
      </c>
      <c r="L33" s="73"/>
      <c r="M33" s="73"/>
      <c r="N33" s="73"/>
      <c r="O33" s="73"/>
      <c r="P33" s="73"/>
      <c r="R33" s="73">
        <f>IF(J33="S",K33*100/(SUM(第二季度!$R$18:$T$18)-$Q$29),IF(第三季度!J33="B",第三季度!K33*100/(SUM(第二季度!$R$19:$T$19)-$Q$30),IF(第三季度!J33="Q",第三季度!K33*100/(SUM(第二季度!$R$20:$T$20)-$Q$31),IF(第一季度!$R$22=0,第三季度!K33*100/(SUM(第二季度!$R$21:$T$21)-$Q$32)))))</f>
        <v>1.3541666666666667</v>
      </c>
      <c r="S33" s="1">
        <f>IF(J33="S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Q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-0.10984848484848486</v>
      </c>
      <c r="T33" s="227"/>
      <c r="U33" s="73">
        <f t="shared" si="9"/>
        <v>1.2443181818181819</v>
      </c>
      <c r="V33" s="73">
        <f>IF(J33="S",Z7*参数调整!$H$11/($X$29*$J$18),IF(第三季度!J33="B",第三季度!Z7*参数调整!$H$12/(第三季度!$X$30*第三季度!$J$18),IF(第三季度!J33="Q",第三季度!Z7*参数调整!$H$13/(第三季度!$X$31*第三季度!$J$18),第三季度!Z7*参数调整!$H$14/(第三季度!$X$32*第三季度!$J$18))))</f>
        <v>0</v>
      </c>
      <c r="W33" s="1"/>
      <c r="X33" s="1"/>
      <c r="Y33" s="73">
        <f t="shared" si="10"/>
        <v>1.2443181818181819</v>
      </c>
      <c r="Z33" s="1"/>
      <c r="AI33" s="325"/>
      <c r="AJ33" s="298"/>
      <c r="AK33" s="317"/>
      <c r="AL33" s="335"/>
      <c r="AM33" s="333"/>
      <c r="AN33" s="299"/>
      <c r="AO33" s="2"/>
      <c r="AP33" s="2"/>
    </row>
    <row r="34" spans="1:42">
      <c r="A34" s="239">
        <v>0.69</v>
      </c>
      <c r="B34" s="73">
        <f>((AB3*参数调整!H11/第三季度!A34)-第一季度!G21*第三季度!$J$18*0.536537*0.46055126-第二季度!K28*第三季度!$J$18*0.536537)/第三季度!$J$18</f>
        <v>9112.161354618409</v>
      </c>
      <c r="J34" s="73" t="str">
        <f t="shared" si="8"/>
        <v>Q</v>
      </c>
      <c r="K34" s="73">
        <f>第二季度!V8-第三季度!Q8+第三季度!R8</f>
        <v>52</v>
      </c>
      <c r="L34" s="73"/>
      <c r="M34" s="73"/>
      <c r="N34" s="73"/>
      <c r="O34" s="73"/>
      <c r="P34" s="73"/>
      <c r="R34" s="73">
        <f>IF(J34="S",K34*100/(SUM(第二季度!$R$18:$T$18)-$Q$29),IF(第三季度!J34="B",第三季度!K34*100/(SUM(第二季度!$R$19:$T$19)-$Q$30),IF(第三季度!J34="Q",第三季度!K34*100/(SUM(第二季度!$R$20:$T$20)-$Q$31),IF(第一季度!$R$22=0,第三季度!K34*100/(SUM(第二季度!$R$21:$T$21)-$Q$32)))))</f>
        <v>1.3541666666666667</v>
      </c>
      <c r="S34" s="1">
        <f>IF(J34="S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Q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-0.10984848484848486</v>
      </c>
      <c r="T34" s="227"/>
      <c r="U34" s="73">
        <f t="shared" si="9"/>
        <v>1.2443181818181819</v>
      </c>
      <c r="V34" s="73">
        <f>IF(J34="S",Z8*参数调整!$H$11/($X$29*$J$18),IF(第三季度!J34="B",第三季度!Z8*参数调整!$H$12/(第三季度!$X$30*第三季度!$J$18),IF(第三季度!J34="Q",第三季度!Z8*参数调整!$H$13/(第三季度!$X$31*第三季度!$J$18),第三季度!Z8*参数调整!$H$14/(第三季度!$X$32*第三季度!$J$18))))</f>
        <v>0</v>
      </c>
      <c r="W34" s="1"/>
      <c r="X34" s="1"/>
      <c r="Y34" s="73">
        <f t="shared" si="10"/>
        <v>1.2443181818181819</v>
      </c>
      <c r="Z34" s="1"/>
      <c r="AI34" s="325"/>
      <c r="AJ34" s="298"/>
      <c r="AK34" s="317"/>
      <c r="AL34" s="334" t="s">
        <v>193</v>
      </c>
      <c r="AM34" s="332">
        <v>0</v>
      </c>
      <c r="AN34" s="297">
        <f>参数调整!F14*AM34*参数调整!$B$30</f>
        <v>0</v>
      </c>
      <c r="AO34" s="2"/>
      <c r="AP34" s="2"/>
    </row>
    <row r="35" spans="1:42">
      <c r="A35" s="239">
        <v>1.1200000000000001</v>
      </c>
      <c r="B35" s="73">
        <f>((AB4*参数调整!H12/第三季度!A35)-第一季度!G22*第三季度!$J$18*0.536537*0.46055126-第二季度!K29*第三季度!$J$18*0.536537)/第三季度!$J$18</f>
        <v>13541.259412759257</v>
      </c>
      <c r="J35" s="73" t="str">
        <f t="shared" si="8"/>
        <v>Q</v>
      </c>
      <c r="K35" s="73">
        <f>第二季度!V9-第三季度!Q9+第三季度!R9</f>
        <v>100</v>
      </c>
      <c r="L35" s="73"/>
      <c r="M35" s="73"/>
      <c r="N35" s="73"/>
      <c r="O35" s="73"/>
      <c r="P35" s="73"/>
      <c r="R35" s="73">
        <f>IF(J35="S",K35*100/(SUM(第二季度!$R$18:$T$18)-$Q$29),IF(第三季度!J35="B",第三季度!K35*100/(SUM(第二季度!$R$19:$T$19)-$Q$30),IF(第三季度!J35="Q",第三季度!K35*100/(SUM(第二季度!$R$20:$T$20)-$Q$31),IF(第一季度!$R$22=0,第三季度!K35*100/(SUM(第二季度!$R$21:$T$21)-$Q$32)))))</f>
        <v>2.6041666666666665</v>
      </c>
      <c r="S35" s="1">
        <f>IF(J35="S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Q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-0.125</v>
      </c>
      <c r="T35" s="227">
        <v>1.1100000000000001</v>
      </c>
      <c r="U35" s="73">
        <f t="shared" si="9"/>
        <v>1.3691666666666664</v>
      </c>
      <c r="V35" s="73">
        <f>IF(J35="S",Z9*参数调整!$H$11/($X$29*$J$18),IF(第三季度!J35="B",第三季度!Z9*参数调整!$H$12/(第三季度!$X$30*第三季度!$J$18),IF(第三季度!J35="Q",第三季度!Z9*参数调整!$H$13/(第三季度!$X$31*第三季度!$J$18),第三季度!Z9*参数调整!$H$14/(第三季度!$X$32*第三季度!$J$18))))</f>
        <v>1.0200001811533344</v>
      </c>
      <c r="W35" s="1"/>
      <c r="X35" s="1"/>
      <c r="Y35" s="73">
        <f t="shared" si="10"/>
        <v>2.3891668478200008</v>
      </c>
      <c r="Z35" s="1"/>
      <c r="AI35" s="325"/>
      <c r="AJ35" s="299"/>
      <c r="AK35" s="318"/>
      <c r="AL35" s="335"/>
      <c r="AM35" s="333"/>
      <c r="AN35" s="299"/>
      <c r="AO35" s="100" t="s">
        <v>258</v>
      </c>
      <c r="AP35" s="100" t="s">
        <v>259</v>
      </c>
    </row>
    <row r="36" spans="1:42">
      <c r="A36" s="239">
        <v>1.02</v>
      </c>
      <c r="B36" s="73">
        <f>((AB5*参数调整!H13/第三季度!A36)-第一季度!G23*第三季度!$J$18*0.536537*0.46055126-第二季度!K30*第三季度!$J$18*0.536537)/第三季度!$J$18</f>
        <v>6062.4823242238372</v>
      </c>
      <c r="D36" s="304" t="s">
        <v>306</v>
      </c>
      <c r="E36" s="291" t="s">
        <v>302</v>
      </c>
      <c r="F36" s="291" t="s">
        <v>354</v>
      </c>
      <c r="J36" s="73" t="str">
        <f t="shared" si="8"/>
        <v>L</v>
      </c>
      <c r="K36" s="73">
        <f>第二季度!V10-第三季度!Q10+第三季度!R10</f>
        <v>34</v>
      </c>
      <c r="L36" s="73"/>
      <c r="M36" s="73"/>
      <c r="N36" s="73"/>
      <c r="O36" s="73"/>
      <c r="P36" s="73"/>
      <c r="R36" s="73">
        <f>IF(J36="S",K36*100/(SUM(第二季度!$R$18:$T$18)-$Q$29),IF(第三季度!J36="B",第三季度!K36*100/(SUM(第二季度!$R$19:$T$19)-$Q$30),IF(第三季度!J36="Q",第三季度!K36*100/(SUM(第二季度!$R$20:$T$20)-$Q$31),IF(第一季度!$R$22=0,第三季度!K36*100/(SUM(第二季度!$R$21:$T$21)-$Q$32)))))</f>
        <v>0.7589285714285714</v>
      </c>
      <c r="S36" s="1">
        <f>IF(J36="S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Q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-4.4020784543325524E-2</v>
      </c>
      <c r="T36" s="227"/>
      <c r="U36" s="73">
        <f t="shared" si="9"/>
        <v>0.71490778688524592</v>
      </c>
      <c r="V36" s="73">
        <f>IF(J36="S",Z10*参数调整!$H$11/($X$29*$J$18),IF(第三季度!J36="B",第三季度!Z10*参数调整!$H$12/(第三季度!$X$30*第三季度!$J$18),IF(第三季度!J36="Q",第三季度!Z10*参数调整!$H$13/(第三季度!$X$31*第三季度!$J$18),第三季度!Z10*参数调整!$H$14/(第三季度!$X$32*第三季度!$J$18))))</f>
        <v>0.24003862327186865</v>
      </c>
      <c r="W36" s="1"/>
      <c r="X36" s="1"/>
      <c r="Y36" s="73">
        <f t="shared" si="10"/>
        <v>0.95494641015711457</v>
      </c>
      <c r="Z36" s="1"/>
      <c r="AI36" s="326"/>
      <c r="AJ36" s="294" t="s">
        <v>260</v>
      </c>
      <c r="AK36" s="295"/>
      <c r="AL36" s="295"/>
      <c r="AM36" s="296"/>
      <c r="AN36" s="98">
        <f>AN2-SUM(AN5:AN19)+SUM(AN20:AN26)-SUM(AN27:AN35)+AO36*(1-参数调整!B23)+AP36*(1-参数调整!B24)</f>
        <v>197090.56999999998</v>
      </c>
      <c r="AO36" s="74">
        <v>0</v>
      </c>
      <c r="AP36" s="74">
        <v>0</v>
      </c>
    </row>
    <row r="37" spans="1:42">
      <c r="A37" s="239">
        <v>0.24</v>
      </c>
      <c r="B37" s="73" t="e">
        <f>((AB6*参数调整!H14/第三季度!A37)-第一季度!G24*第三季度!$J$18*0.536537*0.46055126-第二季度!K31*第三季度!$J$18*0.536537)/第三季度!$J$18</f>
        <v>#DIV/0!</v>
      </c>
      <c r="D37" s="304"/>
      <c r="E37" s="291"/>
      <c r="F37" s="291"/>
      <c r="J37" s="73">
        <v>0</v>
      </c>
      <c r="K37" s="73">
        <f>第二季度!V11-第三季度!Q11+第三季度!R11</f>
        <v>0</v>
      </c>
      <c r="L37" s="73"/>
      <c r="M37" s="73"/>
      <c r="N37" s="73"/>
      <c r="O37" s="73"/>
      <c r="P37" s="73"/>
      <c r="R37" s="73">
        <f>IF(J37="S",K37*100/(SUM(第二季度!$R$18:$T$18)-$Q$29),IF(第三季度!J37="B",第三季度!K37*100/(SUM(第二季度!$R$19:$T$19)-$Q$30),IF(第三季度!J37="Q",第三季度!K37*100/(SUM(第二季度!$R$20:$T$20)-$Q$31),IF(第一季度!$R$22=0,第三季度!K37*100/(SUM(第二季度!$R$21:$T$21)-$Q$32)))))</f>
        <v>0</v>
      </c>
      <c r="S37" s="1">
        <f>IF(J37="S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Q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-8.1967213114754092E-2</v>
      </c>
      <c r="T37" s="227"/>
      <c r="U37" s="73">
        <f t="shared" si="9"/>
        <v>-8.1967213114754092E-2</v>
      </c>
      <c r="V37" s="73">
        <f>IF(J37="S",Z11*参数调整!$H$11/($X$29*$J$18),IF(第三季度!J37="B",第三季度!Z11*参数调整!$H$12/(第三季度!$X$30*第三季度!$J$18),IF(第三季度!J37="Q",第三季度!Z11*参数调整!$H$13/(第三季度!$X$31*第三季度!$J$18),第三季度!Z11*参数调整!$H$14/(第三季度!$X$32*第三季度!$J$18))))</f>
        <v>0</v>
      </c>
      <c r="Y37" s="73">
        <f t="shared" si="10"/>
        <v>-8.1967213114754092E-2</v>
      </c>
      <c r="AI37" s="321" t="s">
        <v>334</v>
      </c>
      <c r="AJ37" s="294" t="s">
        <v>262</v>
      </c>
      <c r="AK37" s="295"/>
      <c r="AL37" s="295"/>
      <c r="AM37" s="296"/>
      <c r="AN37" s="106">
        <f>AO3-AO36</f>
        <v>147782.70000000001</v>
      </c>
      <c r="AO37" s="2"/>
      <c r="AP37" s="2"/>
    </row>
    <row r="38" spans="1:42">
      <c r="D38" s="2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2">
        <f>第二季度!G3+第二季度!H3+第二季度!E38-第二季度!B3</f>
        <v>0</v>
      </c>
      <c r="F38">
        <f>E38+G3-B3</f>
        <v>0</v>
      </c>
      <c r="J38" s="73">
        <f t="shared" si="8"/>
        <v>0</v>
      </c>
      <c r="K38" s="73">
        <f>第二季度!V12-第三季度!Q12+第三季度!R12</f>
        <v>0</v>
      </c>
      <c r="L38" s="73"/>
      <c r="M38" s="73"/>
      <c r="N38" s="73"/>
      <c r="O38" s="73"/>
      <c r="P38" s="73"/>
      <c r="R38" s="73">
        <f>IF(J38="S",K38*100/(SUM(第二季度!$R$18:$T$18)-$Q$29),IF(第三季度!J38="B",第三季度!K38*100/(SUM(第二季度!$R$19:$T$19)-$Q$30),IF(第三季度!J38="Q",第三季度!K38*100/(SUM(第二季度!$R$20:$T$20)-$Q$31),IF(第一季度!$R$22=0,第三季度!K38*100/(SUM(第二季度!$R$21:$T$21)-$Q$32)))))</f>
        <v>0</v>
      </c>
      <c r="S38" s="1">
        <f>IF(J38="S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Q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-8.1967213114754092E-2</v>
      </c>
      <c r="T38" s="227"/>
      <c r="U38" s="73">
        <f t="shared" si="9"/>
        <v>-8.1967213114754092E-2</v>
      </c>
      <c r="V38" s="73">
        <f>IF(J38="S",Z12*参数调整!$H$11/($X$29*$J$18),IF(第三季度!J38="B",第三季度!Z12*参数调整!$H$12/(第三季度!$X$30*第三季度!$J$18),IF(第三季度!J38="Q",第三季度!Z12*参数调整!$H$13/(第三季度!$X$31*第三季度!$J$18),第三季度!Z12*参数调整!$H$14/(第三季度!$X$32*第三季度!$J$18))))</f>
        <v>0</v>
      </c>
      <c r="Y38" s="73">
        <f t="shared" si="10"/>
        <v>-8.1967213114754092E-2</v>
      </c>
      <c r="AI38" s="322"/>
      <c r="AJ38" s="294" t="s">
        <v>263</v>
      </c>
      <c r="AK38" s="295"/>
      <c r="AL38" s="295"/>
      <c r="AM38" s="296"/>
      <c r="AN38" s="106">
        <f>(G3*D3*E3+G4*D4*E4+G5*D5*1.5*E5+G6*D6*E6+G7*E7*D7+G8*E8*D8+G9*E9*D9+G10*E10*D10+G11*E11*D11+G12*E12*D12+G13*E13*D13*1.5+G14*E14*D14*1.5+G15*E15*D15*1.5+G16*E16*D16*1.5)*(1+参数调整!B6)</f>
        <v>69712.928999999989</v>
      </c>
      <c r="AO38" s="2"/>
      <c r="AP38" s="2"/>
    </row>
    <row r="39" spans="1:42">
      <c r="D39" s="2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75</v>
      </c>
      <c r="E39" s="2">
        <f>第二季度!G4+第二季度!H4+第二季度!E39-第二季度!B4</f>
        <v>0</v>
      </c>
      <c r="F39">
        <f t="shared" ref="F39:F51" si="11">E39+G4-B4</f>
        <v>0</v>
      </c>
      <c r="J39" s="73">
        <f t="shared" si="8"/>
        <v>0</v>
      </c>
      <c r="K39" s="73">
        <f>第二季度!V13-第三季度!Q13+第三季度!R13</f>
        <v>0</v>
      </c>
      <c r="L39" s="73"/>
      <c r="M39" s="73"/>
      <c r="N39" s="73"/>
      <c r="O39" s="73"/>
      <c r="P39" s="73"/>
      <c r="R39" s="73">
        <f>IF(J39="S",K39*100/(SUM(第二季度!$R$18:$T$18)-$Q$29),IF(第三季度!J39="B",第三季度!K39*100/(SUM(第二季度!$R$19:$T$19)-$Q$30),IF(第三季度!J39="Q",第三季度!K39*100/(SUM(第二季度!$R$20:$T$20)-$Q$31),IF(第一季度!$R$22=0,第三季度!K39*100/(SUM(第二季度!$R$21:$T$21)-$Q$32)))))</f>
        <v>0</v>
      </c>
      <c r="S39" s="1">
        <f>IF(J39="S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Q",(第二季度!V13-第三季度!Q13+第一季度!U13-第二季度!Q13)*参数调整!$K$13/(第一季度!$N$21+第二季度!$O$19)-第二季度!AA51,IF(第一季度!S32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-8.1967213114754092E-2</v>
      </c>
      <c r="T39" s="227"/>
      <c r="U39" s="73">
        <f t="shared" si="9"/>
        <v>-8.1967213114754092E-2</v>
      </c>
      <c r="V39" s="73">
        <f>IF(J39="S",Z13*参数调整!$H$11/($X$29*$J$18),IF(第三季度!J39="B",第三季度!Z13*参数调整!$H$12/(第三季度!$X$30*第三季度!$J$18),IF(第三季度!J39="Q",第三季度!Z13*参数调整!$H$13/(第三季度!$X$31*第三季度!$J$18),第三季度!Z13*参数调整!$H$14/(第三季度!$X$32*第三季度!$J$18))))</f>
        <v>0</v>
      </c>
      <c r="Y39" s="73">
        <f t="shared" si="10"/>
        <v>-8.1967213114754092E-2</v>
      </c>
      <c r="AI39" s="322"/>
      <c r="AJ39" s="294" t="s">
        <v>264</v>
      </c>
      <c r="AK39" s="295"/>
      <c r="AL39" s="295"/>
      <c r="AM39" s="296"/>
      <c r="AN39" s="106">
        <f>H5*D40*(1+参数调整!B6)+H13*D48*(1+参数调整!B6)+H14*D49*(1+参数调整!B6)+H15*D50*(1+参数调整!B6)+H16*D51*(1+参数调整!B6)</f>
        <v>17281.601999999999</v>
      </c>
      <c r="AO39" s="2"/>
      <c r="AP39" s="2"/>
    </row>
    <row r="40" spans="1:42">
      <c r="D40" s="2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106</v>
      </c>
      <c r="E40" s="2">
        <f>第二季度!G5+第二季度!H5+第二季度!E40-第二季度!B5</f>
        <v>0</v>
      </c>
      <c r="F40">
        <f t="shared" si="11"/>
        <v>0</v>
      </c>
      <c r="J40" s="73">
        <f t="shared" si="8"/>
        <v>0</v>
      </c>
      <c r="K40" s="73">
        <f>第二季度!V14-第三季度!Q14+第三季度!R14</f>
        <v>0</v>
      </c>
      <c r="L40" s="73"/>
      <c r="M40" s="73"/>
      <c r="N40" s="73"/>
      <c r="O40" s="73"/>
      <c r="P40" s="73"/>
      <c r="R40" s="73">
        <f>IF(J40="S",K40*100/(SUM(第二季度!$R$18:$T$18)-$Q$29),IF(第三季度!J40="B",第三季度!K40*100/(SUM(第二季度!$R$19:$T$19)-$Q$30),IF(第三季度!J40="Q",第三季度!K40*100/(SUM(第二季度!$R$20:$T$20)-$Q$31),IF(第一季度!$R$22=0,第三季度!K40*100/(SUM(第二季度!$R$21:$T$21)-$Q$32)))))</f>
        <v>0</v>
      </c>
      <c r="S40" s="1">
        <f>IF(J40="S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Q",(第二季度!V14-第三季度!Q14+第一季度!U14-第二季度!Q14)*参数调整!$K$13/(第一季度!$N$21+第二季度!$O$19)-第二季度!AA52,IF(第一季度!S33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-8.1967213114754092E-2</v>
      </c>
      <c r="T40" s="227"/>
      <c r="U40" s="73">
        <f t="shared" si="9"/>
        <v>-8.1967213114754092E-2</v>
      </c>
      <c r="V40" s="73">
        <f>IF(J40="S",Z14*参数调整!$H$11/($X$29*$J$18),IF(第三季度!J40="B",第三季度!Z14*参数调整!$H$12/(第三季度!$X$30*第三季度!$J$18),IF(第三季度!J40="Q",第三季度!Z14*参数调整!$H$13/(第三季度!$X$31*第三季度!$J$18),第三季度!Z14*参数调整!$H$14/(第三季度!$X$32*第三季度!$J$18))))</f>
        <v>0</v>
      </c>
      <c r="Y40" s="73">
        <f t="shared" si="10"/>
        <v>-8.1967213114754092E-2</v>
      </c>
      <c r="AI40" s="322"/>
      <c r="AJ40" s="294" t="s">
        <v>265</v>
      </c>
      <c r="AK40" s="295"/>
      <c r="AL40" s="295"/>
      <c r="AM40" s="296"/>
      <c r="AN40" s="106">
        <v>10000</v>
      </c>
      <c r="AO40" s="2"/>
      <c r="AP40" s="2"/>
    </row>
    <row r="41" spans="1:42">
      <c r="A41" s="73" t="s">
        <v>304</v>
      </c>
      <c r="B41" s="1"/>
      <c r="C41" s="1"/>
      <c r="D41" s="2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14</v>
      </c>
      <c r="E41" s="2">
        <f>第二季度!G6+第二季度!H6+第二季度!E41-第二季度!B6</f>
        <v>0</v>
      </c>
      <c r="F41">
        <f t="shared" si="11"/>
        <v>0</v>
      </c>
      <c r="AI41" s="322"/>
      <c r="AJ41" s="294" t="s">
        <v>266</v>
      </c>
      <c r="AK41" s="295"/>
      <c r="AL41" s="295"/>
      <c r="AM41" s="296"/>
      <c r="AN41" s="106">
        <f>(AN2+AO3+AP3-AK2)*参数调整!$B$6/(1+参数调整!$B$6)-(F3+F4+F5*1.5+F6+F7+F8+F9+F10+F11+F12+F13*1.5+F14*1.5+F15*1.5+F16*1.5+第二季度!AN39)/(1+参数调整!B6)*参数调整!B6</f>
        <v>56578.856290598284</v>
      </c>
      <c r="AO41" s="2"/>
      <c r="AP41" s="2"/>
    </row>
    <row r="42" spans="1:42">
      <c r="A42" s="246">
        <f t="shared" ref="A42:A53" si="12">ROUNDUP(IF(J3="S",W3*$R$18/SUM($R$18:$V$18),IF(J3="B",W3*$R$19/SUM($R$19:$V$19),IF(J3="Q",W3*$R$20/SUM($R$20:$V$20),W3*$R$21/SUM($R$21:$V$21)))),1)</f>
        <v>14.799999999999999</v>
      </c>
      <c r="B42" s="246">
        <f t="shared" ref="B42:B53" si="13">ROUNDUP(IF(J3="S",W3*$S$18/SUM($R$18:$V$18),IF(J3="B",W3*$S$19/SUM($R$19:$V$19),IF(J3="Q",W3*$S$20/SUM($R$20:$V$20),W3*$S$21/SUM($R$21:$V$21)))),1)</f>
        <v>13.2</v>
      </c>
      <c r="C42" s="246"/>
      <c r="D42" s="24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22</v>
      </c>
      <c r="E42" s="247">
        <f>第二季度!G7+第二季度!H7+第二季度!E42-第二季度!B7</f>
        <v>0</v>
      </c>
      <c r="F42" s="248">
        <f t="shared" si="11"/>
        <v>0</v>
      </c>
      <c r="G42" s="246">
        <f t="shared" ref="G42:G53" si="14">ROUNDUP(IF(J3="S",W3*$T$18/SUM($R$18:$V$18),IF(J3="B",W3*$T$19/SUM($R$19:$V$19),IF(J3="Q",W3*$T$20/SUM($R$20:$V$20),W3*$T$21/SUM($R$21:$V$21)))),1)</f>
        <v>13.2</v>
      </c>
      <c r="H42" s="246">
        <f t="shared" ref="H42:H53" si="15">ROUNDUP(IF(J3="S",W3*$U$18/SUM($R$18:$V$18),IF(J3="B",W3*$U$19/SUM($R$19:$V$19),IF(J3="Q",W3*$U$20/SUM($R$20:$V$20),W3*$U$21/SUM($R$21:$V$21)))),1)</f>
        <v>14.799999999999999</v>
      </c>
      <c r="I42" s="246">
        <f t="shared" ref="I42:I53" si="16">ROUNDUP(IF(J3="S",W3*$V$18/SUM($R$18:$V$18),IF(J3="B",W3*$V$19/SUM($R$19:$V$19),IF(J3="Q",W3*$V$20/SUM($R$20:$V$20),W3*$V$21/SUM($R$21:$V$21)))),1)</f>
        <v>17.400000000000002</v>
      </c>
      <c r="J42" s="272">
        <f t="shared" ref="J42:J53" si="17">W3-TRUNC(A42)-TRUNC(B42)-TRUNC(G42)-TRUNC(H42)-TRUNC(I42)</f>
        <v>2</v>
      </c>
      <c r="K42" s="73" t="str">
        <f>J3</f>
        <v>S</v>
      </c>
      <c r="AI42" s="322"/>
      <c r="AJ42" s="294" t="s">
        <v>267</v>
      </c>
      <c r="AK42" s="295"/>
      <c r="AL42" s="295"/>
      <c r="AM42" s="296"/>
      <c r="AN42" s="106">
        <f>AN41*(参数调整!$B$7+参数调整!$B$8+参数调整!$B$9)</f>
        <v>6789.4627548717945</v>
      </c>
      <c r="AO42" s="2"/>
      <c r="AP42" s="2"/>
    </row>
    <row r="43" spans="1:42">
      <c r="A43" s="246">
        <f t="shared" si="12"/>
        <v>22.1</v>
      </c>
      <c r="B43" s="246">
        <f t="shared" si="13"/>
        <v>22.1</v>
      </c>
      <c r="C43" s="246"/>
      <c r="D43" s="24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32</v>
      </c>
      <c r="E43" s="247">
        <f>第二季度!G8+第二季度!H8+第二季度!E43-第二季度!B8</f>
        <v>0</v>
      </c>
      <c r="F43" s="248">
        <f t="shared" si="11"/>
        <v>0</v>
      </c>
      <c r="G43" s="246">
        <f t="shared" si="14"/>
        <v>28</v>
      </c>
      <c r="H43" s="246">
        <f t="shared" si="15"/>
        <v>24.3</v>
      </c>
      <c r="I43" s="246">
        <f t="shared" si="16"/>
        <v>25.8</v>
      </c>
      <c r="J43" s="272">
        <f t="shared" si="17"/>
        <v>1</v>
      </c>
      <c r="K43" s="73" t="str">
        <f t="shared" ref="K43:K53" si="18">J4</f>
        <v>B</v>
      </c>
      <c r="AI43" s="322"/>
      <c r="AJ43" s="294" t="s">
        <v>268</v>
      </c>
      <c r="AK43" s="295"/>
      <c r="AL43" s="295"/>
      <c r="AM43" s="296"/>
      <c r="AN43" s="106">
        <v>25812.720000000001</v>
      </c>
      <c r="AO43" s="2"/>
      <c r="AP43" s="2"/>
    </row>
    <row r="44" spans="1:42">
      <c r="A44" s="246">
        <f t="shared" si="12"/>
        <v>8.6999999999999993</v>
      </c>
      <c r="B44" s="246">
        <f t="shared" si="13"/>
        <v>8.6999999999999993</v>
      </c>
      <c r="C44" s="246"/>
      <c r="D44" s="24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53</v>
      </c>
      <c r="E44" s="247">
        <f>第二季度!G9+第二季度!H9+第二季度!E44-第二季度!B9</f>
        <v>0</v>
      </c>
      <c r="F44" s="248">
        <f t="shared" si="11"/>
        <v>0</v>
      </c>
      <c r="G44" s="246">
        <f t="shared" si="14"/>
        <v>11</v>
      </c>
      <c r="H44" s="246">
        <f t="shared" si="15"/>
        <v>9.6</v>
      </c>
      <c r="I44" s="246">
        <f t="shared" si="16"/>
        <v>10.199999999999999</v>
      </c>
      <c r="J44" s="272">
        <f t="shared" si="17"/>
        <v>2</v>
      </c>
      <c r="K44" s="73" t="str">
        <f t="shared" si="18"/>
        <v>B</v>
      </c>
      <c r="AI44" s="323"/>
      <c r="AJ44" s="294" t="s">
        <v>260</v>
      </c>
      <c r="AK44" s="295"/>
      <c r="AL44" s="295"/>
      <c r="AM44" s="296"/>
      <c r="AN44" s="98">
        <f>AN36+AN37-SUM(AN38:AN43)</f>
        <v>158697.69995452996</v>
      </c>
      <c r="AO44" s="2"/>
      <c r="AP44" s="2"/>
    </row>
    <row r="45" spans="1:42" ht="13.8" customHeight="1">
      <c r="A45" s="246">
        <f t="shared" si="12"/>
        <v>8.5</v>
      </c>
      <c r="B45" s="246">
        <f t="shared" si="13"/>
        <v>8.5</v>
      </c>
      <c r="C45" s="246"/>
      <c r="D45" s="24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73</v>
      </c>
      <c r="E45" s="247">
        <f>第二季度!G10+第二季度!H10+第二季度!E45-第二季度!B10</f>
        <v>0</v>
      </c>
      <c r="F45" s="248">
        <f t="shared" si="11"/>
        <v>0</v>
      </c>
      <c r="G45" s="246">
        <f t="shared" si="14"/>
        <v>10.799999999999999</v>
      </c>
      <c r="H45" s="246">
        <f t="shared" si="15"/>
        <v>9.4</v>
      </c>
      <c r="I45" s="246">
        <f t="shared" si="16"/>
        <v>10</v>
      </c>
      <c r="J45" s="272">
        <f t="shared" si="17"/>
        <v>2</v>
      </c>
      <c r="K45" s="73" t="str">
        <f t="shared" si="18"/>
        <v>B</v>
      </c>
    </row>
    <row r="46" spans="1:42">
      <c r="A46" s="246">
        <f t="shared" si="12"/>
        <v>13.2</v>
      </c>
      <c r="B46" s="246">
        <f t="shared" si="13"/>
        <v>13.2</v>
      </c>
      <c r="C46" s="246"/>
      <c r="D46" s="24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247">
        <f>第二季度!G11+第二季度!H11+第二季度!E46-第二季度!B11</f>
        <v>0</v>
      </c>
      <c r="F46" s="248">
        <f t="shared" si="11"/>
        <v>0</v>
      </c>
      <c r="G46" s="246">
        <f t="shared" si="14"/>
        <v>13.2</v>
      </c>
      <c r="H46" s="246">
        <f t="shared" si="15"/>
        <v>18.8</v>
      </c>
      <c r="I46" s="246">
        <f t="shared" si="16"/>
        <v>15</v>
      </c>
      <c r="J46" s="272">
        <f t="shared" si="17"/>
        <v>1</v>
      </c>
      <c r="K46" s="73" t="str">
        <f t="shared" si="18"/>
        <v>Q</v>
      </c>
    </row>
    <row r="47" spans="1:42">
      <c r="A47" s="246">
        <f t="shared" si="12"/>
        <v>13.2</v>
      </c>
      <c r="B47" s="246">
        <f t="shared" si="13"/>
        <v>13.2</v>
      </c>
      <c r="C47" s="246"/>
      <c r="D47" s="24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247">
        <f>第二季度!G12+第二季度!H12+第二季度!E47-第二季度!B12</f>
        <v>0</v>
      </c>
      <c r="F47" s="248">
        <f t="shared" si="11"/>
        <v>0</v>
      </c>
      <c r="G47" s="246">
        <f t="shared" si="14"/>
        <v>13.2</v>
      </c>
      <c r="H47" s="246">
        <f t="shared" si="15"/>
        <v>18.8</v>
      </c>
      <c r="I47" s="246">
        <f t="shared" si="16"/>
        <v>15</v>
      </c>
      <c r="J47" s="272">
        <f t="shared" si="17"/>
        <v>1</v>
      </c>
      <c r="K47" s="73" t="str">
        <f t="shared" si="18"/>
        <v>Q</v>
      </c>
    </row>
    <row r="48" spans="1:42">
      <c r="A48" s="246">
        <f t="shared" si="12"/>
        <v>25</v>
      </c>
      <c r="B48" s="246">
        <f t="shared" si="13"/>
        <v>25</v>
      </c>
      <c r="C48" s="246"/>
      <c r="D48" s="24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43.699999999999996</v>
      </c>
      <c r="E48" s="247">
        <f>第二季度!G13+第二季度!H13+第二季度!E48-第二季度!B13</f>
        <v>264</v>
      </c>
      <c r="F48" s="248">
        <f t="shared" si="11"/>
        <v>2</v>
      </c>
      <c r="G48" s="246">
        <f t="shared" si="14"/>
        <v>25</v>
      </c>
      <c r="H48" s="246">
        <f t="shared" si="15"/>
        <v>35.700000000000003</v>
      </c>
      <c r="I48" s="246">
        <f t="shared" si="16"/>
        <v>28.6</v>
      </c>
      <c r="J48" s="272">
        <f t="shared" si="17"/>
        <v>1</v>
      </c>
      <c r="K48" s="73" t="str">
        <f t="shared" si="18"/>
        <v>Q</v>
      </c>
    </row>
    <row r="49" spans="1:11">
      <c r="A49" s="246">
        <f t="shared" si="12"/>
        <v>34.1</v>
      </c>
      <c r="B49" s="246">
        <f t="shared" si="13"/>
        <v>38.4</v>
      </c>
      <c r="C49" s="246"/>
      <c r="D49" s="24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47">
        <f>第二季度!G14+第二季度!H14+第二季度!E49-第二季度!B14</f>
        <v>0</v>
      </c>
      <c r="F49" s="248">
        <f t="shared" si="11"/>
        <v>0</v>
      </c>
      <c r="G49" s="246">
        <f t="shared" si="14"/>
        <v>34.1</v>
      </c>
      <c r="H49" s="246">
        <f t="shared" si="15"/>
        <v>38.4</v>
      </c>
      <c r="I49" s="246">
        <f t="shared" si="16"/>
        <v>38.4</v>
      </c>
      <c r="J49" s="272">
        <f t="shared" si="17"/>
        <v>1</v>
      </c>
      <c r="K49" s="73" t="str">
        <f t="shared" si="18"/>
        <v>L</v>
      </c>
    </row>
    <row r="50" spans="1:11">
      <c r="A50" s="246">
        <f t="shared" si="12"/>
        <v>0</v>
      </c>
      <c r="B50" s="246">
        <f t="shared" si="13"/>
        <v>0</v>
      </c>
      <c r="C50" s="246"/>
      <c r="D50" s="24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78</v>
      </c>
      <c r="E50" s="247">
        <f>第二季度!G15+第二季度!H15+第二季度!E50-第二季度!B15</f>
        <v>0</v>
      </c>
      <c r="F50" s="248">
        <f t="shared" si="11"/>
        <v>0</v>
      </c>
      <c r="G50" s="246">
        <f t="shared" si="14"/>
        <v>0</v>
      </c>
      <c r="H50" s="246">
        <f t="shared" si="15"/>
        <v>0</v>
      </c>
      <c r="I50" s="246">
        <f t="shared" si="16"/>
        <v>0</v>
      </c>
      <c r="J50" s="272">
        <f t="shared" si="17"/>
        <v>0</v>
      </c>
      <c r="K50" s="73">
        <f t="shared" si="18"/>
        <v>0</v>
      </c>
    </row>
    <row r="51" spans="1:11">
      <c r="A51" s="246">
        <f t="shared" si="12"/>
        <v>0</v>
      </c>
      <c r="B51" s="246">
        <f t="shared" si="13"/>
        <v>0</v>
      </c>
      <c r="C51" s="246"/>
      <c r="D51" s="24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83</v>
      </c>
      <c r="E51" s="247">
        <f>第二季度!G16+第二季度!H16+第二季度!E51-第二季度!B16</f>
        <v>0</v>
      </c>
      <c r="F51" s="248">
        <f t="shared" si="11"/>
        <v>0</v>
      </c>
      <c r="G51" s="246">
        <f t="shared" si="14"/>
        <v>0</v>
      </c>
      <c r="H51" s="246">
        <f t="shared" si="15"/>
        <v>0</v>
      </c>
      <c r="I51" s="246">
        <f t="shared" si="16"/>
        <v>0</v>
      </c>
      <c r="J51" s="272">
        <f t="shared" si="17"/>
        <v>0</v>
      </c>
      <c r="K51" s="73">
        <f t="shared" si="18"/>
        <v>0</v>
      </c>
    </row>
    <row r="52" spans="1:11">
      <c r="A52" s="246">
        <f t="shared" si="12"/>
        <v>0</v>
      </c>
      <c r="B52" s="246">
        <f t="shared" si="13"/>
        <v>0</v>
      </c>
      <c r="C52" s="246"/>
      <c r="D52" s="248"/>
      <c r="E52" s="248"/>
      <c r="F52" s="246"/>
      <c r="G52" s="246">
        <f t="shared" si="14"/>
        <v>0</v>
      </c>
      <c r="H52" s="246">
        <f t="shared" si="15"/>
        <v>0</v>
      </c>
      <c r="I52" s="246">
        <f t="shared" si="16"/>
        <v>0</v>
      </c>
      <c r="J52" s="272">
        <f t="shared" si="17"/>
        <v>0</v>
      </c>
      <c r="K52" s="73">
        <f t="shared" si="18"/>
        <v>0</v>
      </c>
    </row>
    <row r="53" spans="1:11">
      <c r="A53" s="246">
        <f t="shared" si="12"/>
        <v>0</v>
      </c>
      <c r="B53" s="246">
        <f t="shared" si="13"/>
        <v>0</v>
      </c>
      <c r="C53" s="246"/>
      <c r="D53" s="248"/>
      <c r="E53" s="248"/>
      <c r="F53" s="246"/>
      <c r="G53" s="246">
        <f t="shared" si="14"/>
        <v>0</v>
      </c>
      <c r="H53" s="246">
        <f t="shared" si="15"/>
        <v>0</v>
      </c>
      <c r="I53" s="246">
        <f t="shared" si="16"/>
        <v>0</v>
      </c>
      <c r="J53" s="272">
        <f t="shared" si="17"/>
        <v>0</v>
      </c>
      <c r="K53" s="73">
        <f t="shared" si="18"/>
        <v>0</v>
      </c>
    </row>
    <row r="54" spans="1:11">
      <c r="E54">
        <f>IF(B3&gt;E38,(B3-E38)*D3+E38*第二季度!D38,B3*第二季度!D38)</f>
        <v>24897.600000000002</v>
      </c>
    </row>
    <row r="55" spans="1:11">
      <c r="E55">
        <f>IF(B4&gt;E39,(B4-E39)*D4+E39*第二季度!D39,B4*第二季度!D39)</f>
        <v>6150</v>
      </c>
    </row>
    <row r="56" spans="1:11">
      <c r="E56">
        <f>IF(B5&gt;E40,(B5-E40)*D5+E40*第二季度!D40,B5*第二季度!D40)</f>
        <v>0</v>
      </c>
    </row>
    <row r="57" spans="1:11">
      <c r="E57">
        <f>IF(B6&gt;E41,(B6-E41)*D6+E41*第二季度!D41,B6*第二季度!D41)</f>
        <v>7635.5999999999995</v>
      </c>
    </row>
    <row r="58" spans="1:11">
      <c r="E58">
        <f>IF(B7&gt;E42,(B7-E42)*D7+E42*第二季度!D42,B7*第二季度!D42)</f>
        <v>4263.5999999999995</v>
      </c>
    </row>
    <row r="59" spans="1:11">
      <c r="E59">
        <f>IF(B8&gt;E43,(B8-E43)*D8+E43*第二季度!D43,B8*第二季度!D43)</f>
        <v>0</v>
      </c>
    </row>
    <row r="60" spans="1:11">
      <c r="E60">
        <f>IF(B9&gt;E44,(B9-E44)*D9+E44*第二季度!D44,B9*第二季度!D44)</f>
        <v>16615.499999999996</v>
      </c>
    </row>
    <row r="61" spans="1:11">
      <c r="E61">
        <f>IF(B10&gt;E45,(B10-E45)*D10+E45*第二季度!D45,B10*第二季度!D45)</f>
        <v>24272.499999999996</v>
      </c>
    </row>
    <row r="62" spans="1:11">
      <c r="E62">
        <f>IF(B11&gt;E46,(B11-E46)*D11+E46*第二季度!D46,B11*第二季度!D46)</f>
        <v>14950</v>
      </c>
    </row>
    <row r="63" spans="1:11">
      <c r="E63">
        <f>IF(B12&gt;E47,(B12-E47)*D12+E47*第二季度!D47,B12*第二季度!D47)</f>
        <v>0</v>
      </c>
    </row>
    <row r="64" spans="1:11">
      <c r="E64">
        <f>IF(B13&gt;E48,(B13-E48)*D13+E48*第二季度!D48,B13*第二季度!D48)</f>
        <v>11947.199999999999</v>
      </c>
    </row>
    <row r="65" spans="4:5">
      <c r="E65">
        <f>IF(B14&gt;E49,(B14-E49)*D14+E49*第二季度!D49,B14*第二季度!D49)</f>
        <v>0</v>
      </c>
    </row>
    <row r="66" spans="4:5">
      <c r="E66">
        <f>IF(B15&gt;E50,(B15-E50)*D15+E50*第二季度!D50,B15*第二季度!D50)</f>
        <v>0</v>
      </c>
    </row>
    <row r="67" spans="4:5">
      <c r="E67">
        <f>IF(B16&gt;E51,(B16-E51)*D16+E51*第二季度!D51,B16*第二季度!D51)</f>
        <v>0</v>
      </c>
    </row>
    <row r="68" spans="4:5">
      <c r="D68" t="s">
        <v>356</v>
      </c>
      <c r="E68">
        <f>SUM(E54:E67)</f>
        <v>110732</v>
      </c>
    </row>
    <row r="69" spans="4:5">
      <c r="D69" t="s">
        <v>357</v>
      </c>
    </row>
  </sheetData>
  <mergeCells count="77">
    <mergeCell ref="AN30:AN31"/>
    <mergeCell ref="AL32:AL33"/>
    <mergeCell ref="AM32:AM33"/>
    <mergeCell ref="AN32:AN33"/>
    <mergeCell ref="AL34:AL35"/>
    <mergeCell ref="AM34:AM35"/>
    <mergeCell ref="AN34:AN35"/>
    <mergeCell ref="AO4:AP4"/>
    <mergeCell ref="AO5:AP6"/>
    <mergeCell ref="AL28:AL29"/>
    <mergeCell ref="AM28:AM29"/>
    <mergeCell ref="AN28:AN29"/>
    <mergeCell ref="A18:B18"/>
    <mergeCell ref="Q22:Q25"/>
    <mergeCell ref="B1:B2"/>
    <mergeCell ref="C1:C2"/>
    <mergeCell ref="D1:D2"/>
    <mergeCell ref="E1:E2"/>
    <mergeCell ref="G1:G2"/>
    <mergeCell ref="H1:H2"/>
    <mergeCell ref="J17:K17"/>
    <mergeCell ref="J18:K20"/>
    <mergeCell ref="J21:K21"/>
    <mergeCell ref="J22:K24"/>
    <mergeCell ref="D36:D37"/>
    <mergeCell ref="E36:E37"/>
    <mergeCell ref="AD28:AF28"/>
    <mergeCell ref="AD29:AF29"/>
    <mergeCell ref="AD30:AF30"/>
    <mergeCell ref="F36:F37"/>
    <mergeCell ref="AL2:AM3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27:AL27"/>
    <mergeCell ref="AI2:AJ3"/>
    <mergeCell ref="AK2:AK3"/>
    <mergeCell ref="AJ18:AK19"/>
    <mergeCell ref="AJ20:AK23"/>
    <mergeCell ref="AJ24:AK26"/>
    <mergeCell ref="AJ41:AM41"/>
    <mergeCell ref="AD27:AF27"/>
    <mergeCell ref="AD31:AF31"/>
    <mergeCell ref="AJ43:AM43"/>
    <mergeCell ref="AJ44:AM44"/>
    <mergeCell ref="AJ36:AM36"/>
    <mergeCell ref="AI37:AI44"/>
    <mergeCell ref="AJ42:AM42"/>
    <mergeCell ref="AJ37:AM37"/>
    <mergeCell ref="AJ38:AM38"/>
    <mergeCell ref="AJ39:AM39"/>
    <mergeCell ref="AJ40:AM40"/>
    <mergeCell ref="AL30:AL31"/>
    <mergeCell ref="AM30:AM31"/>
    <mergeCell ref="AK28:AK35"/>
    <mergeCell ref="S1:V1"/>
    <mergeCell ref="AD11:AD14"/>
    <mergeCell ref="AD15:AE15"/>
    <mergeCell ref="AD17:AD22"/>
    <mergeCell ref="AJ28:AJ35"/>
    <mergeCell ref="AD2:AG2"/>
    <mergeCell ref="AD3:AF3"/>
    <mergeCell ref="AD5:AD7"/>
    <mergeCell ref="AD8:AD10"/>
    <mergeCell ref="AG8:AG10"/>
    <mergeCell ref="AD4:AF4"/>
    <mergeCell ref="AD16:AE16"/>
    <mergeCell ref="AD25:AE25"/>
    <mergeCell ref="AD26:AE26"/>
    <mergeCell ref="AD23:AE23"/>
    <mergeCell ref="AD24:AE24"/>
  </mergeCells>
  <phoneticPr fontId="1" type="noConversion"/>
  <dataValidations count="4">
    <dataValidation type="list" allowBlank="1" showInputMessage="1" showErrorMessage="1" sqref="AE11:AE14" xr:uid="{89EF8099-98E1-496F-9594-99EFBAE920A0}">
      <formula1>"手工线,半自动线,全自动线,柔性线"</formula1>
    </dataValidation>
    <dataValidation type="list" allowBlank="1" showInputMessage="1" showErrorMessage="1" sqref="AE5:AE7" xr:uid="{8778C42C-F6AC-4556-B0B2-B66F9C083A45}">
      <formula1>"购买小厂房,购买中厂房,购买大厂房"</formula1>
    </dataValidation>
    <dataValidation type="list" allowBlank="1" showInputMessage="1" showErrorMessage="1" sqref="AE8:AE10" xr:uid="{D6A589F2-3BC8-43D7-9A79-6999A60629DE}">
      <formula1>"租用小厂房,租用中厂房,租用大厂房"</formula1>
    </dataValidation>
    <dataValidation type="list" allowBlank="1" showInputMessage="1" showErrorMessage="1" sqref="AF17:AF24" xr:uid="{44418D2E-3D9F-4939-B0DE-B52DC9F7D9B5}">
      <formula1>"1,0"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08B-8C86-48F0-BE57-431AB42CD155}">
  <sheetPr codeName="Sheet6"/>
  <dimension ref="A1:AP90"/>
  <sheetViews>
    <sheetView tabSelected="1" topLeftCell="X1" zoomScale="85" zoomScaleNormal="85" workbookViewId="0">
      <selection activeCell="Y14" sqref="Y14"/>
    </sheetView>
  </sheetViews>
  <sheetFormatPr defaultRowHeight="13.8"/>
  <cols>
    <col min="1" max="1" width="14.6640625" bestFit="1" customWidth="1"/>
    <col min="2" max="2" width="12.77734375" customWidth="1"/>
    <col min="3" max="3" width="8.88671875" hidden="1" customWidth="1"/>
    <col min="4" max="4" width="12.77734375" hidden="1" customWidth="1"/>
    <col min="5" max="5" width="16.88671875" hidden="1" customWidth="1"/>
    <col min="6" max="6" width="14.109375" hidden="1" customWidth="1"/>
    <col min="7" max="7" width="11.21875" bestFit="1" customWidth="1"/>
    <col min="9" max="9" width="14.5546875" customWidth="1"/>
    <col min="10" max="10" width="9.44140625" bestFit="1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5" max="25" width="10.77734375" customWidth="1"/>
    <col min="26" max="26" width="14" customWidth="1"/>
    <col min="27" max="27" width="11.6640625" customWidth="1"/>
    <col min="28" max="28" width="15.5546875" bestFit="1" customWidth="1"/>
    <col min="31" max="31" width="16.5546875" customWidth="1"/>
    <col min="33" max="33" width="12.5546875" customWidth="1"/>
    <col min="34" max="34" width="12.44140625" customWidth="1"/>
    <col min="36" max="36" width="12.44140625" bestFit="1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97" t="s">
        <v>179</v>
      </c>
      <c r="C1" s="297" t="s">
        <v>180</v>
      </c>
      <c r="D1" s="304" t="s">
        <v>181</v>
      </c>
      <c r="E1" s="304" t="s">
        <v>182</v>
      </c>
      <c r="F1" s="1"/>
      <c r="G1" s="351" t="s">
        <v>183</v>
      </c>
      <c r="H1" s="304" t="s">
        <v>184</v>
      </c>
      <c r="S1" s="290"/>
      <c r="T1" s="290"/>
      <c r="U1" s="290"/>
      <c r="V1" s="290"/>
    </row>
    <row r="2" spans="1:42">
      <c r="A2" s="1"/>
      <c r="B2" s="303"/>
      <c r="C2" s="329"/>
      <c r="D2" s="304"/>
      <c r="E2" s="304"/>
      <c r="F2" s="1"/>
      <c r="G2" s="352"/>
      <c r="H2" s="304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216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175</v>
      </c>
      <c r="Z2" s="73" t="s">
        <v>276</v>
      </c>
      <c r="AA2" s="191" t="s">
        <v>199</v>
      </c>
      <c r="AB2" s="73" t="s">
        <v>175</v>
      </c>
      <c r="AD2" s="308" t="s">
        <v>200</v>
      </c>
      <c r="AE2" s="308"/>
      <c r="AF2" s="308"/>
      <c r="AG2" s="308"/>
      <c r="AI2" s="327" t="s">
        <v>230</v>
      </c>
      <c r="AJ2" s="328"/>
      <c r="AK2" s="332">
        <v>1558.3019999999999</v>
      </c>
      <c r="AL2" s="327" t="s">
        <v>231</v>
      </c>
      <c r="AM2" s="328"/>
      <c r="AN2" s="356">
        <v>428637.56</v>
      </c>
      <c r="AO2" s="225" t="s">
        <v>232</v>
      </c>
      <c r="AP2" s="225" t="s">
        <v>233</v>
      </c>
    </row>
    <row r="3" spans="1:42" ht="21" customHeight="1" thickBot="1">
      <c r="A3" s="78" t="s">
        <v>185</v>
      </c>
      <c r="B3" s="79">
        <f>SUMIF($L$3:$L$14,1,$S$3:$S$14)+SUMIF($L$3:$L$14,1,$T$3:$T$14)+SUMIF($L$3:$L$14,1,$U$3:$U$14)+SUMIF($L$3:$L$14,1,$V$3:$V$14)</f>
        <v>1060</v>
      </c>
      <c r="C3" s="93">
        <f>参数调整!E45</f>
        <v>36</v>
      </c>
      <c r="D3" s="9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30.599999999999998</v>
      </c>
      <c r="E3" s="93">
        <f>参数调整!I45</f>
        <v>1</v>
      </c>
      <c r="F3" s="1">
        <f>D3*G3*(参数调整!$B$6+1)</f>
        <v>37950.119999999995</v>
      </c>
      <c r="G3" s="81">
        <f t="shared" ref="G3:G16" si="0">IF(B3-E38&lt;=0,0,B3-E38)</f>
        <v>1060</v>
      </c>
      <c r="H3" s="82"/>
      <c r="J3" s="73" t="str">
        <f>第一季度!J3</f>
        <v>S</v>
      </c>
      <c r="K3" s="73">
        <f>第一季度!K3</f>
        <v>113</v>
      </c>
      <c r="L3" s="106" t="str">
        <f>LEFT(K3,1)</f>
        <v>1</v>
      </c>
      <c r="M3" s="106" t="str">
        <f>MID(K3,2,1)</f>
        <v>1</v>
      </c>
      <c r="N3" s="106" t="str">
        <f>MID(K3,3,1)</f>
        <v>3</v>
      </c>
      <c r="O3" s="106" t="str">
        <f>MID(K3,4,1)</f>
        <v/>
      </c>
      <c r="P3" s="106" t="str">
        <f>MID(K3,5,1)</f>
        <v/>
      </c>
      <c r="Q3" s="227">
        <v>7</v>
      </c>
      <c r="R3" s="227"/>
      <c r="S3" s="227"/>
      <c r="T3" s="227"/>
      <c r="U3" s="227"/>
      <c r="V3" s="227">
        <v>106</v>
      </c>
      <c r="W3" s="253">
        <f>TRUNC(S3*参数调整!$I$30)+TRUNC(T3*参数调整!$H$30)+TRUNC(U3*参数调整!$G$30)+TRUNC(V3*参数调整!$F$30)+Q3</f>
        <v>102</v>
      </c>
      <c r="X3" s="76">
        <f>ROUNDUP(SUM(R65:X65),0)</f>
        <v>138</v>
      </c>
      <c r="Y3" s="227"/>
      <c r="Z3" s="73">
        <f>Y3+第二季度!X3*0.53653684*0.46055126+第三季度!Y3*0.53653684</f>
        <v>11932.627505183609</v>
      </c>
      <c r="AA3" s="73">
        <f>IF(J3="S",Z3*参数调整!$H$11/($X$29*$J$18),IF(J3="B",Z3*参数调整!$H$12/($X$30*$J$18),IF(J3="Q",Z3*参数调整!$H$13/($X$31*$J$18),Z3*参数调整!$H$14/($X$32*$J$18))))</f>
        <v>0.33645346531302767</v>
      </c>
      <c r="AB3" s="196">
        <f>SUMIF(J3:J14,"S",Z3:Z14)</f>
        <v>11932.627505183609</v>
      </c>
      <c r="AD3" s="308" t="s">
        <v>201</v>
      </c>
      <c r="AE3" s="308"/>
      <c r="AF3" s="308"/>
      <c r="AG3" s="227">
        <v>163727.81</v>
      </c>
      <c r="AI3" s="329"/>
      <c r="AJ3" s="330"/>
      <c r="AK3" s="357"/>
      <c r="AL3" s="329"/>
      <c r="AM3" s="330"/>
      <c r="AN3" s="356"/>
      <c r="AO3" s="119">
        <v>342856.8</v>
      </c>
      <c r="AP3" s="119">
        <v>113852.7</v>
      </c>
    </row>
    <row r="4" spans="1:42" ht="21" customHeight="1" thickBot="1">
      <c r="A4" s="78" t="s">
        <v>186</v>
      </c>
      <c r="B4" s="79">
        <f>SUMIF($L$3:$L$14,2,$S$3:$S$14)+SUMIF($L$3:$L$14,2,$T$3:$T$14)+SUMIF($L$3:$L$14,2,$U$3:$U$14)+SUMIF($L$3:$L$14,2,$V$3:$V$14)</f>
        <v>200</v>
      </c>
      <c r="C4" s="93">
        <f>参数调整!E46</f>
        <v>78</v>
      </c>
      <c r="D4" s="9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78</v>
      </c>
      <c r="E4" s="93">
        <f>参数调整!I46</f>
        <v>1</v>
      </c>
      <c r="F4" s="1">
        <f>D4*G4*(参数调整!$B$6+1)</f>
        <v>18252</v>
      </c>
      <c r="G4" s="81">
        <f t="shared" si="0"/>
        <v>200</v>
      </c>
      <c r="H4" s="82"/>
      <c r="J4" s="73" t="str">
        <f>第一季度!J4</f>
        <v>B</v>
      </c>
      <c r="K4" s="73">
        <f>第一季度!K4</f>
        <v>1111</v>
      </c>
      <c r="L4" s="106" t="str">
        <f>LEFT(K4,1)</f>
        <v>1</v>
      </c>
      <c r="M4" s="106" t="str">
        <f>MID(K4,2,1)</f>
        <v>1</v>
      </c>
      <c r="N4" s="106" t="str">
        <f>MID(K4,3,1)</f>
        <v>1</v>
      </c>
      <c r="O4" s="106" t="str">
        <f>MID(K4,4,1)</f>
        <v>1</v>
      </c>
      <c r="P4" s="106" t="str">
        <f t="shared" ref="P4:P14" si="1">MID(K4,5,1)</f>
        <v/>
      </c>
      <c r="Q4" s="227">
        <v>12</v>
      </c>
      <c r="R4" s="227"/>
      <c r="S4" s="227"/>
      <c r="T4" s="227"/>
      <c r="U4" s="227"/>
      <c r="V4" s="227">
        <v>150</v>
      </c>
      <c r="W4" s="76">
        <f>TRUNC(S4*参数调整!$I$30)+TRUNC(T4*参数调整!$H$30)+TRUNC(U4*参数调整!$G$30)+TRUNC(V4*参数调整!$F$30)+Q4</f>
        <v>147</v>
      </c>
      <c r="X4" s="76">
        <f t="shared" ref="X4:X14" si="2">ROUNDUP(SUM(R66:X66),0)</f>
        <v>245</v>
      </c>
      <c r="Y4" s="227">
        <v>8488</v>
      </c>
      <c r="Z4" s="73">
        <f>Y4+第二季度!X4*0.53653684*0.46055126+第三季度!Y4*0.53653684</f>
        <v>25334.732492051815</v>
      </c>
      <c r="AA4" s="73">
        <f>IF(J4="S",Z4*参数调整!$H$11/($X$29*$J$18),IF(J4="B",Z4*参数调整!$H$12/($X$30*$J$18),IF(J4="Q",Z4*参数调整!$H$13/($X$31*$J$18),Z4*参数调整!$H$14/($X$32*$J$18))))</f>
        <v>0.79485043674552036</v>
      </c>
      <c r="AB4" s="196">
        <f>SUMIF(J4:J15,"B",Z3:Z14)</f>
        <v>37267.359997235428</v>
      </c>
      <c r="AD4" s="308" t="s">
        <v>300</v>
      </c>
      <c r="AE4" s="308"/>
      <c r="AF4" s="308"/>
      <c r="AG4" s="227"/>
      <c r="AI4" s="324" t="s">
        <v>335</v>
      </c>
      <c r="AJ4" s="294" t="s">
        <v>235</v>
      </c>
      <c r="AK4" s="295"/>
      <c r="AL4" s="296"/>
      <c r="AM4" s="108" t="s">
        <v>236</v>
      </c>
      <c r="AN4" s="108" t="s">
        <v>237</v>
      </c>
      <c r="AO4" s="308" t="s">
        <v>338</v>
      </c>
      <c r="AP4" s="308"/>
    </row>
    <row r="5" spans="1:42" ht="21" customHeight="1" thickBot="1">
      <c r="A5" s="78" t="s">
        <v>151</v>
      </c>
      <c r="B5" s="83">
        <f>SUMIF($L$3:$L$14,3,$S$3:$S$14)+SUMIF($L$3:$L$14,3,$T$3:$T$14)+SUMIF($L$3:$L$14,3,$U$3:$U$14)+SUMIF($L$3:$L$14,3,$V$3:$V$14)</f>
        <v>0</v>
      </c>
      <c r="C5" s="93">
        <f>参数调整!E47</f>
        <v>112</v>
      </c>
      <c r="D5" s="9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112</v>
      </c>
      <c r="E5" s="93">
        <f>参数调整!I47</f>
        <v>1</v>
      </c>
      <c r="F5" s="1">
        <f>D5*G5*(参数调整!$B$6+1)</f>
        <v>0</v>
      </c>
      <c r="G5" s="81">
        <f t="shared" si="0"/>
        <v>0</v>
      </c>
      <c r="H5" s="84">
        <v>0</v>
      </c>
      <c r="J5" s="73" t="str">
        <f>第一季度!J5</f>
        <v>B</v>
      </c>
      <c r="K5" s="73">
        <f>第一季度!K5</f>
        <v>1121</v>
      </c>
      <c r="L5" s="106" t="str">
        <f>LEFT(K5,1)</f>
        <v>1</v>
      </c>
      <c r="M5" s="106" t="str">
        <f>MID(K5,2,1)</f>
        <v>1</v>
      </c>
      <c r="N5" s="106" t="str">
        <f>MID(K5,3,1)</f>
        <v>2</v>
      </c>
      <c r="O5" s="106" t="str">
        <f>MID(K5,4,1)</f>
        <v>1</v>
      </c>
      <c r="P5" s="106" t="str">
        <f t="shared" si="1"/>
        <v/>
      </c>
      <c r="Q5" s="227"/>
      <c r="R5" s="227">
        <v>3</v>
      </c>
      <c r="S5" s="227"/>
      <c r="T5" s="227"/>
      <c r="U5" s="227"/>
      <c r="V5" s="227">
        <v>110</v>
      </c>
      <c r="W5" s="76">
        <f>TRUNC(S5*参数调整!$I$30)+TRUNC(T5*参数调整!$H$30)+TRUNC(U5*参数调整!$G$30)+TRUNC(V5*参数调整!$F$30)+Q5</f>
        <v>99</v>
      </c>
      <c r="X5" s="76">
        <f t="shared" si="2"/>
        <v>84</v>
      </c>
      <c r="Y5" s="227"/>
      <c r="Z5" s="73">
        <f>Y5+第二季度!X5*0.53653684*0.46055126+第三季度!Y5*0.53653684</f>
        <v>0</v>
      </c>
      <c r="AA5" s="73">
        <f>IF(J5="S",Z5*参数调整!$H$11/($X$29*$J$18),IF(J5="B",Z5*参数调整!$H$12/($X$30*$J$18),IF(J5="Q",Z5*参数调整!$H$13/($X$31*$J$18),Z5*参数调整!$H$14/($X$32*$J$18))))</f>
        <v>0</v>
      </c>
      <c r="AB5" s="196">
        <f>SUMIF(J3:J14,"Q",Z3:Z14)</f>
        <v>24528.591893065248</v>
      </c>
      <c r="AD5" s="308" t="s">
        <v>202</v>
      </c>
      <c r="AE5" s="128" t="s">
        <v>203</v>
      </c>
      <c r="AF5" s="227">
        <v>0</v>
      </c>
      <c r="AG5" s="73">
        <f>AF5*参数调整!$J$23</f>
        <v>0</v>
      </c>
      <c r="AI5" s="325"/>
      <c r="AJ5" s="297" t="s">
        <v>238</v>
      </c>
      <c r="AK5" s="297" t="s">
        <v>239</v>
      </c>
      <c r="AL5" s="108" t="s">
        <v>101</v>
      </c>
      <c r="AM5" s="110">
        <f>SUM(S3:S14)</f>
        <v>360</v>
      </c>
      <c r="AN5" s="108">
        <f>AM5*参数调整!$I$32</f>
        <v>10800</v>
      </c>
      <c r="AO5" s="336">
        <f>AN2+AO36*(1-参数调整!B23)+AP36*(1-参数调整!B24)</f>
        <v>428637.56</v>
      </c>
      <c r="AP5" s="336"/>
    </row>
    <row r="6" spans="1:42" ht="21" customHeight="1" thickBot="1">
      <c r="A6" s="78" t="s">
        <v>152</v>
      </c>
      <c r="B6" s="85">
        <f>SUMIF($M$3:$M$14,1,$S$3:$S$14)+SUMIF($M$3:$M$14,1,$T$3:$T$14)+SUMIF($M$3:$M$14,1,$U$3:$U$14)+SUMIF($M$3:$M$14,1,$V$3:$V$14)</f>
        <v>1058</v>
      </c>
      <c r="C6" s="93">
        <f>参数调整!E48</f>
        <v>12</v>
      </c>
      <c r="D6" s="9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10.199999999999999</v>
      </c>
      <c r="E6" s="93">
        <f>参数调整!I48</f>
        <v>0</v>
      </c>
      <c r="F6" s="1">
        <f>D6*G6*(参数调整!$B$6+1)</f>
        <v>12626.171999999997</v>
      </c>
      <c r="G6" s="86">
        <f t="shared" si="0"/>
        <v>1058</v>
      </c>
      <c r="H6" s="82"/>
      <c r="J6" s="73" t="str">
        <f>第一季度!J6</f>
        <v>B</v>
      </c>
      <c r="K6" s="73">
        <f>第一季度!K6</f>
        <v>113</v>
      </c>
      <c r="L6" s="106" t="str">
        <f>LEFT(K6,1)</f>
        <v>1</v>
      </c>
      <c r="M6" s="106" t="str">
        <f>MID(K6,2,1)</f>
        <v>1</v>
      </c>
      <c r="N6" s="106" t="str">
        <f>MID(K6,3,1)</f>
        <v>3</v>
      </c>
      <c r="O6" s="106" t="str">
        <f>MID(K6,4,1)</f>
        <v/>
      </c>
      <c r="P6" s="106" t="str">
        <f t="shared" si="1"/>
        <v/>
      </c>
      <c r="Q6" s="227">
        <v>1</v>
      </c>
      <c r="R6" s="227"/>
      <c r="S6" s="227"/>
      <c r="T6" s="227"/>
      <c r="U6" s="227"/>
      <c r="V6" s="227">
        <v>102</v>
      </c>
      <c r="W6" s="76">
        <f>TRUNC(S6*参数调整!$I$30)+TRUNC(T6*参数调整!$H$30)+TRUNC(U6*参数调整!$G$30)+TRUNC(V6*参数调整!$F$30)+Q6</f>
        <v>92</v>
      </c>
      <c r="X6" s="76">
        <f t="shared" si="2"/>
        <v>76</v>
      </c>
      <c r="Y6" s="227"/>
      <c r="Z6" s="73">
        <f>Y6+第二季度!X6*0.53653684*0.46055126+第三季度!Y6*0.53653684</f>
        <v>0</v>
      </c>
      <c r="AA6" s="73">
        <f>IF(J6="S",Z6*参数调整!$H$11/($X$29*$J$18),IF(J6="B",Z6*参数调整!$H$12/($X$30*$J$18),IF(J6="Q",Z6*参数调整!$H$13/($X$31*$J$18),Z6*参数调整!$H$14/($X$32*$J$18))))</f>
        <v>0</v>
      </c>
      <c r="AB6" s="196">
        <f>SUMIF(J3:J14,"L",Z3:Z14)</f>
        <v>7433.2469042800003</v>
      </c>
      <c r="AD6" s="308"/>
      <c r="AE6" s="128" t="s">
        <v>204</v>
      </c>
      <c r="AF6" s="227">
        <v>0</v>
      </c>
      <c r="AG6" s="73">
        <f>AF6*参数调整!$H$23</f>
        <v>0</v>
      </c>
      <c r="AI6" s="325"/>
      <c r="AJ6" s="298"/>
      <c r="AK6" s="298"/>
      <c r="AL6" s="108" t="s">
        <v>269</v>
      </c>
      <c r="AM6" s="110">
        <f>SUM(V3:V14)</f>
        <v>900</v>
      </c>
      <c r="AN6" s="108">
        <f>AM6*参数调整!$F$32</f>
        <v>9000</v>
      </c>
      <c r="AO6" s="336"/>
      <c r="AP6" s="336"/>
    </row>
    <row r="7" spans="1:42" ht="21" customHeight="1" thickBot="1">
      <c r="A7" s="78" t="s">
        <v>153</v>
      </c>
      <c r="B7" s="85">
        <f>SUMIF($M$3:$M$14,2,$S$3:$S$14)+SUMIF($M$3:$M$14,2,$T$3:$T$14)+SUMIF($M$3:$M$14,2,$U$3:$U$14)+SUMIF($M$3:$M$14,2,$V$3:$V$14)</f>
        <v>202</v>
      </c>
      <c r="C7" s="93">
        <f>参数调整!E49</f>
        <v>25</v>
      </c>
      <c r="D7" s="9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23.75</v>
      </c>
      <c r="E7" s="93">
        <f>参数调整!I49</f>
        <v>1</v>
      </c>
      <c r="F7" s="1">
        <f>D7*G7*(参数调整!$B$6+1)</f>
        <v>5613.0749999999998</v>
      </c>
      <c r="G7" s="86">
        <f t="shared" si="0"/>
        <v>202</v>
      </c>
      <c r="H7" s="82"/>
      <c r="J7" s="73" t="str">
        <f>第一季度!J7</f>
        <v>Q</v>
      </c>
      <c r="K7" s="73">
        <f>第一季度!K7</f>
        <v>212</v>
      </c>
      <c r="L7" s="106" t="str">
        <f t="shared" ref="L7:L14" si="3">LEFT(K7,1)</f>
        <v>2</v>
      </c>
      <c r="M7" s="106" t="str">
        <f t="shared" ref="M7:M14" si="4">MID(K7,2,1)</f>
        <v>1</v>
      </c>
      <c r="N7" s="106" t="str">
        <f t="shared" ref="N7:N14" si="5">MID(K7,3,1)</f>
        <v>2</v>
      </c>
      <c r="O7" s="106" t="str">
        <f t="shared" ref="O7:O14" si="6">MID(K7,4,1)</f>
        <v/>
      </c>
      <c r="P7" s="106" t="str">
        <f t="shared" si="1"/>
        <v/>
      </c>
      <c r="Q7" s="227"/>
      <c r="R7" s="227">
        <v>19</v>
      </c>
      <c r="S7" s="227">
        <v>180</v>
      </c>
      <c r="T7" s="227"/>
      <c r="U7" s="227"/>
      <c r="V7" s="227">
        <v>20</v>
      </c>
      <c r="W7" s="76">
        <f>TRUNC(S7*参数调整!$I$30)+TRUNC(T7*参数调整!$H$30)+TRUNC(U7*参数调整!$G$30)+TRUNC(V7*参数调整!$F$30)+Q7</f>
        <v>153</v>
      </c>
      <c r="X7" s="76">
        <f t="shared" si="2"/>
        <v>135</v>
      </c>
      <c r="Y7" s="227"/>
      <c r="Z7" s="73">
        <f>Y7+第二季度!X7*0.53653684*0.46055126+第三季度!Y7*0.53653684</f>
        <v>0</v>
      </c>
      <c r="AA7" s="73">
        <f>IF(J7="S",Z7*参数调整!$H$11/($X$29*$J$18),IF(J7="B",Z7*参数调整!$H$12/($X$30*$J$18),IF(J7="Q",Z7*参数调整!$H$13/($X$31*$J$18),Z7*参数调整!$H$14/($X$32*$J$18))))</f>
        <v>0</v>
      </c>
      <c r="AD7" s="308"/>
      <c r="AE7" s="128" t="s">
        <v>205</v>
      </c>
      <c r="AF7" s="227">
        <v>0</v>
      </c>
      <c r="AG7" s="73">
        <f>AF7*参数调整!$F$23</f>
        <v>0</v>
      </c>
      <c r="AI7" s="325"/>
      <c r="AJ7" s="298"/>
      <c r="AK7" s="298"/>
      <c r="AL7" s="108" t="s">
        <v>100</v>
      </c>
      <c r="AM7" s="110">
        <f>SUM(T3:T14)</f>
        <v>0</v>
      </c>
      <c r="AN7" s="108">
        <f>AM7*参数调整!H32</f>
        <v>0</v>
      </c>
      <c r="AO7" s="2"/>
      <c r="AP7" s="2"/>
    </row>
    <row r="8" spans="1:42" ht="21" customHeight="1" thickBot="1">
      <c r="A8" s="78" t="s">
        <v>154</v>
      </c>
      <c r="B8" s="85">
        <f>SUMIF($M$3:$M$14,3,$S$3:$S$14)+SUMIF($M$3:$M$14,3,$T$3:$T$14)+SUMIF($M$3:$M$14,3,$U$3:$U$14)+SUMIF($M$3:$M$14,3,$V$3:$V$14)</f>
        <v>0</v>
      </c>
      <c r="C8" s="93">
        <f>参数调整!E50</f>
        <v>37</v>
      </c>
      <c r="D8" s="9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37</v>
      </c>
      <c r="E8" s="93">
        <f>参数调整!I50</f>
        <v>1</v>
      </c>
      <c r="F8" s="1">
        <f>D8*G8*(参数调整!$B$6+1)</f>
        <v>0</v>
      </c>
      <c r="G8" s="86">
        <f t="shared" si="0"/>
        <v>0</v>
      </c>
      <c r="H8" s="82"/>
      <c r="J8" s="73" t="str">
        <f>第一季度!J8</f>
        <v>Q</v>
      </c>
      <c r="K8" s="73">
        <f>第一季度!K8</f>
        <v>1121</v>
      </c>
      <c r="L8" s="106" t="str">
        <f t="shared" si="3"/>
        <v>1</v>
      </c>
      <c r="M8" s="106" t="str">
        <f t="shared" si="4"/>
        <v>1</v>
      </c>
      <c r="N8" s="106" t="str">
        <f t="shared" si="5"/>
        <v>2</v>
      </c>
      <c r="O8" s="106" t="str">
        <f t="shared" si="6"/>
        <v>1</v>
      </c>
      <c r="P8" s="106" t="str">
        <f t="shared" si="1"/>
        <v/>
      </c>
      <c r="Q8" s="227"/>
      <c r="R8" s="227">
        <v>20</v>
      </c>
      <c r="S8" s="227"/>
      <c r="T8" s="227"/>
      <c r="U8" s="227"/>
      <c r="V8" s="227">
        <v>172</v>
      </c>
      <c r="W8" s="76">
        <f>TRUNC(S8*参数调整!$I$30)+TRUNC(T8*参数调整!$H$30)+TRUNC(U8*参数调整!$G$30)+TRUNC(V8*参数调整!$F$30)+Q8</f>
        <v>154</v>
      </c>
      <c r="X8" s="76">
        <f t="shared" si="2"/>
        <v>137</v>
      </c>
      <c r="Y8" s="227"/>
      <c r="Z8" s="73">
        <f>Y8+第二季度!X8*0.53653684*0.46055126+第三季度!Y8*0.53653684</f>
        <v>0</v>
      </c>
      <c r="AA8" s="73">
        <f>IF(J8="S",Z8*参数调整!$H$11/($X$29*$J$18),IF(J8="B",Z8*参数调整!$H$12/($X$30*$J$18),IF(J8="Q",Z8*参数调整!$H$13/($X$31*$J$18),Z8*参数调整!$H$14/($X$32*$J$18))))</f>
        <v>0</v>
      </c>
      <c r="AD8" s="308" t="s">
        <v>206</v>
      </c>
      <c r="AE8" s="128" t="s">
        <v>207</v>
      </c>
      <c r="AF8" s="227">
        <v>2</v>
      </c>
      <c r="AG8" s="300">
        <v>0</v>
      </c>
      <c r="AI8" s="325"/>
      <c r="AJ8" s="298"/>
      <c r="AK8" s="299"/>
      <c r="AL8" s="108" t="s">
        <v>270</v>
      </c>
      <c r="AM8" s="110">
        <f>SUM(U3:U14)</f>
        <v>0</v>
      </c>
      <c r="AN8" s="108">
        <f>AM8*参数调整!G32</f>
        <v>0</v>
      </c>
      <c r="AO8" s="2"/>
      <c r="AP8" s="2"/>
    </row>
    <row r="9" spans="1:42" ht="21" customHeight="1" thickBot="1">
      <c r="A9" s="78" t="s">
        <v>155</v>
      </c>
      <c r="B9" s="87">
        <f>SUMIF($N$3:$N$14,1,$S$3:$S$14)+SUMIF($N$3:$N$14,1,$T$3:$T$14)+SUMIF($N$3:$N$14,1,$U$3:$U$14)+SUMIF($N$3:$N$14,1,$V$3:$V$14)</f>
        <v>352</v>
      </c>
      <c r="C9" s="93">
        <f>参数调整!E51</f>
        <v>50</v>
      </c>
      <c r="D9" s="9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47.5</v>
      </c>
      <c r="E9" s="93">
        <f>参数调整!I51</f>
        <v>0</v>
      </c>
      <c r="F9" s="1">
        <f>D9*G9*(参数调整!$B$6+1)</f>
        <v>19562.399999999998</v>
      </c>
      <c r="G9" s="88">
        <f t="shared" si="0"/>
        <v>352</v>
      </c>
      <c r="H9" s="82"/>
      <c r="J9" s="73" t="str">
        <f>第一季度!J9</f>
        <v>Q</v>
      </c>
      <c r="K9" s="73">
        <f>第一季度!K9</f>
        <v>112</v>
      </c>
      <c r="L9" s="106" t="str">
        <f t="shared" si="3"/>
        <v>1</v>
      </c>
      <c r="M9" s="106" t="str">
        <f t="shared" si="4"/>
        <v>1</v>
      </c>
      <c r="N9" s="106" t="str">
        <f t="shared" si="5"/>
        <v>2</v>
      </c>
      <c r="O9" s="106" t="str">
        <f t="shared" si="6"/>
        <v/>
      </c>
      <c r="P9" s="106" t="str">
        <f t="shared" si="1"/>
        <v/>
      </c>
      <c r="Q9" s="227"/>
      <c r="R9" s="227">
        <v>12</v>
      </c>
      <c r="S9" s="227"/>
      <c r="T9" s="227"/>
      <c r="U9" s="227"/>
      <c r="V9" s="227">
        <v>218</v>
      </c>
      <c r="W9" s="76">
        <f>TRUNC(S9*参数调整!$I$30)+TRUNC(T9*参数调整!$H$30)+TRUNC(U9*参数调整!$G$30)+TRUNC(V9*参数调整!$F$30)+Q9</f>
        <v>196</v>
      </c>
      <c r="X9" s="76">
        <f t="shared" si="2"/>
        <v>302</v>
      </c>
      <c r="Y9" s="227">
        <v>12088</v>
      </c>
      <c r="Z9" s="73">
        <f>Y9+第二季度!X9*0.53653684*0.46055126+第三季度!Y9*0.53653684</f>
        <v>24528.591893065248</v>
      </c>
      <c r="AA9" s="73">
        <f>IF(J9="S",Z9*参数调整!$H$11/($X$29*$J$18),IF(J9="B",Z9*参数调整!$H$12/($X$30*$J$18),IF(J9="Q",Z9*参数调整!$H$13/($X$31*$J$18),Z9*参数调整!$H$14/($X$32*$J$18))))</f>
        <v>0.88062536544656167</v>
      </c>
      <c r="AD9" s="308"/>
      <c r="AE9" s="128" t="s">
        <v>208</v>
      </c>
      <c r="AF9" s="227">
        <v>0</v>
      </c>
      <c r="AG9" s="301"/>
      <c r="AI9" s="325"/>
      <c r="AJ9" s="298"/>
      <c r="AK9" s="297" t="s">
        <v>240</v>
      </c>
      <c r="AL9" s="108" t="s">
        <v>241</v>
      </c>
      <c r="AM9" s="214">
        <f>AF8</f>
        <v>2</v>
      </c>
      <c r="AN9" s="108">
        <f>AM9*参数调整!$J$24</f>
        <v>10000</v>
      </c>
      <c r="AO9" s="2"/>
      <c r="AP9" s="2"/>
    </row>
    <row r="10" spans="1:42" ht="21" customHeight="1" thickBot="1">
      <c r="A10" s="78" t="s">
        <v>156</v>
      </c>
      <c r="B10" s="87">
        <f>SUMIF($N$3:$N$14,2,$S$3:$S$14)+SUMIF($N$3:$N$14,2,$T$3:$T$14)+SUMIF($N$3:$N$14,2,$U$3:$U$14)+SUMIF($N$3:$N$14,2,$V$3:$V$14)</f>
        <v>700</v>
      </c>
      <c r="C10" s="93">
        <f>参数调整!E52</f>
        <v>72</v>
      </c>
      <c r="D10" s="9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64.8</v>
      </c>
      <c r="E10" s="93">
        <f>参数调整!I52</f>
        <v>1</v>
      </c>
      <c r="F10" s="1">
        <f>D10*G10*(参数调整!$B$6+1)</f>
        <v>53071.199999999997</v>
      </c>
      <c r="G10" s="88">
        <f t="shared" si="0"/>
        <v>700</v>
      </c>
      <c r="H10" s="82"/>
      <c r="J10" s="73" t="str">
        <f>第一季度!J10</f>
        <v>L</v>
      </c>
      <c r="K10" s="73">
        <f>第一季度!K10</f>
        <v>121</v>
      </c>
      <c r="L10" s="106" t="str">
        <f t="shared" si="3"/>
        <v>1</v>
      </c>
      <c r="M10" s="106" t="str">
        <f t="shared" si="4"/>
        <v>2</v>
      </c>
      <c r="N10" s="106" t="str">
        <f t="shared" si="5"/>
        <v>1</v>
      </c>
      <c r="O10" s="106" t="str">
        <f t="shared" si="6"/>
        <v/>
      </c>
      <c r="P10" s="106" t="str">
        <f t="shared" si="1"/>
        <v/>
      </c>
      <c r="Q10" s="227">
        <v>64</v>
      </c>
      <c r="R10" s="227"/>
      <c r="S10" s="227">
        <v>180</v>
      </c>
      <c r="T10" s="227"/>
      <c r="U10" s="227"/>
      <c r="V10" s="227">
        <v>22</v>
      </c>
      <c r="W10" s="76">
        <f>TRUNC(S10*参数调整!$I$30)+TRUNC(T10*参数调整!$H$30)+TRUNC(U10*参数调整!$G$30)+TRUNC(V10*参数调整!$F$30)+Q10</f>
        <v>218</v>
      </c>
      <c r="X10" s="76">
        <f t="shared" si="2"/>
        <v>248</v>
      </c>
      <c r="Y10" s="227">
        <v>4500</v>
      </c>
      <c r="Z10" s="73">
        <f>Y10+第二季度!X10*0.53653684*0.46055126+第三季度!Y10*0.53653684</f>
        <v>7433.2469042800003</v>
      </c>
      <c r="AA10" s="73">
        <f>IF(J10="S",Z10*参数调整!$H$11/($X$29*$J$18),IF(J10="B",Z10*参数调整!$H$12/($X$30*$J$18),IF(J10="Q",Z10*参数调整!$H$13/($X$31*$J$18),Z10*参数调整!$H$14/($X$32*$J$18))))</f>
        <v>0.45181505622691481</v>
      </c>
      <c r="AB10" s="233" t="s">
        <v>440</v>
      </c>
      <c r="AD10" s="308"/>
      <c r="AE10" s="128" t="s">
        <v>209</v>
      </c>
      <c r="AF10" s="227">
        <v>0</v>
      </c>
      <c r="AG10" s="302"/>
      <c r="AI10" s="325"/>
      <c r="AJ10" s="298"/>
      <c r="AK10" s="298"/>
      <c r="AL10" s="108" t="s">
        <v>242</v>
      </c>
      <c r="AM10" s="110">
        <f>AF9</f>
        <v>0</v>
      </c>
      <c r="AN10" s="108">
        <f>AM10*参数调整!$H$24</f>
        <v>0</v>
      </c>
      <c r="AO10" s="2"/>
      <c r="AP10" s="2"/>
    </row>
    <row r="11" spans="1:42" ht="21" customHeight="1" thickBot="1">
      <c r="A11" s="78" t="s">
        <v>157</v>
      </c>
      <c r="B11" s="87">
        <f>SUMIF($N$3:$N$14,3,$S$3:$S$14)+SUMIF($N$3:$N$14,3,$T$3:$T$14)+SUMIF($N$3:$N$14,3,$U$3:$U$14)+SUMIF($N$3:$N$14,3,$V$3:$V$14)</f>
        <v>208</v>
      </c>
      <c r="C11" s="93">
        <f>参数调整!E53</f>
        <v>118</v>
      </c>
      <c r="D11" s="9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112.1</v>
      </c>
      <c r="E11" s="93">
        <f>参数调整!I53</f>
        <v>0</v>
      </c>
      <c r="F11" s="1">
        <f>D11*G11*(参数调整!$B$6+1)</f>
        <v>27280.655999999999</v>
      </c>
      <c r="G11" s="88">
        <f t="shared" si="0"/>
        <v>208</v>
      </c>
      <c r="H11" s="82"/>
      <c r="J11" s="73">
        <f>第一季度!J11</f>
        <v>0</v>
      </c>
      <c r="K11" s="73">
        <f>第一季度!K11</f>
        <v>0</v>
      </c>
      <c r="L11" s="106" t="str">
        <f t="shared" si="3"/>
        <v>0</v>
      </c>
      <c r="M11" s="106" t="str">
        <f t="shared" si="4"/>
        <v/>
      </c>
      <c r="N11" s="106" t="str">
        <f t="shared" si="5"/>
        <v/>
      </c>
      <c r="O11" s="106" t="str">
        <f t="shared" si="6"/>
        <v/>
      </c>
      <c r="P11" s="106" t="str">
        <f t="shared" si="1"/>
        <v/>
      </c>
      <c r="Q11" s="227"/>
      <c r="R11" s="227"/>
      <c r="S11" s="227"/>
      <c r="T11" s="227"/>
      <c r="U11" s="227"/>
      <c r="V11" s="227"/>
      <c r="W11" s="76">
        <f>TRUNC(S11*参数调整!$I$30)+TRUNC(T11*参数调整!$H$30)+TRUNC(U11*参数调整!$G$30)+TRUNC(V11*参数调整!$F$30)+Q11</f>
        <v>0</v>
      </c>
      <c r="X11" s="76">
        <f t="shared" si="2"/>
        <v>9</v>
      </c>
      <c r="Y11" s="227"/>
      <c r="Z11" s="73">
        <f>Y11+第二季度!X11*0.53653684*0.46055126+第三季度!Y11*0.53653684</f>
        <v>0</v>
      </c>
      <c r="AA11" s="73">
        <f>IF(J11="S",Z11*参数调整!$H$11/($X$29*$J$18),IF(J11="B",Z11*参数调整!$H$12/($X$30*$J$18),IF(J11="Q",Z11*参数调整!$H$13/($X$31*$J$18),Z11*参数调整!$H$14/($X$32*$J$18))))</f>
        <v>0</v>
      </c>
      <c r="AB11" s="234">
        <f>AG31</f>
        <v>1558.3019999999924</v>
      </c>
      <c r="AD11" s="308" t="s">
        <v>210</v>
      </c>
      <c r="AE11" s="128" t="s">
        <v>211</v>
      </c>
      <c r="AF11" s="227">
        <v>2</v>
      </c>
      <c r="AG11" s="73">
        <f>AF11*参数调整!$I$29</f>
        <v>100000</v>
      </c>
      <c r="AI11" s="325"/>
      <c r="AJ11" s="298"/>
      <c r="AK11" s="299"/>
      <c r="AL11" s="108" t="s">
        <v>243</v>
      </c>
      <c r="AM11" s="214">
        <f>AF10</f>
        <v>0</v>
      </c>
      <c r="AN11" s="108">
        <f>AM11*参数调整!$F$24</f>
        <v>0</v>
      </c>
      <c r="AO11" s="2"/>
      <c r="AP11" s="2"/>
    </row>
    <row r="12" spans="1:42" ht="21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93">
        <f>参数调整!E54</f>
        <v>150</v>
      </c>
      <c r="D12" s="9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93">
        <f>参数调整!I54</f>
        <v>1</v>
      </c>
      <c r="F12" s="1">
        <f>D12*G12*(参数调整!$B$6+1)</f>
        <v>0</v>
      </c>
      <c r="G12" s="88">
        <f t="shared" si="0"/>
        <v>0</v>
      </c>
      <c r="H12" s="82"/>
      <c r="J12" s="73">
        <f>第一季度!J12</f>
        <v>0</v>
      </c>
      <c r="K12" s="73">
        <f>第一季度!K12</f>
        <v>0</v>
      </c>
      <c r="L12" s="106" t="str">
        <f t="shared" si="3"/>
        <v>0</v>
      </c>
      <c r="M12" s="106" t="str">
        <f t="shared" si="4"/>
        <v/>
      </c>
      <c r="N12" s="106" t="str">
        <f t="shared" si="5"/>
        <v/>
      </c>
      <c r="O12" s="106" t="str">
        <f t="shared" si="6"/>
        <v/>
      </c>
      <c r="P12" s="106" t="str">
        <f t="shared" si="1"/>
        <v/>
      </c>
      <c r="Q12" s="227"/>
      <c r="R12" s="227"/>
      <c r="S12" s="227"/>
      <c r="T12" s="227"/>
      <c r="U12" s="227"/>
      <c r="V12" s="227"/>
      <c r="W12" s="76">
        <f>TRUNC(S12*参数调整!$I$30)+TRUNC(T12*参数调整!$H$30)+TRUNC(U12*参数调整!$G$30)+TRUNC(V12*参数调整!$F$30)+Q12</f>
        <v>0</v>
      </c>
      <c r="X12" s="76">
        <f t="shared" si="2"/>
        <v>9</v>
      </c>
      <c r="Y12" s="227"/>
      <c r="Z12" s="73">
        <f>Y12+第二季度!X12*0.53653684*0.46055126+第三季度!Y12*0.53653684</f>
        <v>0</v>
      </c>
      <c r="AA12" s="73">
        <f>IF(J12="S",Z12*参数调整!$H$11/($X$29*$J$18),IF(J12="B",Z12*参数调整!$H$12/($X$30*$J$18),IF(J12="Q",Z12*参数调整!$H$13/($X$31*$J$18),Z12*参数调整!$H$14/($X$32*$J$18))))</f>
        <v>0</v>
      </c>
      <c r="AD12" s="308"/>
      <c r="AE12" s="128" t="s">
        <v>212</v>
      </c>
      <c r="AF12" s="227">
        <v>0</v>
      </c>
      <c r="AG12" s="73">
        <f>AF12*参数调整!$H$29</f>
        <v>0</v>
      </c>
      <c r="AI12" s="325"/>
      <c r="AJ12" s="298"/>
      <c r="AK12" s="319" t="s">
        <v>244</v>
      </c>
      <c r="AL12" s="320"/>
      <c r="AM12" s="110">
        <f>AM18</f>
        <v>14</v>
      </c>
      <c r="AN12" s="108">
        <f>AM12*参数调整!$J$18*(1+参数调整!$B$12+参数调整!$B$13+参数调整!$B$14+参数调整!$B$15+参数调整!$B$16)</f>
        <v>67838.399999999994</v>
      </c>
      <c r="AO12" s="2"/>
      <c r="AP12" s="2"/>
    </row>
    <row r="13" spans="1:42" ht="21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432</v>
      </c>
      <c r="C13" s="93">
        <f>参数调整!E55</f>
        <v>44</v>
      </c>
      <c r="D13" s="9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</v>
      </c>
      <c r="E13" s="93">
        <f>参数调整!I55</f>
        <v>1</v>
      </c>
      <c r="F13" s="1">
        <f>D13*G13*(参数调整!$B$6+1)</f>
        <v>4736.16</v>
      </c>
      <c r="G13" s="90">
        <f t="shared" si="0"/>
        <v>92</v>
      </c>
      <c r="H13" s="84">
        <v>0</v>
      </c>
      <c r="J13" s="73">
        <f>第一季度!J13</f>
        <v>0</v>
      </c>
      <c r="K13" s="73">
        <f>第一季度!K13</f>
        <v>0</v>
      </c>
      <c r="L13" s="106" t="str">
        <f t="shared" si="3"/>
        <v>0</v>
      </c>
      <c r="M13" s="106" t="str">
        <f t="shared" si="4"/>
        <v/>
      </c>
      <c r="N13" s="106" t="str">
        <f t="shared" si="5"/>
        <v/>
      </c>
      <c r="O13" s="106" t="str">
        <f t="shared" si="6"/>
        <v/>
      </c>
      <c r="P13" s="106" t="str">
        <f t="shared" si="1"/>
        <v/>
      </c>
      <c r="Q13" s="227"/>
      <c r="R13" s="227"/>
      <c r="S13" s="227"/>
      <c r="T13" s="227"/>
      <c r="U13" s="227"/>
      <c r="V13" s="227"/>
      <c r="W13" s="76">
        <f>TRUNC(S13*参数调整!$I$30)+TRUNC(T13*参数调整!$H$30)+TRUNC(U13*参数调整!$G$30)+TRUNC(V13*参数调整!$F$30)+Q13</f>
        <v>0</v>
      </c>
      <c r="X13" s="76">
        <f t="shared" si="2"/>
        <v>9</v>
      </c>
      <c r="Y13" s="227"/>
      <c r="Z13" s="73">
        <f>Y13+第二季度!X13*0.53653684*0.46055126+第三季度!Y13*0.53653684</f>
        <v>0</v>
      </c>
      <c r="AA13" s="73">
        <f>IF(J13="S",Z13*参数调整!$H$11/($X$29*$J$18),IF(J13="B",Z13*参数调整!$H$12/($X$30*$J$18),IF(J13="Q",Z13*参数调整!$H$13/($X$31*$J$18),Z13*参数调整!$H$14/($X$32*$J$18))))</f>
        <v>0</v>
      </c>
      <c r="AD13" s="308"/>
      <c r="AE13" s="128" t="s">
        <v>213</v>
      </c>
      <c r="AF13" s="227">
        <v>0</v>
      </c>
      <c r="AG13" s="73">
        <f>AF13*参数调整!$G$29</f>
        <v>0</v>
      </c>
      <c r="AI13" s="325"/>
      <c r="AJ13" s="298"/>
      <c r="AK13" s="297" t="s">
        <v>245</v>
      </c>
      <c r="AL13" s="108" t="s">
        <v>101</v>
      </c>
      <c r="AM13" s="118">
        <v>2</v>
      </c>
      <c r="AN13" s="103">
        <f>AM13*参数调整!$I$33</f>
        <v>3000</v>
      </c>
      <c r="AO13" s="2"/>
      <c r="AP13" s="2"/>
    </row>
    <row r="14" spans="1:42" ht="21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93">
        <f>参数调整!E56</f>
        <v>52</v>
      </c>
      <c r="D14" s="9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52</v>
      </c>
      <c r="E14" s="93">
        <f>参数调整!I56</f>
        <v>1</v>
      </c>
      <c r="F14" s="1">
        <f>D14*G14*(参数调整!$B$6+1)</f>
        <v>0</v>
      </c>
      <c r="G14" s="90">
        <f t="shared" si="0"/>
        <v>0</v>
      </c>
      <c r="H14" s="84"/>
      <c r="J14" s="73">
        <f>第一季度!J14</f>
        <v>0</v>
      </c>
      <c r="K14" s="73">
        <f>第一季度!K14</f>
        <v>0</v>
      </c>
      <c r="L14" s="106" t="str">
        <f t="shared" si="3"/>
        <v>0</v>
      </c>
      <c r="M14" s="106" t="str">
        <f t="shared" si="4"/>
        <v/>
      </c>
      <c r="N14" s="106" t="str">
        <f t="shared" si="5"/>
        <v/>
      </c>
      <c r="O14" s="106" t="str">
        <f t="shared" si="6"/>
        <v/>
      </c>
      <c r="P14" s="106" t="str">
        <f t="shared" si="1"/>
        <v/>
      </c>
      <c r="Q14" s="227"/>
      <c r="R14" s="227"/>
      <c r="S14" s="227"/>
      <c r="T14" s="227"/>
      <c r="U14" s="227"/>
      <c r="V14" s="227"/>
      <c r="W14" s="76">
        <f>TRUNC(S14*参数调整!$I$30)+TRUNC(T14*参数调整!$H$30)+TRUNC(U14*参数调整!$G$30)+TRUNC(V14*参数调整!$F$30)+Q14</f>
        <v>0</v>
      </c>
      <c r="X14" s="76">
        <f t="shared" si="2"/>
        <v>9</v>
      </c>
      <c r="Y14" s="227"/>
      <c r="Z14" s="73">
        <f>Y14+第二季度!X14*0.53653684*0.46055126+第三季度!Y14*0.53653684</f>
        <v>0</v>
      </c>
      <c r="AA14" s="73">
        <f>IF(J14="S",Z14*参数调整!$H$11/($X$29*$J$18),IF(J14="B",Z14*参数调整!$H$12/($X$30*$J$18),IF(J14="Q",Z14*参数调整!$H$13/($X$31*$J$18),Z14*参数调整!$H$14/($X$32*$J$18))))</f>
        <v>0</v>
      </c>
      <c r="AD14" s="308"/>
      <c r="AE14" s="128" t="s">
        <v>98</v>
      </c>
      <c r="AF14" s="227">
        <v>0</v>
      </c>
      <c r="AG14" s="73">
        <f>AF14*参数调整!$F$29</f>
        <v>0</v>
      </c>
      <c r="AI14" s="325"/>
      <c r="AJ14" s="298"/>
      <c r="AK14" s="298"/>
      <c r="AL14" s="108" t="s">
        <v>269</v>
      </c>
      <c r="AM14" s="118">
        <v>2</v>
      </c>
      <c r="AN14" s="108">
        <f>AM14*参数调整!$F$33</f>
        <v>6000</v>
      </c>
      <c r="AO14" s="2"/>
      <c r="AP14" s="2"/>
    </row>
    <row r="15" spans="1:42" ht="14.4" customHeight="1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93">
        <f>参数调整!E57</f>
        <v>75</v>
      </c>
      <c r="D15" s="9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93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0</v>
      </c>
      <c r="S15" s="106">
        <f>SUM(S3:S14)</f>
        <v>360</v>
      </c>
      <c r="T15" s="106">
        <f>SUM(T3:T14)</f>
        <v>0</v>
      </c>
      <c r="U15" s="106">
        <f>SUM(U3:U14)</f>
        <v>0</v>
      </c>
      <c r="V15" s="106">
        <f>SUM(V3:V14)</f>
        <v>900</v>
      </c>
      <c r="AD15" s="308" t="s">
        <v>215</v>
      </c>
      <c r="AE15" s="308"/>
      <c r="AF15" s="227">
        <v>0</v>
      </c>
      <c r="AG15" s="73">
        <f>AF15*参数调整!$B$31</f>
        <v>0</v>
      </c>
      <c r="AI15" s="325"/>
      <c r="AJ15" s="298"/>
      <c r="AK15" s="298"/>
      <c r="AL15" s="108" t="s">
        <v>100</v>
      </c>
      <c r="AM15" s="118">
        <v>0</v>
      </c>
      <c r="AN15" s="108">
        <f>AM15*参数调整!$H$33</f>
        <v>0</v>
      </c>
      <c r="AO15" s="2"/>
      <c r="AP15" s="2"/>
    </row>
    <row r="16" spans="1:42" ht="14.4" customHeight="1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93">
        <f>参数调整!E58</f>
        <v>85</v>
      </c>
      <c r="D16" s="9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85</v>
      </c>
      <c r="E16" s="93">
        <f>参数调整!I58</f>
        <v>1</v>
      </c>
      <c r="F16" s="1">
        <f>D16*G16*(参数调整!$B$6+1)</f>
        <v>0</v>
      </c>
      <c r="G16" s="90">
        <f t="shared" si="0"/>
        <v>0</v>
      </c>
      <c r="H16" s="84"/>
      <c r="AC16" s="73" t="s">
        <v>192</v>
      </c>
      <c r="AD16" s="308" t="s">
        <v>216</v>
      </c>
      <c r="AE16" s="308"/>
      <c r="AF16" s="227">
        <v>0</v>
      </c>
      <c r="AG16" s="73">
        <f>AF16*参数调整!$B$32</f>
        <v>0</v>
      </c>
      <c r="AI16" s="325"/>
      <c r="AJ16" s="299"/>
      <c r="AK16" s="299"/>
      <c r="AL16" s="108" t="s">
        <v>270</v>
      </c>
      <c r="AM16" s="118">
        <v>0</v>
      </c>
      <c r="AN16" s="108">
        <f>AM16*参数调整!$G$33</f>
        <v>0</v>
      </c>
      <c r="AO16" s="2"/>
      <c r="AP16" s="2"/>
    </row>
    <row r="17" spans="1:42" ht="13.8" customHeight="1">
      <c r="J17" s="309" t="s">
        <v>195</v>
      </c>
      <c r="K17" s="309"/>
      <c r="O17">
        <f>SUM(R18:X18)-(SUM(第五季度!R18:X18)-SUM(第五季度!R22:X22))</f>
        <v>5820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W17" s="73" t="s">
        <v>318</v>
      </c>
      <c r="X17" s="73" t="s">
        <v>319</v>
      </c>
      <c r="AB17" s="193" t="str">
        <f>J3</f>
        <v>S</v>
      </c>
      <c r="AC17" s="197"/>
      <c r="AD17" s="308" t="s">
        <v>217</v>
      </c>
      <c r="AE17" s="276" t="s">
        <v>218</v>
      </c>
      <c r="AF17" s="227">
        <v>0</v>
      </c>
      <c r="AG17" s="73">
        <f>AF17*参数调整!$F$3</f>
        <v>0</v>
      </c>
      <c r="AI17" s="325"/>
      <c r="AJ17" s="294" t="s">
        <v>246</v>
      </c>
      <c r="AK17" s="295"/>
      <c r="AL17" s="296"/>
      <c r="AM17" s="110">
        <v>1</v>
      </c>
      <c r="AN17" s="108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292" t="s">
        <v>197</v>
      </c>
      <c r="B18" s="293"/>
      <c r="G18" s="77">
        <f>SUMIF(E3:E16,0,F3:F16)</f>
        <v>59469.227999999988</v>
      </c>
      <c r="J18" s="310">
        <v>29</v>
      </c>
      <c r="K18" s="311"/>
      <c r="O18">
        <f>SUM(R19:X19)-(SUM(第五季度!R19:X19)-SUM(第五季度!R23:X23))</f>
        <v>6810</v>
      </c>
      <c r="Q18" s="73" t="s">
        <v>176</v>
      </c>
      <c r="R18" s="227">
        <v>750</v>
      </c>
      <c r="S18" s="227">
        <v>600</v>
      </c>
      <c r="T18" s="227">
        <v>600</v>
      </c>
      <c r="U18" s="227">
        <v>750</v>
      </c>
      <c r="V18" s="227">
        <v>1020</v>
      </c>
      <c r="W18" s="227">
        <v>1050</v>
      </c>
      <c r="X18" s="227">
        <v>1050</v>
      </c>
      <c r="AB18" s="193" t="str">
        <f t="shared" ref="AB18:AB28" si="7">J4</f>
        <v>B</v>
      </c>
      <c r="AC18" s="197"/>
      <c r="AD18" s="308"/>
      <c r="AE18" s="276" t="s">
        <v>219</v>
      </c>
      <c r="AF18" s="227">
        <v>0</v>
      </c>
      <c r="AG18" s="73">
        <f>AF18*参数调整!$F$4</f>
        <v>0</v>
      </c>
      <c r="AI18" s="325"/>
      <c r="AJ18" s="327" t="s">
        <v>247</v>
      </c>
      <c r="AK18" s="328"/>
      <c r="AL18" s="108" t="s">
        <v>248</v>
      </c>
      <c r="AM18" s="110">
        <f>AF25+第一季度!AF24+第二季度!AF25+第三季度!AF25</f>
        <v>14</v>
      </c>
      <c r="AN18" s="104">
        <f>AM18*参数调整!$B$10</f>
        <v>14000</v>
      </c>
      <c r="AO18" s="2"/>
      <c r="AP18" s="2"/>
    </row>
    <row r="19" spans="1:42" ht="13.8" customHeight="1">
      <c r="J19" s="310"/>
      <c r="K19" s="311"/>
      <c r="O19">
        <f>SUM(R20:X20)-(SUM(第五季度!R20:X20)-SUM(第五季度!R24:X24))</f>
        <v>7770</v>
      </c>
      <c r="Q19" s="73" t="s">
        <v>177</v>
      </c>
      <c r="R19" s="227">
        <v>720</v>
      </c>
      <c r="S19" s="227">
        <v>750</v>
      </c>
      <c r="T19" s="227">
        <v>870</v>
      </c>
      <c r="U19" s="227">
        <v>900</v>
      </c>
      <c r="V19" s="227">
        <v>1050</v>
      </c>
      <c r="W19" s="227">
        <v>1320</v>
      </c>
      <c r="X19" s="227">
        <v>1200</v>
      </c>
      <c r="AB19" s="193" t="str">
        <f t="shared" si="7"/>
        <v>B</v>
      </c>
      <c r="AC19" s="197"/>
      <c r="AD19" s="308"/>
      <c r="AE19" s="276" t="s">
        <v>220</v>
      </c>
      <c r="AF19" s="227">
        <v>0</v>
      </c>
      <c r="AG19" s="73">
        <f>AF19*参数调整!$F$5</f>
        <v>0</v>
      </c>
      <c r="AI19" s="325"/>
      <c r="AJ19" s="329"/>
      <c r="AK19" s="330"/>
      <c r="AL19" s="108" t="s">
        <v>249</v>
      </c>
      <c r="AM19" s="110">
        <f>AF26+第一季度!AF25+第二季度!AF26+第三季度!AF26</f>
        <v>9</v>
      </c>
      <c r="AN19" s="108">
        <f>AM19*参数调整!$B$10</f>
        <v>9000</v>
      </c>
      <c r="AO19" s="2"/>
      <c r="AP19" s="2"/>
    </row>
    <row r="20" spans="1:42" ht="13.8" customHeight="1">
      <c r="J20" s="310"/>
      <c r="K20" s="311"/>
      <c r="O20">
        <f>SUM(R21:X21)-(SUM(第五季度!R21:X21)-SUM(第五季度!R25:X25))</f>
        <v>9000</v>
      </c>
      <c r="Q20" s="73" t="s">
        <v>178</v>
      </c>
      <c r="R20" s="227">
        <v>900</v>
      </c>
      <c r="S20" s="227">
        <v>900</v>
      </c>
      <c r="T20" s="227">
        <v>900</v>
      </c>
      <c r="U20" s="227">
        <v>1170</v>
      </c>
      <c r="V20" s="227">
        <v>1200</v>
      </c>
      <c r="W20" s="227">
        <v>1350</v>
      </c>
      <c r="X20" s="227">
        <v>1350</v>
      </c>
      <c r="AB20" s="193" t="str">
        <f t="shared" si="7"/>
        <v>B</v>
      </c>
      <c r="AC20" s="197"/>
      <c r="AD20" s="308"/>
      <c r="AE20" s="276" t="s">
        <v>221</v>
      </c>
      <c r="AF20" s="227">
        <v>0</v>
      </c>
      <c r="AG20" s="73">
        <f>AF20*参数调整!$F$6</f>
        <v>0</v>
      </c>
      <c r="AI20" s="325"/>
      <c r="AJ20" s="327" t="s">
        <v>250</v>
      </c>
      <c r="AK20" s="328"/>
      <c r="AL20" s="108" t="s">
        <v>101</v>
      </c>
      <c r="AM20" s="118">
        <v>0</v>
      </c>
      <c r="AN20" s="108">
        <f>AM20*参数调整!$I$29</f>
        <v>0</v>
      </c>
      <c r="AO20" s="2"/>
      <c r="AP20" s="2"/>
    </row>
    <row r="21" spans="1:42" ht="13.8" customHeight="1">
      <c r="J21" s="309" t="s">
        <v>196</v>
      </c>
      <c r="K21" s="312"/>
      <c r="Q21" s="73" t="s">
        <v>193</v>
      </c>
      <c r="R21" s="227">
        <v>1050</v>
      </c>
      <c r="S21" s="227">
        <v>1200</v>
      </c>
      <c r="T21" s="227">
        <v>1050</v>
      </c>
      <c r="U21" s="227">
        <v>1200</v>
      </c>
      <c r="V21" s="227">
        <v>1350</v>
      </c>
      <c r="W21" s="227">
        <v>1500</v>
      </c>
      <c r="X21" s="227">
        <v>1650</v>
      </c>
      <c r="AB21" s="193" t="str">
        <f t="shared" si="7"/>
        <v>Q</v>
      </c>
      <c r="AC21" s="197"/>
      <c r="AD21" s="308"/>
      <c r="AE21" s="277" t="s">
        <v>222</v>
      </c>
      <c r="AF21" s="227">
        <v>0</v>
      </c>
      <c r="AG21" s="73">
        <f>AF21*参数调整!$F$7</f>
        <v>0</v>
      </c>
      <c r="AI21" s="325"/>
      <c r="AJ21" s="303"/>
      <c r="AK21" s="331"/>
      <c r="AL21" s="108" t="s">
        <v>269</v>
      </c>
      <c r="AM21" s="118">
        <v>0</v>
      </c>
      <c r="AN21" s="108">
        <f>AM21*参数调整!$F$29</f>
        <v>0</v>
      </c>
      <c r="AO21" s="2"/>
      <c r="AP21" s="2"/>
    </row>
    <row r="22" spans="1:42" ht="13.8" customHeight="1">
      <c r="J22" s="310">
        <v>30</v>
      </c>
      <c r="K22" s="310"/>
      <c r="Q22" s="300" t="s">
        <v>309</v>
      </c>
      <c r="R22" s="117">
        <f>$J$22*25</f>
        <v>750</v>
      </c>
      <c r="S22" s="117">
        <f>$J$22*20</f>
        <v>600</v>
      </c>
      <c r="T22" s="117">
        <f>$J$22*20</f>
        <v>600</v>
      </c>
      <c r="U22" s="117">
        <f>$J$22*25</f>
        <v>750</v>
      </c>
      <c r="V22" s="117">
        <f>$J$22*34</f>
        <v>1020</v>
      </c>
      <c r="W22" s="117">
        <f>$J$22*35</f>
        <v>1050</v>
      </c>
      <c r="X22" s="117">
        <f>$J$22*35</f>
        <v>1050</v>
      </c>
      <c r="AB22" s="193" t="str">
        <f t="shared" si="7"/>
        <v>Q</v>
      </c>
      <c r="AC22" s="197"/>
      <c r="AD22" s="308"/>
      <c r="AE22" s="277" t="s">
        <v>223</v>
      </c>
      <c r="AF22" s="227">
        <v>0</v>
      </c>
      <c r="AG22" s="73">
        <f>AF22*参数调整!$F$8</f>
        <v>0</v>
      </c>
      <c r="AI22" s="325"/>
      <c r="AJ22" s="303"/>
      <c r="AK22" s="331"/>
      <c r="AL22" s="108" t="s">
        <v>100</v>
      </c>
      <c r="AM22" s="118">
        <v>0</v>
      </c>
      <c r="AN22" s="108">
        <f>AM22*参数调整!$H$29</f>
        <v>0</v>
      </c>
      <c r="AO22" s="2"/>
      <c r="AP22" s="2"/>
    </row>
    <row r="23" spans="1:42" ht="13.8" customHeight="1">
      <c r="J23" s="310"/>
      <c r="K23" s="310"/>
      <c r="Q23" s="301"/>
      <c r="R23" s="117">
        <f>$J$22*24</f>
        <v>720</v>
      </c>
      <c r="S23" s="117">
        <f>$J$22*25</f>
        <v>750</v>
      </c>
      <c r="T23" s="117">
        <f>$J$22*29</f>
        <v>870</v>
      </c>
      <c r="U23" s="117">
        <f>$J$22*30</f>
        <v>900</v>
      </c>
      <c r="V23" s="117">
        <f>$J$22*35</f>
        <v>1050</v>
      </c>
      <c r="W23" s="117">
        <f>$J$22*44</f>
        <v>1320</v>
      </c>
      <c r="X23" s="117">
        <f>$J$22*40</f>
        <v>1200</v>
      </c>
      <c r="AB23" s="193" t="str">
        <f t="shared" si="7"/>
        <v>Q</v>
      </c>
      <c r="AC23" s="197"/>
      <c r="AD23" s="294" t="s">
        <v>352</v>
      </c>
      <c r="AE23" s="296"/>
      <c r="AF23" s="227">
        <v>0</v>
      </c>
      <c r="AG23" s="73">
        <f>AF23*参数调整!$C$40</f>
        <v>0</v>
      </c>
      <c r="AI23" s="325"/>
      <c r="AJ23" s="329"/>
      <c r="AK23" s="330"/>
      <c r="AL23" s="108" t="s">
        <v>270</v>
      </c>
      <c r="AM23" s="118">
        <v>0</v>
      </c>
      <c r="AN23" s="108">
        <f>AM23*参数调整!$G$29</f>
        <v>0</v>
      </c>
      <c r="AO23" s="2"/>
      <c r="AP23" s="2"/>
    </row>
    <row r="24" spans="1:42" ht="13.8" customHeight="1">
      <c r="J24" s="310"/>
      <c r="K24" s="310"/>
      <c r="Q24" s="301"/>
      <c r="R24" s="117">
        <f>$J$22*30</f>
        <v>900</v>
      </c>
      <c r="S24" s="117">
        <f>$J$22*30</f>
        <v>900</v>
      </c>
      <c r="T24" s="117">
        <f>$J$22*30</f>
        <v>900</v>
      </c>
      <c r="U24" s="117">
        <f>$J$22*39</f>
        <v>1170</v>
      </c>
      <c r="V24" s="117">
        <f>$J$22*40</f>
        <v>1200</v>
      </c>
      <c r="W24" s="117">
        <f>$J$22*45</f>
        <v>1350</v>
      </c>
      <c r="X24" s="117">
        <f>$J$22*45</f>
        <v>1350</v>
      </c>
      <c r="AB24" s="193" t="str">
        <f t="shared" si="7"/>
        <v>L</v>
      </c>
      <c r="AC24" s="197"/>
      <c r="AD24" s="294" t="s">
        <v>353</v>
      </c>
      <c r="AE24" s="296"/>
      <c r="AF24" s="227">
        <v>0</v>
      </c>
      <c r="AG24" s="73">
        <f>AF24*参数调整!$C$41</f>
        <v>0</v>
      </c>
      <c r="AI24" s="325"/>
      <c r="AJ24" s="327" t="s">
        <v>251</v>
      </c>
      <c r="AK24" s="328"/>
      <c r="AL24" s="108" t="s">
        <v>252</v>
      </c>
      <c r="AM24" s="118">
        <v>0</v>
      </c>
      <c r="AN24" s="108">
        <f>AM24*参数调整!$F$23</f>
        <v>0</v>
      </c>
      <c r="AO24" s="2"/>
      <c r="AP24" s="2"/>
    </row>
    <row r="25" spans="1:42" ht="13.8" customHeight="1">
      <c r="Q25" s="302"/>
      <c r="R25" s="117">
        <f>$J$22*35</f>
        <v>1050</v>
      </c>
      <c r="S25" s="117">
        <f>$J$22*40</f>
        <v>1200</v>
      </c>
      <c r="T25" s="117">
        <f>$J$22*35</f>
        <v>1050</v>
      </c>
      <c r="U25" s="117">
        <f>$J$22*40</f>
        <v>1200</v>
      </c>
      <c r="V25" s="117">
        <f>$J$22*45</f>
        <v>1350</v>
      </c>
      <c r="W25" s="117">
        <f>$J$22*50</f>
        <v>1500</v>
      </c>
      <c r="X25" s="117">
        <f>$J$22*55</f>
        <v>1650</v>
      </c>
      <c r="AB25" s="193">
        <f t="shared" si="7"/>
        <v>0</v>
      </c>
      <c r="AC25" s="194"/>
      <c r="AD25" s="308" t="s">
        <v>224</v>
      </c>
      <c r="AE25" s="308"/>
      <c r="AF25" s="227">
        <v>5</v>
      </c>
      <c r="AG25" s="73">
        <f>AF25*参数调整!$F$18</f>
        <v>1500</v>
      </c>
      <c r="AI25" s="325"/>
      <c r="AJ25" s="303"/>
      <c r="AK25" s="331"/>
      <c r="AL25" s="108" t="s">
        <v>253</v>
      </c>
      <c r="AM25" s="118">
        <v>0</v>
      </c>
      <c r="AN25" s="108">
        <f>AM25*参数调整!$H$23</f>
        <v>0</v>
      </c>
      <c r="AO25" s="2"/>
      <c r="AP25" s="2"/>
    </row>
    <row r="26" spans="1:42" ht="13.8" customHeight="1">
      <c r="AB26" s="193">
        <f t="shared" si="7"/>
        <v>0</v>
      </c>
      <c r="AC26" s="194"/>
      <c r="AD26" s="308" t="s">
        <v>225</v>
      </c>
      <c r="AE26" s="308"/>
      <c r="AF26" s="227">
        <v>4</v>
      </c>
      <c r="AG26" s="73">
        <f>AF26*参数调整!$F$17</f>
        <v>2000</v>
      </c>
      <c r="AI26" s="325"/>
      <c r="AJ26" s="329"/>
      <c r="AK26" s="330"/>
      <c r="AL26" s="108" t="s">
        <v>254</v>
      </c>
      <c r="AM26" s="118">
        <v>0</v>
      </c>
      <c r="AN26" s="108">
        <f>AM26*参数调整!$J$23</f>
        <v>0</v>
      </c>
      <c r="AO26" s="2"/>
      <c r="AP26" s="2"/>
    </row>
    <row r="27" spans="1:42" ht="13.8" customHeight="1">
      <c r="AB27" s="193">
        <f t="shared" si="7"/>
        <v>0</v>
      </c>
      <c r="AC27" s="194"/>
      <c r="AD27" s="308" t="s">
        <v>226</v>
      </c>
      <c r="AE27" s="308"/>
      <c r="AF27" s="308"/>
      <c r="AG27" s="73">
        <f>SUM(Y3:Y14)</f>
        <v>25076</v>
      </c>
      <c r="AI27" s="325"/>
      <c r="AJ27" s="294" t="s">
        <v>255</v>
      </c>
      <c r="AK27" s="295"/>
      <c r="AL27" s="296"/>
      <c r="AM27" s="110">
        <f>AM19</f>
        <v>9</v>
      </c>
      <c r="AN27" s="108">
        <f>AM27*参数调整!$J$17*(1+参数调整!$B$12+参数调整!$B$13+参数调整!$B$14+参数调整!$B$15+参数调整!$B$16)</f>
        <v>48455.999999999993</v>
      </c>
      <c r="AO27" s="2"/>
      <c r="AP27" s="2"/>
    </row>
    <row r="28" spans="1:42" ht="13.8" customHeight="1">
      <c r="I28" s="73" t="s">
        <v>310</v>
      </c>
      <c r="J28" s="73" t="s">
        <v>322</v>
      </c>
      <c r="K28" s="73" t="s">
        <v>323</v>
      </c>
      <c r="Q28" s="73" t="s">
        <v>324</v>
      </c>
      <c r="R28" s="73" t="s">
        <v>325</v>
      </c>
      <c r="S28" s="73" t="s">
        <v>320</v>
      </c>
      <c r="T28" s="73" t="s">
        <v>321</v>
      </c>
      <c r="U28" s="73" t="s">
        <v>311</v>
      </c>
      <c r="V28" s="73" t="s">
        <v>312</v>
      </c>
      <c r="W28" s="73" t="s">
        <v>191</v>
      </c>
      <c r="X28" s="73" t="s">
        <v>274</v>
      </c>
      <c r="Y28" s="255" t="s">
        <v>445</v>
      </c>
      <c r="AB28" s="193">
        <f t="shared" si="7"/>
        <v>0</v>
      </c>
      <c r="AC28" s="194"/>
      <c r="AD28" s="308" t="s">
        <v>227</v>
      </c>
      <c r="AE28" s="308"/>
      <c r="AF28" s="308"/>
      <c r="AG28" s="73">
        <f>G18</f>
        <v>59469.227999999988</v>
      </c>
      <c r="AI28" s="325"/>
      <c r="AJ28" s="297" t="s">
        <v>256</v>
      </c>
      <c r="AK28" s="316" t="s">
        <v>257</v>
      </c>
      <c r="AL28" s="334" t="s">
        <v>176</v>
      </c>
      <c r="AM28" s="332">
        <v>0</v>
      </c>
      <c r="AN28" s="297">
        <f>AM28*参数调整!$B$30*参数调整!F11</f>
        <v>0</v>
      </c>
      <c r="AO28" s="2"/>
      <c r="AP28" s="2"/>
    </row>
    <row r="29" spans="1:42" ht="13.8" customHeight="1">
      <c r="G29" s="73" t="str">
        <f>J3</f>
        <v>S</v>
      </c>
      <c r="H29" s="73">
        <f>第三季度!W3-第四季度!Q3+第四季度!R3</f>
        <v>66</v>
      </c>
      <c r="I29" s="74"/>
      <c r="J29" s="73">
        <f>IF(G29="S",H29*100/(SUM(第三季度!$R$18:$V$18)-$I$29)+U29-V29+Z3*参数调整!$H$11/($X$29*第四季度!$J$18),IF(G29="B",H29*100/(SUM(第三季度!$R$19:$V$19)-第四季度!$I$30)+U29-V29+第四季度!Z3*参数调整!$H$12/(第四季度!$X$30*第四季度!$J$18),IF(第四季度!G29="Q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1.9100668031495456</v>
      </c>
      <c r="K29" s="74">
        <v>1000</v>
      </c>
      <c r="Q29" s="96">
        <f>IF(G29="S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2.5346475448485886</v>
      </c>
      <c r="R29" s="105">
        <v>2596</v>
      </c>
      <c r="S29" s="96">
        <f>IF(G29="S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Q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2.7494338807092342</v>
      </c>
      <c r="T29" s="96">
        <f>IF(G29="S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Q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8.8235294117647065E-2</v>
      </c>
      <c r="U29" s="73">
        <f>T29-(第三季度!S29+第二季度!AA41)</f>
        <v>-9.1204751131221673E-3</v>
      </c>
      <c r="V29" s="105"/>
      <c r="W29" s="250">
        <v>9958.9705789996879</v>
      </c>
      <c r="X29" s="73">
        <f>W29+第三季度!W29*0.53653684+第二季度!U18*0.53653684*0.46055126</f>
        <v>18344.434954282351</v>
      </c>
      <c r="Y29" s="120">
        <v>9958.9705789996879</v>
      </c>
      <c r="AD29" s="308" t="s">
        <v>228</v>
      </c>
      <c r="AE29" s="308"/>
      <c r="AF29" s="308"/>
      <c r="AG29" s="98">
        <f>AG3+AG4*(1-参数调整!$B$18)-SUM(AG5:AG28)</f>
        <v>-24317.418000000005</v>
      </c>
      <c r="AH29" s="98">
        <f>AG29/(1-参数调整!B23)</f>
        <v>-25069.503092783511</v>
      </c>
      <c r="AI29" s="325"/>
      <c r="AJ29" s="298"/>
      <c r="AK29" s="317"/>
      <c r="AL29" s="335"/>
      <c r="AM29" s="333"/>
      <c r="AN29" s="299"/>
      <c r="AO29" s="2"/>
      <c r="AP29" s="2"/>
    </row>
    <row r="30" spans="1:42" ht="13.8" customHeight="1">
      <c r="G30" s="73" t="str">
        <f t="shared" ref="G30:G40" si="8">J4</f>
        <v>B</v>
      </c>
      <c r="H30" s="73">
        <f>第三季度!W4-第四季度!Q4+第四季度!R4</f>
        <v>110</v>
      </c>
      <c r="I30" s="74"/>
      <c r="J30" s="73">
        <f>IF(G30="S",H30*100/(SUM(第三季度!$R$18:$V$18)-$I$29)+U30-V30+Z4*参数调整!$H$11/($X$29*第四季度!$J$18),IF(G30="B",H30*100/(SUM(第三季度!$R$19:$V$19)-第四季度!$I$30)+U30-V30+第四季度!Z4*参数调整!$H$12/(第四季度!$X$30*第四季度!$J$18),IF(第四季度!G30="Q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2.9921155524800098</v>
      </c>
      <c r="K30" s="74">
        <v>870</v>
      </c>
      <c r="Q30" s="109">
        <f>IF(G30="S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3.7600302324088921</v>
      </c>
      <c r="R30" s="74">
        <v>2840</v>
      </c>
      <c r="S30" s="224">
        <f>IF(G30="S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Q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4.1713529279443611</v>
      </c>
      <c r="T30" s="238">
        <f>IF(G30="S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Q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0.12055293613373338</v>
      </c>
      <c r="U30" s="73">
        <f>T30-(第三季度!S30+第二季度!AA42)</f>
        <v>-1.1570225630972486E-2</v>
      </c>
      <c r="V30" s="74"/>
      <c r="W30" s="74">
        <v>14666.892873683888</v>
      </c>
      <c r="X30" s="73">
        <f>W30+第三季度!W30*0.53653684+第二季度!U19*0.53653684*0.46055126</f>
        <v>27477.227943036967</v>
      </c>
      <c r="Y30" s="91">
        <v>14666.892873683888</v>
      </c>
      <c r="AD30" s="294" t="s">
        <v>317</v>
      </c>
      <c r="AE30" s="295"/>
      <c r="AF30" s="296"/>
      <c r="AG30" s="119">
        <v>26676</v>
      </c>
      <c r="AH30" s="217">
        <v>259158.99</v>
      </c>
      <c r="AI30" s="325"/>
      <c r="AJ30" s="298"/>
      <c r="AK30" s="317"/>
      <c r="AL30" s="334" t="s">
        <v>177</v>
      </c>
      <c r="AM30" s="332">
        <v>0</v>
      </c>
      <c r="AN30" s="297">
        <f>AM30*参数调整!$B$30*参数调整!F13</f>
        <v>0</v>
      </c>
      <c r="AO30" s="2"/>
      <c r="AP30" s="2"/>
    </row>
    <row r="31" spans="1:42" ht="13.8" customHeight="1">
      <c r="G31" s="73" t="str">
        <f t="shared" si="8"/>
        <v>B</v>
      </c>
      <c r="H31" s="73">
        <f>第三季度!W5-第四季度!Q5+第四季度!R5</f>
        <v>51</v>
      </c>
      <c r="I31" s="74"/>
      <c r="J31" s="73">
        <f>IF(G31="S",H31*100/(SUM(第三季度!$R$18:$V$18)-$I$29)+U31-V31+Z5*参数调整!$H$11/($X$29*第四季度!$J$18),IF(G31="B",H31*100/(SUM(第三季度!$R$19:$V$19)-第四季度!$I$30)+U31-V31+第四季度!Z5*参数调整!$H$12/(第四季度!$X$30*第四季度!$J$18),IF(第四季度!G31="Q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1.0314211583038237</v>
      </c>
      <c r="K31" s="73" t="s">
        <v>326</v>
      </c>
      <c r="Q31" s="109">
        <f>IF(G31="S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1.2497511845141223</v>
      </c>
      <c r="R31" s="74">
        <v>2269</v>
      </c>
      <c r="S31" s="224">
        <f>IF(G31="S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Q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1.4428307214474838</v>
      </c>
      <c r="T31" s="238">
        <f>IF(G31="S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Q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4.1791684526360909E-2</v>
      </c>
      <c r="U31" s="73">
        <f>T31-(第三季度!S31+第二季度!AA43)</f>
        <v>7.324772761655024E-3</v>
      </c>
      <c r="V31" s="74"/>
      <c r="W31" s="74">
        <v>7753.06659125229</v>
      </c>
      <c r="X31" s="73">
        <f>W31+第三季度!W31*0.53653684+第二季度!U20*0.53653684*0.46055126</f>
        <v>14407.037545274408</v>
      </c>
      <c r="Y31" s="91">
        <v>7753.06659125229</v>
      </c>
      <c r="AD31" s="294" t="s">
        <v>228</v>
      </c>
      <c r="AE31" s="295"/>
      <c r="AF31" s="296"/>
      <c r="AG31" s="98">
        <f>AG30*(1-参数调整!B23)+AG29</f>
        <v>1558.3019999999924</v>
      </c>
      <c r="AI31" s="325"/>
      <c r="AJ31" s="298"/>
      <c r="AK31" s="317"/>
      <c r="AL31" s="335"/>
      <c r="AM31" s="333"/>
      <c r="AN31" s="299"/>
      <c r="AO31" s="2"/>
      <c r="AP31" s="2"/>
    </row>
    <row r="32" spans="1:42" ht="13.8" customHeight="1">
      <c r="G32" s="73" t="str">
        <f t="shared" si="8"/>
        <v>B</v>
      </c>
      <c r="H32" s="73">
        <f>第三季度!W6-第四季度!Q6+第四季度!R6</f>
        <v>46</v>
      </c>
      <c r="I32" s="74"/>
      <c r="J32" s="73">
        <f>IF(G32="S",H32*100/(SUM(第三季度!$R$18:$V$18)-$I$29)+U32-V32+Z6*参数调整!$H$11/($X$29*第四季度!$J$18),IF(G32="B",H32*100/(SUM(第三季度!$R$19:$V$19)-第四季度!$I$30)+U32-V32+第四季度!Z6*参数调整!$H$12/(第四季度!$X$30*第四季度!$J$18),IF(第四季度!G32="Q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0.9305610764551614</v>
      </c>
      <c r="K32" s="74">
        <v>8</v>
      </c>
      <c r="Q32" s="109">
        <f>IF(G32="S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1.1275411583325312</v>
      </c>
      <c r="R32" s="74">
        <v>3758</v>
      </c>
      <c r="S32" s="224">
        <f>IF(G32="S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Q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1.3017399327940178</v>
      </c>
      <c r="T32" s="238">
        <f>IF(G32="S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Q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4.01843120445778E-2</v>
      </c>
      <c r="U32" s="73">
        <f>T32-(第三季度!S32+第二季度!AA44)</f>
        <v>6.8662973386954471E-3</v>
      </c>
      <c r="V32" s="74"/>
      <c r="W32" s="74">
        <v>866.98592320073863</v>
      </c>
      <c r="X32" s="73">
        <f>W32+第三季度!W32*0.53653684+第二季度!U21*0.53653684*0.46055126</f>
        <v>2836.5462287687133</v>
      </c>
      <c r="Y32" s="91">
        <v>866.98592320073863</v>
      </c>
      <c r="AI32" s="325"/>
      <c r="AJ32" s="298"/>
      <c r="AK32" s="317"/>
      <c r="AL32" s="334" t="s">
        <v>178</v>
      </c>
      <c r="AM32" s="332">
        <v>0</v>
      </c>
      <c r="AN32" s="297">
        <f>参数调整!F13*AM32*参数调整!$B$30</f>
        <v>0</v>
      </c>
      <c r="AO32" s="2"/>
      <c r="AP32" s="2"/>
    </row>
    <row r="33" spans="1:42" ht="13.8" customHeight="1">
      <c r="G33" s="73" t="str">
        <f t="shared" si="8"/>
        <v>Q</v>
      </c>
      <c r="H33" s="73">
        <f>第三季度!W7-第四季度!Q7+第四季度!R7</f>
        <v>92</v>
      </c>
      <c r="I33" s="1"/>
      <c r="J33" s="73">
        <f>IF(G33="S",H33*100/(SUM(第三季度!$R$18:$V$18)-$I$29)+U33-V33+Z7*参数调整!$H$11/($X$29*第四季度!$J$18),IF(G33="B",H33*100/(SUM(第三季度!$R$19:$V$19)-第四季度!$I$30)+U33-V33+第四季度!Z7*参数调整!$H$12/(第四季度!$X$30*第四季度!$J$18),IF(第四季度!G33="Q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1.5426171051171051</v>
      </c>
      <c r="K33" s="1"/>
      <c r="Q33" s="109">
        <f>IF(G33="S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1.5426171051171051</v>
      </c>
      <c r="R33" s="73" t="s">
        <v>326</v>
      </c>
      <c r="S33" s="224">
        <f>IF(G33="S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Q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1.9137546527271903</v>
      </c>
      <c r="T33" s="238">
        <f>IF(G33="S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Q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0.21428571428571427</v>
      </c>
      <c r="U33" s="73">
        <f>T33-(第三季度!S33+第二季度!AA45)</f>
        <v>-3.0032467532467549E-2</v>
      </c>
      <c r="V33" s="74"/>
      <c r="W33" s="1"/>
      <c r="X33" s="1"/>
      <c r="Y33" s="1"/>
      <c r="AI33" s="325"/>
      <c r="AJ33" s="298"/>
      <c r="AK33" s="317"/>
      <c r="AL33" s="335"/>
      <c r="AM33" s="333"/>
      <c r="AN33" s="299"/>
      <c r="AO33" s="2"/>
      <c r="AP33" s="2"/>
    </row>
    <row r="34" spans="1:42" ht="13.8" customHeight="1">
      <c r="G34" s="73" t="str">
        <f t="shared" si="8"/>
        <v>Q</v>
      </c>
      <c r="H34" s="73">
        <f>第三季度!W8-第四季度!Q8+第四季度!R8</f>
        <v>93</v>
      </c>
      <c r="I34" s="1"/>
      <c r="J34" s="73">
        <f>IF(G34="S",H34*100/(SUM(第三季度!$R$18:$V$18)-$I$29)+U34-V34+Z8*参数调整!$H$11/($X$29*第四季度!$J$18),IF(G34="B",H34*100/(SUM(第三季度!$R$19:$V$19)-第四季度!$I$30)+U34-V34+第四季度!Z8*参数调整!$H$12/(第四季度!$X$30*第四季度!$J$18),IF(第四季度!G34="Q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1.5597111222111222</v>
      </c>
      <c r="K34" s="1"/>
      <c r="Q34" s="109">
        <f>IF(G34="S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1.5597111222111222</v>
      </c>
      <c r="R34" s="74">
        <v>16</v>
      </c>
      <c r="S34" s="224">
        <f>IF(G34="S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Q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1.9349613116180819</v>
      </c>
      <c r="T34" s="238">
        <f>IF(G34="S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Q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0.21428571428571427</v>
      </c>
      <c r="U34" s="73">
        <f>T34-(第三季度!S34+第二季度!AA46)</f>
        <v>-3.0032467532467549E-2</v>
      </c>
      <c r="V34" s="74"/>
      <c r="W34" s="1"/>
      <c r="X34" s="1"/>
      <c r="Y34" s="1"/>
      <c r="AI34" s="325"/>
      <c r="AJ34" s="298"/>
      <c r="AK34" s="317"/>
      <c r="AL34" s="334" t="s">
        <v>193</v>
      </c>
      <c r="AM34" s="332">
        <v>0</v>
      </c>
      <c r="AN34" s="297">
        <f>参数调整!F14*AM34*参数调整!$B$30</f>
        <v>0</v>
      </c>
      <c r="AO34" s="2"/>
      <c r="AP34" s="2"/>
    </row>
    <row r="35" spans="1:42" ht="13.8" customHeight="1">
      <c r="G35" s="73" t="str">
        <f t="shared" si="8"/>
        <v>Q</v>
      </c>
      <c r="H35" s="73">
        <f>第三季度!W9-第四季度!Q9+第四季度!R9</f>
        <v>151</v>
      </c>
      <c r="I35" s="1"/>
      <c r="J35" s="73">
        <f>IF(G35="S",H35*100/(SUM(第三季度!$R$18:$V$18)-$I$29)+U35-V35+Z9*参数调整!$H$11/($X$29*第四季度!$J$18),IF(G35="B",H35*100/(SUM(第三季度!$R$19:$V$19)-第四季度!$I$30)+U35-V35+第四季度!Z9*参数调整!$H$12/(第四季度!$X$30*第四季度!$J$18),IF(第四季度!G35="Q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3.419200652842604</v>
      </c>
      <c r="K35" s="1"/>
      <c r="Q35" s="109">
        <f>IF(G35="S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3.419200652842604</v>
      </c>
      <c r="R35" s="1"/>
      <c r="S35" s="224">
        <f>IF(G35="S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Q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4.3654316561768267</v>
      </c>
      <c r="T35" s="238">
        <f>IF(G35="S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Q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0.39487870619946092</v>
      </c>
      <c r="U35" s="73">
        <f>T35-(第三季度!S35+第二季度!AA47)</f>
        <v>-4.2621293800539084E-2</v>
      </c>
      <c r="V35" s="74"/>
      <c r="W35" s="1"/>
      <c r="X35" s="1"/>
      <c r="Y35" s="1"/>
      <c r="AI35" s="325"/>
      <c r="AJ35" s="299"/>
      <c r="AK35" s="318"/>
      <c r="AL35" s="335"/>
      <c r="AM35" s="333"/>
      <c r="AN35" s="299"/>
      <c r="AO35" s="108" t="s">
        <v>258</v>
      </c>
      <c r="AP35" s="108" t="s">
        <v>259</v>
      </c>
    </row>
    <row r="36" spans="1:42" ht="13.8" customHeight="1">
      <c r="D36" s="304" t="s">
        <v>306</v>
      </c>
      <c r="E36" s="291" t="s">
        <v>302</v>
      </c>
      <c r="F36" s="291" t="s">
        <v>354</v>
      </c>
      <c r="G36" s="73" t="str">
        <f t="shared" si="8"/>
        <v>L</v>
      </c>
      <c r="H36" s="73">
        <f>第三季度!W10-第四季度!Q10+第四季度!R10</f>
        <v>119</v>
      </c>
      <c r="I36" s="1"/>
      <c r="J36" s="73">
        <f>IF(G36="S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Q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2.4107879319494852</v>
      </c>
      <c r="K36" s="1"/>
      <c r="Q36" s="109">
        <f>IF(G36="S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2.4107879319494852</v>
      </c>
      <c r="R36" s="1"/>
      <c r="S36" s="224">
        <f>IF(G36="S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Q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3.3881825176840099</v>
      </c>
      <c r="T36" s="238">
        <f>IF(G36="S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Q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6.9990850869167426E-2</v>
      </c>
      <c r="U36" s="73">
        <f>T36-(第三季度!S36+第二季度!AA48)</f>
        <v>0.11401163541249296</v>
      </c>
      <c r="V36" s="74"/>
      <c r="W36" s="1"/>
      <c r="X36" s="1"/>
      <c r="Y36" s="1"/>
      <c r="AI36" s="326"/>
      <c r="AJ36" s="294" t="s">
        <v>260</v>
      </c>
      <c r="AK36" s="295"/>
      <c r="AL36" s="295"/>
      <c r="AM36" s="296"/>
      <c r="AN36" s="98">
        <f>AN2-SUM(AN5:AN19)+SUM(AN20:AN26)-SUM(AN27:AN35)+AO36*(1-参数调整!B23)+AP36*(1-参数调整!B24)-第一季度!AG29</f>
        <v>37083.160000000033</v>
      </c>
      <c r="AO36" s="118">
        <v>0</v>
      </c>
      <c r="AP36" s="118">
        <v>0</v>
      </c>
    </row>
    <row r="37" spans="1:42" ht="13.8" customHeight="1">
      <c r="D37" s="304"/>
      <c r="E37" s="291"/>
      <c r="F37" s="291"/>
      <c r="G37" s="73">
        <f t="shared" si="8"/>
        <v>0</v>
      </c>
      <c r="H37" s="73">
        <f>第三季度!W11-第四季度!Q11+第四季度!R11</f>
        <v>0</v>
      </c>
      <c r="J37" s="73">
        <f>IF(G37="S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Q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8.1967213114754092E-2</v>
      </c>
      <c r="Q37" s="109">
        <f>IF(G37="S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8.1967213114754092E-2</v>
      </c>
      <c r="S37" s="224">
        <f>IF(G37="S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Q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0.11566145801578732</v>
      </c>
      <c r="T37" s="238">
        <f>IF(G37="S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Q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73">
        <f>T37-(第三季度!S37+第二季度!AA49)</f>
        <v>8.1967213114754092E-2</v>
      </c>
      <c r="V37" s="74"/>
      <c r="AI37" s="321" t="s">
        <v>336</v>
      </c>
      <c r="AJ37" s="294" t="s">
        <v>262</v>
      </c>
      <c r="AK37" s="295"/>
      <c r="AL37" s="295"/>
      <c r="AM37" s="296"/>
      <c r="AN37" s="110">
        <f>AO3-AO36</f>
        <v>342856.8</v>
      </c>
      <c r="AO37" s="2"/>
      <c r="AP37" s="2"/>
    </row>
    <row r="38" spans="1:42" ht="13.8" customHeight="1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36</v>
      </c>
      <c r="E38" s="2">
        <f>第三季度!G3+第三季度!H3+第三季度!E38-第三季度!B3</f>
        <v>0</v>
      </c>
      <c r="F38" s="138">
        <f>E38+G3-B3</f>
        <v>0</v>
      </c>
      <c r="G38" s="73">
        <f t="shared" si="8"/>
        <v>0</v>
      </c>
      <c r="H38" s="73">
        <f>第三季度!W12-第四季度!Q12+第四季度!R12</f>
        <v>0</v>
      </c>
      <c r="J38" s="73">
        <f>IF(G38="S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Q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8.1967213114754092E-2</v>
      </c>
      <c r="Q38" s="109">
        <f>IF(G38="S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8.1967213114754092E-2</v>
      </c>
      <c r="S38" s="224">
        <f>IF(G38="S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Q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0.11566145801578732</v>
      </c>
      <c r="T38" s="238">
        <f>IF(G38="S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Q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73">
        <f>T38-(第三季度!S38+第二季度!AA50)</f>
        <v>8.1967213114754092E-2</v>
      </c>
      <c r="V38" s="74"/>
      <c r="AI38" s="322"/>
      <c r="AJ38" s="294" t="s">
        <v>263</v>
      </c>
      <c r="AK38" s="295"/>
      <c r="AL38" s="295"/>
      <c r="AM38" s="296"/>
      <c r="AN38" s="110">
        <f>(G3*D3*E3+G4*D4*E4+G5*D5*1.5*E5+G6*D6*E6+G7*E7*D7+G8*E8*D8+G9*E9*D9+G10*E10*D10+G11*E11*D11+G12*E12*D12+G13*E13*D13*1.5+G14*E14*D14*1.5+G15*E15*D15*1.5+G16*E16*D16*1.5)*(1+参数调整!B6)</f>
        <v>121990.63499999999</v>
      </c>
      <c r="AO38" s="2"/>
      <c r="AP38" s="2"/>
    </row>
    <row r="39" spans="1:42" ht="13.8" customHeight="1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78</v>
      </c>
      <c r="E39" s="2">
        <f>第三季度!G4+第三季度!H4+第三季度!E39-第三季度!B4</f>
        <v>0</v>
      </c>
      <c r="F39" s="138">
        <f t="shared" ref="F39:F51" si="9">E39+G4-B4</f>
        <v>0</v>
      </c>
      <c r="G39" s="73">
        <f t="shared" si="8"/>
        <v>0</v>
      </c>
      <c r="H39" s="73">
        <f>第三季度!W13-第四季度!Q13+第四季度!R13</f>
        <v>0</v>
      </c>
      <c r="J39" s="73">
        <f>IF(G39="S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Q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8.1967213114754092E-2</v>
      </c>
      <c r="Q39" s="109">
        <f>IF(G39="S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8.1967213114754092E-2</v>
      </c>
      <c r="S39" s="224">
        <f>IF(G39="S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Q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0.11566145801578732</v>
      </c>
      <c r="T39" s="238">
        <f>IF(G39="S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Q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73">
        <f>T39-(第三季度!S39+第二季度!AA51)</f>
        <v>8.1967213114754092E-2</v>
      </c>
      <c r="V39" s="74"/>
      <c r="AI39" s="322"/>
      <c r="AJ39" s="294" t="s">
        <v>264</v>
      </c>
      <c r="AK39" s="295"/>
      <c r="AL39" s="295"/>
      <c r="AM39" s="296"/>
      <c r="AN39" s="110">
        <f>H5*D40*(1+参数调整!B6)+H13*D48*(1+参数调整!B6)+H14*D49*(1+参数调整!B6)+H15*D50*(1+参数调整!B6)+H16*D51*(1+参数调整!B6)</f>
        <v>0</v>
      </c>
      <c r="AO39" s="2"/>
      <c r="AP39" s="2"/>
    </row>
    <row r="40" spans="1:42" ht="13.8" customHeight="1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112</v>
      </c>
      <c r="E40" s="2">
        <f>第三季度!G5+第三季度!H5+第三季度!E40-第三季度!B5</f>
        <v>0</v>
      </c>
      <c r="F40" s="138">
        <f t="shared" si="9"/>
        <v>0</v>
      </c>
      <c r="G40" s="73">
        <f t="shared" si="8"/>
        <v>0</v>
      </c>
      <c r="H40" s="73">
        <f>第三季度!W14-第四季度!Q14+第四季度!R14</f>
        <v>0</v>
      </c>
      <c r="J40" s="73">
        <f>IF(G40="S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Q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8.1967213114754092E-2</v>
      </c>
      <c r="Q40" s="109">
        <f>IF(G40="S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8.1967213114754092E-2</v>
      </c>
      <c r="S40" s="224">
        <f>IF(G40="S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Q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0.11566145801578732</v>
      </c>
      <c r="T40" s="238">
        <f>IF(G40="S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Q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73">
        <f>T40-(第三季度!S40+第二季度!AA52)</f>
        <v>8.1967213114754092E-2</v>
      </c>
      <c r="V40" s="74"/>
      <c r="AI40" s="322"/>
      <c r="AJ40" s="294" t="s">
        <v>265</v>
      </c>
      <c r="AK40" s="295"/>
      <c r="AL40" s="295"/>
      <c r="AM40" s="296"/>
      <c r="AN40" s="110">
        <v>10000</v>
      </c>
      <c r="AO40" s="2"/>
      <c r="AP40" s="2"/>
    </row>
    <row r="41" spans="1:42" ht="13.8" customHeight="1"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12</v>
      </c>
      <c r="E41" s="2">
        <f>第三季度!G6+第三季度!H6+第三季度!E41-第三季度!B6</f>
        <v>0</v>
      </c>
      <c r="F41" s="138">
        <f t="shared" si="9"/>
        <v>0</v>
      </c>
      <c r="AI41" s="322"/>
      <c r="AJ41" s="294" t="s">
        <v>266</v>
      </c>
      <c r="AK41" s="295"/>
      <c r="AL41" s="295"/>
      <c r="AM41" s="296"/>
      <c r="AN41" s="110">
        <f>(AN2+AO3+AP3-AK2)*参数调整!B6/(1+参数调整!B6)-(F3+F4+F5*1.5+F6+F7+F8+F9+F10+F11+F12+F13*1.5+F14*1.5+F15*1.5+F16*1.5+第二季度!AN39)/(1+参数调整!B6)*参数调整!B6</f>
        <v>100001.26016239317</v>
      </c>
      <c r="AO41" s="2"/>
      <c r="AP41" s="2"/>
    </row>
    <row r="42" spans="1:42" ht="13.8" customHeight="1">
      <c r="D42" s="1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25</v>
      </c>
      <c r="E42" s="2">
        <f>第三季度!G7+第三季度!H7+第三季度!E42-第三季度!B7</f>
        <v>0</v>
      </c>
      <c r="F42" s="138">
        <f t="shared" si="9"/>
        <v>0</v>
      </c>
      <c r="AI42" s="322"/>
      <c r="AJ42" s="294" t="s">
        <v>267</v>
      </c>
      <c r="AK42" s="295"/>
      <c r="AL42" s="295"/>
      <c r="AM42" s="296"/>
      <c r="AN42" s="110">
        <f>AN41*(参数调整!$B$7+参数调整!$B$8+参数调整!$B$9)</f>
        <v>12000.151219487181</v>
      </c>
      <c r="AO42" s="2"/>
      <c r="AP42" s="2"/>
    </row>
    <row r="43" spans="1:42" ht="13.8" customHeight="1">
      <c r="A43" s="73" t="s">
        <v>312</v>
      </c>
      <c r="B43" s="73" t="s">
        <v>191</v>
      </c>
      <c r="D43" s="1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37</v>
      </c>
      <c r="E43" s="2">
        <f>第三季度!G8+第三季度!H8+第三季度!E43-第三季度!B8</f>
        <v>0</v>
      </c>
      <c r="F43" s="138">
        <f t="shared" si="9"/>
        <v>0</v>
      </c>
      <c r="AI43" s="322"/>
      <c r="AJ43" s="294" t="s">
        <v>268</v>
      </c>
      <c r="AK43" s="295"/>
      <c r="AL43" s="295"/>
      <c r="AM43" s="296"/>
      <c r="AN43" s="110">
        <v>25000</v>
      </c>
      <c r="AO43" s="2"/>
      <c r="AP43" s="2"/>
    </row>
    <row r="44" spans="1:42" ht="13.8" customHeight="1">
      <c r="A44" s="118"/>
      <c r="B44" s="73" t="e">
        <f>((AB3*参数调整!H11/第四季度!A44)-第二季度!U18*第四季度!$J$18*0.536537*0.46055126-第三季度!W29*第四季度!$J$18*0.536537)/第四季度!$J$18</f>
        <v>#DIV/0!</v>
      </c>
      <c r="D44" s="1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f>第三季度!G9+第三季度!H9+第三季度!E44-第三季度!B9</f>
        <v>0</v>
      </c>
      <c r="F44" s="138">
        <f t="shared" si="9"/>
        <v>0</v>
      </c>
      <c r="Q44" s="73" t="s">
        <v>304</v>
      </c>
      <c r="R44" s="73" t="s">
        <v>432</v>
      </c>
      <c r="S44" s="73" t="s">
        <v>433</v>
      </c>
      <c r="T44" s="73" t="s">
        <v>434</v>
      </c>
      <c r="U44" s="73" t="s">
        <v>435</v>
      </c>
      <c r="V44" s="73" t="s">
        <v>436</v>
      </c>
      <c r="W44" s="73" t="s">
        <v>437</v>
      </c>
      <c r="X44" s="73" t="s">
        <v>438</v>
      </c>
      <c r="Y44" s="73" t="s">
        <v>330</v>
      </c>
      <c r="AI44" s="323"/>
      <c r="AJ44" s="294" t="s">
        <v>260</v>
      </c>
      <c r="AK44" s="295"/>
      <c r="AL44" s="295"/>
      <c r="AM44" s="296"/>
      <c r="AN44" s="98">
        <f>AN36+AN37-SUM(AN38:AN43)</f>
        <v>110947.91361811967</v>
      </c>
      <c r="AO44" s="2"/>
      <c r="AP44" s="2"/>
    </row>
    <row r="45" spans="1:42">
      <c r="A45" s="118"/>
      <c r="B45" s="73" t="e">
        <f>((AB4*参数调整!H12/第四季度!A45)-第二季度!U19*第四季度!$J$18*0.536537*0.46055126-第三季度!W30*第四季度!$J$18*0.536537)/第四季度!$J$18</f>
        <v>#DIV/0!</v>
      </c>
      <c r="D45" s="1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72</v>
      </c>
      <c r="E45" s="2">
        <f>第三季度!G10+第三季度!H10+第三季度!E45-第三季度!B10</f>
        <v>0</v>
      </c>
      <c r="F45" s="138">
        <f t="shared" si="9"/>
        <v>0</v>
      </c>
      <c r="Q45" s="73" t="str">
        <f t="shared" ref="Q45:Q56" si="10">J3</f>
        <v>S</v>
      </c>
      <c r="R45" s="254">
        <f>ROUNDUP(R65+R79,1)</f>
        <v>14.2</v>
      </c>
      <c r="S45" s="254">
        <f t="shared" ref="S45:X45" si="11">ROUNDUP(S65+S79,1)</f>
        <v>11.4</v>
      </c>
      <c r="T45" s="254">
        <f t="shared" si="11"/>
        <v>8.6</v>
      </c>
      <c r="U45" s="254">
        <f t="shared" si="11"/>
        <v>10.7</v>
      </c>
      <c r="V45" s="254">
        <f t="shared" si="11"/>
        <v>14.5</v>
      </c>
      <c r="W45" s="254">
        <f t="shared" si="11"/>
        <v>21.5</v>
      </c>
      <c r="X45" s="254">
        <f t="shared" si="11"/>
        <v>21.5</v>
      </c>
      <c r="Y45" s="73">
        <f>W3-TRUNC(R45)-TRUNC(S45)-TRUNC(T45)-TRUNC(U45)-TRUNC(V45)-TRUNC(W45)-TRUNC(X45)</f>
        <v>3</v>
      </c>
    </row>
    <row r="46" spans="1:42">
      <c r="A46" s="118"/>
      <c r="B46" s="73" t="e">
        <f>((AB5*参数调整!H13/第四季度!A46)-第二季度!U20*第四季度!$J$18*0.536537*0.46055126-第三季度!W31*第四季度!$J$18*0.536537)/第四季度!$J$18</f>
        <v>#DIV/0!</v>
      </c>
      <c r="D46" s="1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118</v>
      </c>
      <c r="E46" s="2">
        <f>第三季度!G11+第三季度!H11+第三季度!E46-第三季度!B11</f>
        <v>0</v>
      </c>
      <c r="F46" s="138">
        <f t="shared" si="9"/>
        <v>0</v>
      </c>
      <c r="Q46" s="73" t="str">
        <f t="shared" si="10"/>
        <v>B</v>
      </c>
      <c r="R46" s="254">
        <f t="shared" ref="R46:X56" si="12">ROUNDUP(R66+R80,1)</f>
        <v>16.3</v>
      </c>
      <c r="S46" s="254">
        <f t="shared" si="12"/>
        <v>17</v>
      </c>
      <c r="T46" s="254">
        <f t="shared" si="12"/>
        <v>15.7</v>
      </c>
      <c r="U46" s="254">
        <f t="shared" si="12"/>
        <v>16.200000000000003</v>
      </c>
      <c r="V46" s="254">
        <f t="shared" si="12"/>
        <v>18.900000000000002</v>
      </c>
      <c r="W46" s="254">
        <f t="shared" si="12"/>
        <v>33.1</v>
      </c>
      <c r="X46" s="254">
        <f t="shared" si="12"/>
        <v>30.1</v>
      </c>
      <c r="Y46" s="73">
        <f t="shared" ref="Y46:Y56" si="13">W4-TRUNC(R46)-TRUNC(S46)-TRUNC(T46)-TRUNC(U46)-TRUNC(V46)-TRUNC(W46)-TRUNC(X46)</f>
        <v>2</v>
      </c>
    </row>
    <row r="47" spans="1:42">
      <c r="A47" s="118"/>
      <c r="B47" s="73" t="e">
        <f>((AB6*参数调整!H14/第四季度!A47)-第二季度!U21*第四季度!$J$18*0.536537*0.46055126-第三季度!W32*第四季度!$J$18*0.536537)/第四季度!$J$18</f>
        <v>#DIV/0!</v>
      </c>
      <c r="D47" s="1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2">
        <f>第三季度!G12+第三季度!H12+第三季度!E47-第三季度!B12</f>
        <v>0</v>
      </c>
      <c r="F47" s="138">
        <f t="shared" si="9"/>
        <v>0</v>
      </c>
      <c r="Q47" s="73" t="str">
        <f t="shared" si="10"/>
        <v>B</v>
      </c>
      <c r="R47" s="254">
        <f t="shared" si="12"/>
        <v>10.7</v>
      </c>
      <c r="S47" s="254">
        <f t="shared" si="12"/>
        <v>11.1</v>
      </c>
      <c r="T47" s="254">
        <f t="shared" si="12"/>
        <v>10.6</v>
      </c>
      <c r="U47" s="254">
        <f t="shared" si="12"/>
        <v>11</v>
      </c>
      <c r="V47" s="254">
        <f t="shared" si="12"/>
        <v>12.799999999999999</v>
      </c>
      <c r="W47" s="254">
        <f t="shared" si="12"/>
        <v>22.5</v>
      </c>
      <c r="X47" s="254">
        <f t="shared" si="12"/>
        <v>20.5</v>
      </c>
      <c r="Y47" s="73">
        <f t="shared" si="13"/>
        <v>3</v>
      </c>
    </row>
    <row r="48" spans="1:42">
      <c r="D48" s="1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</v>
      </c>
      <c r="E48" s="2">
        <f>第三季度!G13+第三季度!H13+第三季度!E48-第三季度!B13</f>
        <v>340</v>
      </c>
      <c r="F48" s="138">
        <f t="shared" si="9"/>
        <v>0</v>
      </c>
      <c r="Q48" s="73" t="str">
        <f t="shared" si="10"/>
        <v>B</v>
      </c>
      <c r="R48" s="254">
        <f t="shared" si="12"/>
        <v>9.9</v>
      </c>
      <c r="S48" s="254">
        <f t="shared" si="12"/>
        <v>10.299999999999999</v>
      </c>
      <c r="T48" s="254">
        <f t="shared" si="12"/>
        <v>9.9</v>
      </c>
      <c r="U48" s="254">
        <f t="shared" si="12"/>
        <v>10.199999999999999</v>
      </c>
      <c r="V48" s="254">
        <f t="shared" si="12"/>
        <v>11.9</v>
      </c>
      <c r="W48" s="254">
        <f t="shared" si="12"/>
        <v>21</v>
      </c>
      <c r="X48" s="254">
        <f t="shared" si="12"/>
        <v>19.100000000000001</v>
      </c>
      <c r="Y48" s="73">
        <f t="shared" si="13"/>
        <v>3</v>
      </c>
    </row>
    <row r="49" spans="4:26">
      <c r="D49" s="1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52</v>
      </c>
      <c r="E49" s="2">
        <f>第三季度!G14+第三季度!H14+第三季度!E49-第三季度!B14</f>
        <v>0</v>
      </c>
      <c r="F49" s="138">
        <f t="shared" si="9"/>
        <v>0</v>
      </c>
      <c r="Q49" s="73" t="str">
        <f t="shared" si="10"/>
        <v>Q</v>
      </c>
      <c r="R49" s="254">
        <f t="shared" si="12"/>
        <v>15.799999999999999</v>
      </c>
      <c r="S49" s="254">
        <f t="shared" si="12"/>
        <v>21.1</v>
      </c>
      <c r="T49" s="254">
        <f t="shared" si="12"/>
        <v>15.799999999999999</v>
      </c>
      <c r="U49" s="254">
        <f t="shared" si="12"/>
        <v>20.6</v>
      </c>
      <c r="V49" s="254">
        <f t="shared" si="12"/>
        <v>21.1</v>
      </c>
      <c r="W49" s="254">
        <f>ROUNDUP(W69+W83,1)</f>
        <v>29.400000000000002</v>
      </c>
      <c r="X49" s="254">
        <f t="shared" si="12"/>
        <v>29.400000000000002</v>
      </c>
      <c r="Y49" s="73">
        <f t="shared" si="13"/>
        <v>3</v>
      </c>
    </row>
    <row r="50" spans="4:26"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第三季度!G15+第三季度!H15+第三季度!E50-第三季度!B15</f>
        <v>0</v>
      </c>
      <c r="F50" s="138">
        <f t="shared" si="9"/>
        <v>0</v>
      </c>
      <c r="Q50" s="73" t="str">
        <f t="shared" si="10"/>
        <v>Q</v>
      </c>
      <c r="R50" s="254">
        <f t="shared" si="12"/>
        <v>15.9</v>
      </c>
      <c r="S50" s="254">
        <f t="shared" si="12"/>
        <v>21.200000000000003</v>
      </c>
      <c r="T50" s="254">
        <f t="shared" si="12"/>
        <v>15.9</v>
      </c>
      <c r="U50" s="254">
        <f t="shared" si="12"/>
        <v>20.700000000000003</v>
      </c>
      <c r="V50" s="254">
        <f t="shared" si="12"/>
        <v>21.200000000000003</v>
      </c>
      <c r="W50" s="254">
        <f t="shared" si="12"/>
        <v>29.6</v>
      </c>
      <c r="X50" s="254">
        <f t="shared" si="12"/>
        <v>29.6</v>
      </c>
      <c r="Y50" s="73">
        <f t="shared" si="13"/>
        <v>4</v>
      </c>
    </row>
    <row r="51" spans="4:26"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85</v>
      </c>
      <c r="E51" s="2">
        <f>第三季度!G16+第三季度!H16+第三季度!E51-第三季度!B16</f>
        <v>0</v>
      </c>
      <c r="F51" s="138">
        <f t="shared" si="9"/>
        <v>0</v>
      </c>
      <c r="Q51" s="73" t="str">
        <f t="shared" si="10"/>
        <v>Q</v>
      </c>
      <c r="R51" s="254">
        <f t="shared" si="12"/>
        <v>20.100000000000001</v>
      </c>
      <c r="S51" s="254">
        <f t="shared" si="12"/>
        <v>26.700000000000003</v>
      </c>
      <c r="T51" s="254">
        <f t="shared" si="12"/>
        <v>20.100000000000001</v>
      </c>
      <c r="U51" s="254">
        <f t="shared" si="12"/>
        <v>26.1</v>
      </c>
      <c r="V51" s="254">
        <f t="shared" si="12"/>
        <v>26.700000000000003</v>
      </c>
      <c r="W51" s="254">
        <f t="shared" si="12"/>
        <v>38.4</v>
      </c>
      <c r="X51" s="254">
        <f t="shared" si="12"/>
        <v>38.4</v>
      </c>
      <c r="Y51" s="73">
        <f t="shared" si="13"/>
        <v>2</v>
      </c>
    </row>
    <row r="52" spans="4:26">
      <c r="Q52" s="73" t="str">
        <f t="shared" si="10"/>
        <v>L</v>
      </c>
      <c r="R52" s="254">
        <f t="shared" si="12"/>
        <v>22.3</v>
      </c>
      <c r="S52" s="254">
        <f t="shared" si="12"/>
        <v>25.5</v>
      </c>
      <c r="T52" s="254">
        <f t="shared" si="12"/>
        <v>22.3</v>
      </c>
      <c r="U52" s="254">
        <f t="shared" si="12"/>
        <v>25.5</v>
      </c>
      <c r="V52" s="254">
        <f t="shared" si="12"/>
        <v>28.700000000000003</v>
      </c>
      <c r="W52" s="254">
        <f t="shared" si="12"/>
        <v>44.800000000000004</v>
      </c>
      <c r="X52" s="254">
        <f t="shared" si="12"/>
        <v>49.2</v>
      </c>
      <c r="Y52" s="73">
        <f t="shared" si="13"/>
        <v>3</v>
      </c>
    </row>
    <row r="53" spans="4:26">
      <c r="Q53" s="73">
        <f t="shared" si="10"/>
        <v>0</v>
      </c>
      <c r="R53" s="254">
        <f t="shared" si="12"/>
        <v>0</v>
      </c>
      <c r="S53" s="254">
        <f t="shared" si="12"/>
        <v>0.1</v>
      </c>
      <c r="T53" s="254">
        <f t="shared" si="12"/>
        <v>0</v>
      </c>
      <c r="U53" s="254">
        <f t="shared" si="12"/>
        <v>0.1</v>
      </c>
      <c r="V53" s="254">
        <f t="shared" si="12"/>
        <v>0</v>
      </c>
      <c r="W53" s="254">
        <f t="shared" si="12"/>
        <v>0</v>
      </c>
      <c r="X53" s="254">
        <f t="shared" si="12"/>
        <v>0.1</v>
      </c>
      <c r="Y53" s="73">
        <f t="shared" si="13"/>
        <v>0</v>
      </c>
    </row>
    <row r="54" spans="4:26">
      <c r="Q54" s="73">
        <f t="shared" si="10"/>
        <v>0</v>
      </c>
      <c r="R54" s="254">
        <f t="shared" si="12"/>
        <v>0</v>
      </c>
      <c r="S54" s="254">
        <f t="shared" si="12"/>
        <v>0.1</v>
      </c>
      <c r="T54" s="254">
        <f t="shared" si="12"/>
        <v>0</v>
      </c>
      <c r="U54" s="254">
        <f t="shared" si="12"/>
        <v>0.1</v>
      </c>
      <c r="V54" s="254">
        <f t="shared" si="12"/>
        <v>0</v>
      </c>
      <c r="W54" s="254">
        <f t="shared" si="12"/>
        <v>0</v>
      </c>
      <c r="X54" s="254">
        <f t="shared" si="12"/>
        <v>0.1</v>
      </c>
      <c r="Y54" s="73">
        <f t="shared" si="13"/>
        <v>0</v>
      </c>
    </row>
    <row r="55" spans="4:26">
      <c r="Q55" s="73">
        <f t="shared" si="10"/>
        <v>0</v>
      </c>
      <c r="R55" s="254">
        <f t="shared" si="12"/>
        <v>0</v>
      </c>
      <c r="S55" s="254">
        <f t="shared" si="12"/>
        <v>0.1</v>
      </c>
      <c r="T55" s="254">
        <f t="shared" si="12"/>
        <v>0</v>
      </c>
      <c r="U55" s="254">
        <f t="shared" si="12"/>
        <v>0.1</v>
      </c>
      <c r="V55" s="254">
        <f t="shared" si="12"/>
        <v>0</v>
      </c>
      <c r="W55" s="254">
        <f t="shared" si="12"/>
        <v>0</v>
      </c>
      <c r="X55" s="254">
        <f t="shared" si="12"/>
        <v>0.1</v>
      </c>
      <c r="Y55" s="73">
        <f t="shared" si="13"/>
        <v>0</v>
      </c>
    </row>
    <row r="56" spans="4:26">
      <c r="Q56" s="73">
        <f t="shared" si="10"/>
        <v>0</v>
      </c>
      <c r="R56" s="254">
        <f t="shared" si="12"/>
        <v>0</v>
      </c>
      <c r="S56" s="254">
        <f t="shared" si="12"/>
        <v>0.1</v>
      </c>
      <c r="T56" s="254">
        <f t="shared" si="12"/>
        <v>0</v>
      </c>
      <c r="U56" s="254">
        <f t="shared" si="12"/>
        <v>0.1</v>
      </c>
      <c r="V56" s="254">
        <f t="shared" si="12"/>
        <v>0</v>
      </c>
      <c r="W56" s="254">
        <f t="shared" si="12"/>
        <v>0</v>
      </c>
      <c r="X56" s="254">
        <f t="shared" si="12"/>
        <v>0.1</v>
      </c>
      <c r="Y56" s="73">
        <f t="shared" si="13"/>
        <v>0</v>
      </c>
    </row>
    <row r="64" spans="4:26">
      <c r="Q64" s="73" t="s">
        <v>327</v>
      </c>
      <c r="R64" s="73" t="s">
        <v>328</v>
      </c>
      <c r="S64" s="73" t="s">
        <v>218</v>
      </c>
      <c r="T64" s="73" t="s">
        <v>219</v>
      </c>
      <c r="U64" s="73" t="s">
        <v>220</v>
      </c>
      <c r="V64" s="73" t="s">
        <v>221</v>
      </c>
      <c r="W64" s="73" t="s">
        <v>222</v>
      </c>
      <c r="X64" s="73" t="s">
        <v>223</v>
      </c>
      <c r="Y64" s="353" t="s">
        <v>329</v>
      </c>
      <c r="Z64" s="354"/>
    </row>
    <row r="65" spans="17:26">
      <c r="Q65" s="73" t="str">
        <f t="shared" ref="Q65:Q76" si="14">J3</f>
        <v>S</v>
      </c>
      <c r="R65" s="1">
        <f>IF(Q65="S",Q29*$R$18/100,IF(Q65="B",Q29*$R$19/100,IF(Q65="Q",Q29*$R$20/100,Q29*$R$21/100)))</f>
        <v>19.009856586364414</v>
      </c>
      <c r="S65" s="1">
        <f t="shared" ref="S65:S76" si="15">IF(Q65="S",Q29*$S$18/100,IF(Q65="B",Q29*$S$19/100,IF(Q65="R",Q29*$S$20/100,Q29*$S$21/100)))</f>
        <v>15.207885269091532</v>
      </c>
      <c r="T65" s="1">
        <f t="shared" ref="T65:T76" si="16">IF(Q65="S",J29*$T$18/100,IF(Q65="B",J29*$T$19/100,IF(Q65="Q",J29*$T$20/100,J29*$T$21/100)))</f>
        <v>11.460400818897273</v>
      </c>
      <c r="U65" s="1">
        <f t="shared" ref="U65:U76" si="17">IF(Q65="S",J29*$U$18/100,IF(Q65="B",J29*$U$19/100,IF(Q65="Q",J29*$U$20/100,J29*$U$21/100)))</f>
        <v>14.325501023621591</v>
      </c>
      <c r="V65" s="1">
        <f t="shared" ref="V65:V76" si="18">IF(Q65="S",J29*$V$18/100,IF(Q65="B",J29*$V$19/100,IF(Q65="Q",J29*$V$20/100,J29*$V$21/100)))</f>
        <v>19.482681392125365</v>
      </c>
      <c r="W65" s="1">
        <f t="shared" ref="W65:W76" si="19">IF(Q65="S",S29*$W$18/100,IF(Q65="B",S29*$W$19/100,IF(Q65="Q",S29*$W$20/100,S29*$W$21/100)))</f>
        <v>28.869055747446961</v>
      </c>
      <c r="X65" s="1">
        <f t="shared" ref="X65:X76" si="20">IF(Q65="S",S29*$X$18/100,IF(Q65="B",S29*$X$19/100,IF(Q65="Q",S29*$X$20/100,S29*$X$21/100)))</f>
        <v>28.869055747446961</v>
      </c>
      <c r="Y65" s="355">
        <f>W3-SUM(R65:X65)</f>
        <v>-35.224436584994095</v>
      </c>
      <c r="Z65" s="355"/>
    </row>
    <row r="66" spans="17:26">
      <c r="Q66" s="73" t="str">
        <f t="shared" si="14"/>
        <v>B</v>
      </c>
      <c r="R66" s="1">
        <f t="shared" ref="R66:R76" si="21">IF(Q66="S",Q30*$R$18/100,IF(Q66="B",Q30*$R$19/100,IF(Q66="Q",Q30*$R$20/100,Q30*$R$21/100)))</f>
        <v>27.072217673344021</v>
      </c>
      <c r="S66" s="1">
        <f t="shared" si="15"/>
        <v>28.200226743066693</v>
      </c>
      <c r="T66" s="1">
        <f t="shared" si="16"/>
        <v>26.031405306576083</v>
      </c>
      <c r="U66" s="1">
        <f t="shared" si="17"/>
        <v>26.929039972320087</v>
      </c>
      <c r="V66" s="1">
        <f t="shared" si="18"/>
        <v>31.4172133010401</v>
      </c>
      <c r="W66" s="1">
        <f t="shared" si="19"/>
        <v>55.061858648865567</v>
      </c>
      <c r="X66" s="1">
        <f t="shared" si="20"/>
        <v>50.056235135332336</v>
      </c>
      <c r="Y66" s="355">
        <f t="shared" ref="Y66:Y76" si="22">W4-SUM(R66:X66)</f>
        <v>-97.768196780544912</v>
      </c>
      <c r="Z66" s="355"/>
    </row>
    <row r="67" spans="17:26">
      <c r="Q67" s="73" t="str">
        <f t="shared" si="14"/>
        <v>B</v>
      </c>
      <c r="R67" s="1">
        <f t="shared" si="21"/>
        <v>8.9982085285016815</v>
      </c>
      <c r="S67" s="1">
        <f t="shared" si="15"/>
        <v>9.3731338838559175</v>
      </c>
      <c r="T67" s="1">
        <f t="shared" si="16"/>
        <v>8.9733640772432679</v>
      </c>
      <c r="U67" s="1">
        <f t="shared" si="17"/>
        <v>9.2827904247344133</v>
      </c>
      <c r="V67" s="1">
        <f t="shared" si="18"/>
        <v>10.829922162190149</v>
      </c>
      <c r="W67" s="1">
        <f t="shared" si="19"/>
        <v>19.045365523106785</v>
      </c>
      <c r="X67" s="1">
        <f t="shared" si="20"/>
        <v>17.313968657369806</v>
      </c>
      <c r="Y67" s="355">
        <f t="shared" si="22"/>
        <v>15.183246742997966</v>
      </c>
      <c r="Z67" s="355"/>
    </row>
    <row r="68" spans="17:26">
      <c r="Q68" s="73" t="str">
        <f t="shared" si="14"/>
        <v>B</v>
      </c>
      <c r="R68" s="1">
        <f t="shared" si="21"/>
        <v>8.1182963399942256</v>
      </c>
      <c r="S68" s="1">
        <f t="shared" si="15"/>
        <v>8.4565586874939846</v>
      </c>
      <c r="T68" s="1">
        <f t="shared" si="16"/>
        <v>8.0958813651599044</v>
      </c>
      <c r="U68" s="1">
        <f t="shared" si="17"/>
        <v>8.3750496880964516</v>
      </c>
      <c r="V68" s="1">
        <f t="shared" si="18"/>
        <v>9.7708913027791944</v>
      </c>
      <c r="W68" s="1">
        <f t="shared" si="19"/>
        <v>17.182967112881034</v>
      </c>
      <c r="X68" s="1">
        <f t="shared" si="20"/>
        <v>15.620879193528213</v>
      </c>
      <c r="Y68" s="355">
        <f t="shared" si="22"/>
        <v>16.379476310066991</v>
      </c>
      <c r="Z68" s="355"/>
    </row>
    <row r="69" spans="17:26">
      <c r="Q69" s="73" t="str">
        <f t="shared" si="14"/>
        <v>Q</v>
      </c>
      <c r="R69" s="1">
        <f t="shared" si="21"/>
        <v>13.883553946053945</v>
      </c>
      <c r="S69" s="1">
        <f t="shared" si="15"/>
        <v>18.511405261405262</v>
      </c>
      <c r="T69" s="1">
        <f t="shared" si="16"/>
        <v>13.883553946053945</v>
      </c>
      <c r="U69" s="1">
        <f t="shared" si="17"/>
        <v>18.04862012987013</v>
      </c>
      <c r="V69" s="1">
        <f t="shared" si="18"/>
        <v>18.511405261405262</v>
      </c>
      <c r="W69" s="1">
        <f t="shared" si="19"/>
        <v>25.835687811817071</v>
      </c>
      <c r="X69" s="1">
        <f t="shared" si="20"/>
        <v>25.835687811817071</v>
      </c>
      <c r="Y69" s="355">
        <f t="shared" si="22"/>
        <v>18.490085831577318</v>
      </c>
      <c r="Z69" s="355"/>
    </row>
    <row r="70" spans="17:26">
      <c r="Q70" s="73" t="str">
        <f t="shared" si="14"/>
        <v>Q</v>
      </c>
      <c r="R70" s="1">
        <f t="shared" si="21"/>
        <v>14.037400099900099</v>
      </c>
      <c r="S70" s="1">
        <f t="shared" si="15"/>
        <v>18.716533466533466</v>
      </c>
      <c r="T70" s="1">
        <f t="shared" si="16"/>
        <v>14.037400099900099</v>
      </c>
      <c r="U70" s="1">
        <f t="shared" si="17"/>
        <v>18.24862012987013</v>
      </c>
      <c r="V70" s="1">
        <f t="shared" si="18"/>
        <v>18.716533466533466</v>
      </c>
      <c r="W70" s="1">
        <f t="shared" si="19"/>
        <v>26.121977706844106</v>
      </c>
      <c r="X70" s="1">
        <f t="shared" si="20"/>
        <v>26.121977706844106</v>
      </c>
      <c r="Y70" s="355">
        <f t="shared" si="22"/>
        <v>17.99955732357455</v>
      </c>
      <c r="Z70" s="355"/>
    </row>
    <row r="71" spans="17:26">
      <c r="Q71" s="73" t="str">
        <f t="shared" si="14"/>
        <v>Q</v>
      </c>
      <c r="R71" s="1">
        <f t="shared" si="21"/>
        <v>30.772805875583437</v>
      </c>
      <c r="S71" s="1">
        <f t="shared" si="15"/>
        <v>41.030407834111244</v>
      </c>
      <c r="T71" s="1">
        <f t="shared" si="16"/>
        <v>30.772805875583437</v>
      </c>
      <c r="U71" s="1">
        <f t="shared" si="17"/>
        <v>40.004647638258469</v>
      </c>
      <c r="V71" s="1">
        <f t="shared" si="18"/>
        <v>41.030407834111244</v>
      </c>
      <c r="W71" s="1">
        <f t="shared" si="19"/>
        <v>58.93332735838716</v>
      </c>
      <c r="X71" s="1">
        <f t="shared" si="20"/>
        <v>58.93332735838716</v>
      </c>
      <c r="Y71" s="355">
        <f t="shared" si="22"/>
        <v>-105.47772977442213</v>
      </c>
      <c r="Z71" s="355"/>
    </row>
    <row r="72" spans="17:26">
      <c r="Q72" s="73" t="str">
        <f t="shared" si="14"/>
        <v>L</v>
      </c>
      <c r="R72" s="1">
        <f t="shared" si="21"/>
        <v>25.313273285469595</v>
      </c>
      <c r="S72" s="1">
        <f t="shared" si="15"/>
        <v>28.92945518339382</v>
      </c>
      <c r="T72" s="1">
        <f t="shared" si="16"/>
        <v>25.313273285469595</v>
      </c>
      <c r="U72" s="1">
        <f t="shared" si="17"/>
        <v>28.92945518339382</v>
      </c>
      <c r="V72" s="1">
        <f t="shared" si="18"/>
        <v>32.545637081318048</v>
      </c>
      <c r="W72" s="1">
        <f t="shared" si="19"/>
        <v>50.822737765260143</v>
      </c>
      <c r="X72" s="1">
        <f t="shared" si="20"/>
        <v>55.905011541786159</v>
      </c>
      <c r="Y72" s="355">
        <f t="shared" si="22"/>
        <v>-29.758843326091181</v>
      </c>
      <c r="Z72" s="355"/>
    </row>
    <row r="73" spans="17:26">
      <c r="Q73" s="73">
        <f t="shared" si="14"/>
        <v>0</v>
      </c>
      <c r="R73" s="1">
        <f t="shared" si="21"/>
        <v>0.86065573770491799</v>
      </c>
      <c r="S73" s="1">
        <f t="shared" si="15"/>
        <v>0.98360655737704916</v>
      </c>
      <c r="T73" s="1">
        <f t="shared" si="16"/>
        <v>0.86065573770491799</v>
      </c>
      <c r="U73" s="1">
        <f t="shared" si="17"/>
        <v>0.98360655737704916</v>
      </c>
      <c r="V73" s="1">
        <f t="shared" si="18"/>
        <v>1.1065573770491803</v>
      </c>
      <c r="W73" s="1">
        <f t="shared" si="19"/>
        <v>1.7349218702368099</v>
      </c>
      <c r="X73" s="1">
        <f t="shared" si="20"/>
        <v>1.9084140572604908</v>
      </c>
      <c r="Y73" s="355">
        <f t="shared" si="22"/>
        <v>-8.4384178947104154</v>
      </c>
      <c r="Z73" s="355"/>
    </row>
    <row r="74" spans="17:26">
      <c r="Q74" s="73">
        <f t="shared" si="14"/>
        <v>0</v>
      </c>
      <c r="R74" s="1">
        <f t="shared" si="21"/>
        <v>0.86065573770491799</v>
      </c>
      <c r="S74" s="1">
        <f t="shared" si="15"/>
        <v>0.98360655737704916</v>
      </c>
      <c r="T74" s="1">
        <f t="shared" si="16"/>
        <v>0.86065573770491799</v>
      </c>
      <c r="U74" s="1">
        <f t="shared" si="17"/>
        <v>0.98360655737704916</v>
      </c>
      <c r="V74" s="1">
        <f t="shared" si="18"/>
        <v>1.1065573770491803</v>
      </c>
      <c r="W74" s="1">
        <f t="shared" si="19"/>
        <v>1.7349218702368099</v>
      </c>
      <c r="X74" s="1">
        <f t="shared" si="20"/>
        <v>1.9084140572604908</v>
      </c>
      <c r="Y74" s="355">
        <f t="shared" si="22"/>
        <v>-8.4384178947104154</v>
      </c>
      <c r="Z74" s="355"/>
    </row>
    <row r="75" spans="17:26">
      <c r="Q75" s="73">
        <f t="shared" si="14"/>
        <v>0</v>
      </c>
      <c r="R75" s="1">
        <f t="shared" si="21"/>
        <v>0.86065573770491799</v>
      </c>
      <c r="S75" s="1">
        <f t="shared" si="15"/>
        <v>0.98360655737704916</v>
      </c>
      <c r="T75" s="1">
        <f t="shared" si="16"/>
        <v>0.86065573770491799</v>
      </c>
      <c r="U75" s="1">
        <f t="shared" si="17"/>
        <v>0.98360655737704916</v>
      </c>
      <c r="V75" s="1">
        <f t="shared" si="18"/>
        <v>1.1065573770491803</v>
      </c>
      <c r="W75" s="1">
        <f t="shared" si="19"/>
        <v>1.7349218702368099</v>
      </c>
      <c r="X75" s="1">
        <f t="shared" si="20"/>
        <v>1.9084140572604908</v>
      </c>
      <c r="Y75" s="355">
        <f t="shared" si="22"/>
        <v>-8.4384178947104154</v>
      </c>
      <c r="Z75" s="355"/>
    </row>
    <row r="76" spans="17:26">
      <c r="Q76" s="73">
        <f t="shared" si="14"/>
        <v>0</v>
      </c>
      <c r="R76" s="1">
        <f t="shared" si="21"/>
        <v>0.86065573770491799</v>
      </c>
      <c r="S76" s="1">
        <f t="shared" si="15"/>
        <v>0.98360655737704916</v>
      </c>
      <c r="T76" s="1">
        <f t="shared" si="16"/>
        <v>0.86065573770491799</v>
      </c>
      <c r="U76" s="1">
        <f t="shared" si="17"/>
        <v>0.98360655737704916</v>
      </c>
      <c r="V76" s="1">
        <f t="shared" si="18"/>
        <v>1.1065573770491803</v>
      </c>
      <c r="W76" s="1">
        <f t="shared" si="19"/>
        <v>1.7349218702368099</v>
      </c>
      <c r="X76" s="1">
        <f t="shared" si="20"/>
        <v>1.9084140572604908</v>
      </c>
      <c r="Y76" s="355">
        <f t="shared" si="22"/>
        <v>-8.4384178947104154</v>
      </c>
      <c r="Z76" s="355"/>
    </row>
    <row r="77" spans="17:26">
      <c r="Y77" s="1"/>
    </row>
    <row r="78" spans="17:26">
      <c r="Y78" s="1"/>
    </row>
    <row r="79" spans="17:26">
      <c r="Q79" s="1"/>
      <c r="R79" s="1">
        <f t="shared" ref="R79:R86" si="23">Y65*R65/SUM(R65:X65)</f>
        <v>-4.8796810865496356</v>
      </c>
      <c r="S79" s="1">
        <f t="shared" ref="S79:S86" si="24">Y65*S65/SUM(R65:X65)</f>
        <v>-3.9037448692397092</v>
      </c>
      <c r="T79" s="1">
        <f t="shared" ref="T79:T86" si="25">Y65*T65/SUM(R65:X65)</f>
        <v>-2.9417950033544225</v>
      </c>
      <c r="U79" s="1">
        <f t="shared" ref="U79:U86" si="26">Y65*U65/SUM(R65:X65)</f>
        <v>-3.6772437541930274</v>
      </c>
      <c r="V79" s="1">
        <f t="shared" ref="V79:V86" si="27">Y65*V65/SUM(R65:X65)</f>
        <v>-5.0010515057025176</v>
      </c>
      <c r="W79" s="1">
        <f t="shared" ref="W79:W86" si="28">Y65*W65/SUM(R65:X65)</f>
        <v>-7.4104601829773911</v>
      </c>
      <c r="X79" s="1">
        <f t="shared" ref="X79:X86" si="29">Y65*X65/SUM(R65:X65)</f>
        <v>-7.4104601829773911</v>
      </c>
      <c r="Y79" s="1"/>
    </row>
    <row r="80" spans="17:26">
      <c r="Q80" s="1"/>
      <c r="R80" s="1">
        <f t="shared" si="23"/>
        <v>-10.813504121805181</v>
      </c>
      <c r="S80" s="1">
        <f t="shared" si="24"/>
        <v>-11.264066793547066</v>
      </c>
      <c r="T80" s="1">
        <f t="shared" si="25"/>
        <v>-10.397770584424803</v>
      </c>
      <c r="U80" s="1">
        <f t="shared" si="26"/>
        <v>-10.756314397680832</v>
      </c>
      <c r="V80" s="1">
        <f t="shared" si="27"/>
        <v>-12.549033463960969</v>
      </c>
      <c r="W80" s="1">
        <f t="shared" si="28"/>
        <v>-21.993456267161267</v>
      </c>
      <c r="X80" s="1">
        <f t="shared" si="29"/>
        <v>-19.99405115196479</v>
      </c>
      <c r="Y80" s="1"/>
    </row>
    <row r="81" spans="17:25">
      <c r="Q81" s="1"/>
      <c r="R81" s="1">
        <f t="shared" si="23"/>
        <v>1.6300085009768177</v>
      </c>
      <c r="S81" s="1">
        <f t="shared" si="24"/>
        <v>1.6979255218508513</v>
      </c>
      <c r="T81" s="1">
        <f t="shared" si="25"/>
        <v>1.6255079754972128</v>
      </c>
      <c r="U81" s="1">
        <f t="shared" si="26"/>
        <v>1.6815599746522889</v>
      </c>
      <c r="V81" s="1">
        <f t="shared" si="27"/>
        <v>1.9618199704276704</v>
      </c>
      <c r="W81" s="1">
        <f t="shared" si="28"/>
        <v>3.4500320378821114</v>
      </c>
      <c r="X81" s="1">
        <f t="shared" si="29"/>
        <v>3.1363927617110106</v>
      </c>
      <c r="Y81" s="1"/>
    </row>
    <row r="82" spans="17:25">
      <c r="R82" s="1">
        <f t="shared" si="23"/>
        <v>1.7584305964908451</v>
      </c>
      <c r="S82" s="1">
        <f t="shared" si="24"/>
        <v>1.8316985380112969</v>
      </c>
      <c r="T82" s="1">
        <f t="shared" si="25"/>
        <v>1.753575491932261</v>
      </c>
      <c r="U82" s="1">
        <f t="shared" si="26"/>
        <v>1.8140436123437178</v>
      </c>
      <c r="V82" s="1">
        <f t="shared" si="27"/>
        <v>2.1163842144010045</v>
      </c>
      <c r="W82" s="1">
        <f t="shared" si="28"/>
        <v>3.7218467821793579</v>
      </c>
      <c r="X82" s="1">
        <f t="shared" si="29"/>
        <v>3.3834970747085076</v>
      </c>
    </row>
    <row r="83" spans="17:25">
      <c r="R83" s="1">
        <f t="shared" si="23"/>
        <v>1.9084697637115569</v>
      </c>
      <c r="S83" s="1">
        <f t="shared" si="24"/>
        <v>2.5446263516154093</v>
      </c>
      <c r="T83" s="1">
        <f t="shared" si="25"/>
        <v>1.9084697637115569</v>
      </c>
      <c r="U83" s="1">
        <f t="shared" si="26"/>
        <v>2.481010692825024</v>
      </c>
      <c r="V83" s="1">
        <f t="shared" si="27"/>
        <v>2.5446263516154093</v>
      </c>
      <c r="W83" s="1">
        <f t="shared" si="28"/>
        <v>3.551441454049181</v>
      </c>
      <c r="X83" s="1">
        <f t="shared" si="29"/>
        <v>3.551441454049181</v>
      </c>
    </row>
    <row r="84" spans="17:25">
      <c r="R84" s="1">
        <f t="shared" si="23"/>
        <v>1.8578394511057035</v>
      </c>
      <c r="S84" s="1">
        <f t="shared" si="24"/>
        <v>2.477119268140938</v>
      </c>
      <c r="T84" s="1">
        <f t="shared" si="25"/>
        <v>1.8578394511057035</v>
      </c>
      <c r="U84" s="1">
        <f t="shared" si="26"/>
        <v>2.4151912864374148</v>
      </c>
      <c r="V84" s="1">
        <f t="shared" si="27"/>
        <v>2.477119268140938</v>
      </c>
      <c r="W84" s="1">
        <f t="shared" si="28"/>
        <v>3.4572242993219278</v>
      </c>
      <c r="X84" s="1">
        <f t="shared" si="29"/>
        <v>3.4572242993219278</v>
      </c>
    </row>
    <row r="85" spans="17:25">
      <c r="R85" s="1">
        <f t="shared" si="23"/>
        <v>-10.7664526496674</v>
      </c>
      <c r="S85" s="1">
        <f t="shared" si="24"/>
        <v>-14.355270199556529</v>
      </c>
      <c r="T85" s="1">
        <f t="shared" si="25"/>
        <v>-10.7664526496674</v>
      </c>
      <c r="U85" s="1">
        <f t="shared" si="26"/>
        <v>-13.996388444567618</v>
      </c>
      <c r="V85" s="1">
        <f t="shared" si="27"/>
        <v>-14.355270199556529</v>
      </c>
      <c r="W85" s="1">
        <f t="shared" si="28"/>
        <v>-20.618947815703329</v>
      </c>
      <c r="X85" s="1">
        <f t="shared" si="29"/>
        <v>-20.618947815703329</v>
      </c>
    </row>
    <row r="86" spans="17:25">
      <c r="R86" s="1">
        <f t="shared" si="23"/>
        <v>-3.0404312663881843</v>
      </c>
      <c r="S86" s="1">
        <f t="shared" si="24"/>
        <v>-3.4747785901579245</v>
      </c>
      <c r="T86" s="1">
        <f t="shared" si="25"/>
        <v>-3.0404312663881843</v>
      </c>
      <c r="U86" s="1">
        <f t="shared" si="26"/>
        <v>-3.4747785901579245</v>
      </c>
      <c r="V86" s="1">
        <f t="shared" si="27"/>
        <v>-3.9091259139276646</v>
      </c>
      <c r="W86" s="1">
        <f t="shared" si="28"/>
        <v>-6.1044274757482384</v>
      </c>
      <c r="X86" s="1">
        <f t="shared" si="29"/>
        <v>-6.7148702233230626</v>
      </c>
    </row>
    <row r="87" spans="17:25">
      <c r="R87" s="1">
        <f>Y73*R73/SUM(R73:X73)</f>
        <v>-0.86065573770491799</v>
      </c>
      <c r="S87" s="1">
        <f>Y73*S73/SUM(R73:X73)</f>
        <v>-0.98360655737704905</v>
      </c>
      <c r="T87" s="1">
        <f>Y73*T73/SUM(R73:X73)</f>
        <v>-0.86065573770491799</v>
      </c>
      <c r="U87" s="1">
        <f>Y73*U73/SUM(R73:X73)</f>
        <v>-0.98360655737704905</v>
      </c>
      <c r="V87" s="1">
        <f>Y73*V73/SUM(R73:X73)</f>
        <v>-1.1065573770491803</v>
      </c>
      <c r="W87" s="1">
        <f>Y73*W73/SUM(R73:X73)</f>
        <v>-1.7349218702368099</v>
      </c>
      <c r="X87" s="1">
        <f>Y73*X73/SUM(R73:X73)</f>
        <v>-1.9084140572604906</v>
      </c>
    </row>
    <row r="88" spans="17:25">
      <c r="R88" s="1">
        <f>Y74*R74/SUM(R74:X74)</f>
        <v>-0.86065573770491799</v>
      </c>
      <c r="S88" s="1">
        <f>Y74*S74/SUM(R74:X74)</f>
        <v>-0.98360655737704905</v>
      </c>
      <c r="T88" s="1">
        <f>Y74*T74/SUM(R74:X74)</f>
        <v>-0.86065573770491799</v>
      </c>
      <c r="U88" s="1">
        <f>Y74*U74/SUM(R74:X74)</f>
        <v>-0.98360655737704905</v>
      </c>
      <c r="V88" s="1">
        <f>Y74*V74/SUM(R74:X74)</f>
        <v>-1.1065573770491803</v>
      </c>
      <c r="W88" s="1">
        <f>Y74*W74/SUM(R74:X74)</f>
        <v>-1.7349218702368099</v>
      </c>
      <c r="X88" s="1">
        <f>Y74*X74/SUM(R74:X74)</f>
        <v>-1.9084140572604906</v>
      </c>
    </row>
    <row r="89" spans="17:25">
      <c r="R89" s="1">
        <f>Y75*R75/SUM(R75:X75)</f>
        <v>-0.86065573770491799</v>
      </c>
      <c r="S89" s="1">
        <f>Y75*S75/SUM(R75:X75)</f>
        <v>-0.98360655737704905</v>
      </c>
      <c r="T89" s="1">
        <f>Y75*T75/SUM(R75:X75)</f>
        <v>-0.86065573770491799</v>
      </c>
      <c r="U89" s="1">
        <f>Y75*U75/SUM(R75:X75)</f>
        <v>-0.98360655737704905</v>
      </c>
      <c r="V89" s="1">
        <f>Y75*V75/SUM(R75:X75)</f>
        <v>-1.1065573770491803</v>
      </c>
      <c r="W89" s="1">
        <f>Y75*W75/SUM(R75:X75)</f>
        <v>-1.7349218702368099</v>
      </c>
      <c r="X89" s="1">
        <f>Y75*X75/SUM(R75:X75)</f>
        <v>-1.9084140572604906</v>
      </c>
    </row>
    <row r="90" spans="17:25">
      <c r="R90" s="1">
        <f>Y76*R76/SUM(R76:X76)</f>
        <v>-0.86065573770491799</v>
      </c>
      <c r="S90" s="1">
        <f>Y76*S76/SUM(R76:X76)</f>
        <v>-0.98360655737704905</v>
      </c>
      <c r="T90" s="1">
        <f>Y76*T76/SUM(R76:X76)</f>
        <v>-0.86065573770491799</v>
      </c>
      <c r="U90" s="1">
        <f>Y76*U76/SUM(R76:X76)</f>
        <v>-0.98360655737704905</v>
      </c>
      <c r="V90" s="1">
        <f>Y76*V76/SUM(R76:X76)</f>
        <v>-1.1065573770491803</v>
      </c>
      <c r="W90" s="1">
        <f>Y76*W76/SUM(R76:X76)</f>
        <v>-1.7349218702368099</v>
      </c>
      <c r="X90" s="1">
        <f>Y76*X76/SUM(R76:X76)</f>
        <v>-1.9084140572604906</v>
      </c>
    </row>
  </sheetData>
  <mergeCells count="90">
    <mergeCell ref="AO4:AP4"/>
    <mergeCell ref="AO5:AP6"/>
    <mergeCell ref="AL28:AL29"/>
    <mergeCell ref="AL30:AL31"/>
    <mergeCell ref="AD30:AF30"/>
    <mergeCell ref="AD28:AF28"/>
    <mergeCell ref="AD29:AF29"/>
    <mergeCell ref="AN28:AN29"/>
    <mergeCell ref="AN30:AN31"/>
    <mergeCell ref="AN32:AN33"/>
    <mergeCell ref="AJ27:AL27"/>
    <mergeCell ref="AJ28:AJ35"/>
    <mergeCell ref="AK28:AK35"/>
    <mergeCell ref="AL34:AL35"/>
    <mergeCell ref="AN34:AN35"/>
    <mergeCell ref="AM28:AM29"/>
    <mergeCell ref="AM30:AM31"/>
    <mergeCell ref="AM32:AM33"/>
    <mergeCell ref="AL2:AM3"/>
    <mergeCell ref="AD25:AE25"/>
    <mergeCell ref="AD27:AF27"/>
    <mergeCell ref="AD26:AE26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L32:AL33"/>
    <mergeCell ref="AD31:AF31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18:AK19"/>
    <mergeCell ref="AJ20:AK23"/>
    <mergeCell ref="AJ24:AK26"/>
    <mergeCell ref="AM34:AM35"/>
    <mergeCell ref="AJ36:AM36"/>
    <mergeCell ref="AI2:AJ3"/>
    <mergeCell ref="AK2:AK3"/>
    <mergeCell ref="Y73:Z73"/>
    <mergeCell ref="Y74:Z74"/>
    <mergeCell ref="Y75:Z75"/>
    <mergeCell ref="Y76:Z76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AD24:AE24"/>
    <mergeCell ref="Y68:Z68"/>
    <mergeCell ref="Y69:Z69"/>
    <mergeCell ref="Y70:Z70"/>
    <mergeCell ref="Y71:Z71"/>
    <mergeCell ref="Y72:Z72"/>
    <mergeCell ref="H1:H2"/>
    <mergeCell ref="Y64:Z64"/>
    <mergeCell ref="Y65:Z65"/>
    <mergeCell ref="Y66:Z66"/>
    <mergeCell ref="Y67:Z67"/>
    <mergeCell ref="S1:V1"/>
    <mergeCell ref="B1:B2"/>
    <mergeCell ref="C1:C2"/>
    <mergeCell ref="D1:D2"/>
    <mergeCell ref="E1:E2"/>
    <mergeCell ref="G1:G2"/>
    <mergeCell ref="D36:D37"/>
    <mergeCell ref="E36:E37"/>
    <mergeCell ref="A18:B18"/>
    <mergeCell ref="Q22:Q25"/>
    <mergeCell ref="J17:K17"/>
    <mergeCell ref="J18:K20"/>
    <mergeCell ref="J21:K21"/>
    <mergeCell ref="J22:K24"/>
    <mergeCell ref="F36:F37"/>
  </mergeCells>
  <phoneticPr fontId="3" type="noConversion"/>
  <dataValidations count="4">
    <dataValidation type="list" allowBlank="1" showInputMessage="1" showErrorMessage="1" sqref="AE8:AE10" xr:uid="{A038EEB4-02BD-427C-8894-21C9E7E0B3EA}">
      <formula1>"租用小厂房,租用中厂房,租用大厂房"</formula1>
    </dataValidation>
    <dataValidation type="list" allowBlank="1" showInputMessage="1" showErrorMessage="1" sqref="AF17:AF24" xr:uid="{6526009E-D4BA-4A24-8444-A7C96ABD1462}">
      <formula1>"1,0"</formula1>
    </dataValidation>
    <dataValidation type="list" allowBlank="1" showInputMessage="1" showErrorMessage="1" sqref="AE5:AE7" xr:uid="{43E4A68A-30B8-4DD1-BADA-4B39171AC9BF}">
      <formula1>"购买小厂房,购买中厂房,购买大厂房"</formula1>
    </dataValidation>
    <dataValidation type="list" allowBlank="1" showInputMessage="1" showErrorMessage="1" sqref="AE11:AE14" xr:uid="{6519392C-D51E-4799-AB0A-EC76B0212AD5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5556-310F-4688-AFAD-BBED60D9D071}">
  <sheetPr codeName="Sheet7"/>
  <dimension ref="A1:AP53"/>
  <sheetViews>
    <sheetView topLeftCell="A16" zoomScale="91" workbookViewId="0">
      <selection activeCell="A35" sqref="A35"/>
    </sheetView>
  </sheetViews>
  <sheetFormatPr defaultRowHeight="13.8"/>
  <cols>
    <col min="2" max="2" width="14.21875" customWidth="1"/>
    <col min="3" max="3" width="8.88671875" hidden="1" customWidth="1"/>
    <col min="4" max="4" width="13.6640625" hidden="1" customWidth="1"/>
    <col min="5" max="5" width="15.33203125" hidden="1" customWidth="1"/>
    <col min="6" max="6" width="8.88671875" hidden="1" customWidth="1"/>
    <col min="10" max="10" width="9.44140625" bestFit="1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7" max="27" width="15.21875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97" t="s">
        <v>179</v>
      </c>
      <c r="C1" s="297" t="s">
        <v>180</v>
      </c>
      <c r="D1" s="304" t="s">
        <v>181</v>
      </c>
      <c r="E1" s="304" t="s">
        <v>182</v>
      </c>
      <c r="F1" s="1"/>
      <c r="G1" s="351" t="s">
        <v>183</v>
      </c>
      <c r="H1" s="304" t="s">
        <v>184</v>
      </c>
    </row>
    <row r="2" spans="1:42">
      <c r="A2" s="1"/>
      <c r="B2" s="303"/>
      <c r="C2" s="329"/>
      <c r="D2" s="304"/>
      <c r="E2" s="304"/>
      <c r="F2" s="1"/>
      <c r="G2" s="352"/>
      <c r="H2" s="304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73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191" t="s">
        <v>199</v>
      </c>
      <c r="AB2" s="73" t="s">
        <v>175</v>
      </c>
      <c r="AD2" s="308" t="s">
        <v>200</v>
      </c>
      <c r="AE2" s="308"/>
      <c r="AF2" s="308"/>
      <c r="AG2" s="308"/>
      <c r="AI2" s="327" t="s">
        <v>230</v>
      </c>
      <c r="AJ2" s="328"/>
      <c r="AK2" s="356">
        <v>0.02</v>
      </c>
      <c r="AL2" s="327" t="s">
        <v>231</v>
      </c>
      <c r="AM2" s="328"/>
      <c r="AN2" s="356">
        <v>229144.52</v>
      </c>
      <c r="AO2" s="128" t="s">
        <v>232</v>
      </c>
      <c r="AP2" s="128" t="s">
        <v>233</v>
      </c>
    </row>
    <row r="3" spans="1:42" ht="27" thickBot="1">
      <c r="A3" s="78" t="s">
        <v>185</v>
      </c>
      <c r="B3" s="79">
        <f>SUMIF($L$3:$L$14,1,$S$3:$S$14)+SUMIF($L$3:$L$14,1,$T$3:$T$14)+SUMIF($L$3:$L$14,1,$U$3:$U$14)+SUMIF($L$3:$L$14,1,$V$3:$V$14)</f>
        <v>836</v>
      </c>
      <c r="C3" s="129">
        <f>参数调整!F45</f>
        <v>38</v>
      </c>
      <c r="D3" s="129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129">
        <f>参数调整!I45</f>
        <v>1</v>
      </c>
      <c r="F3" s="1">
        <f>D3*G3*(参数调整!$B$6+1)</f>
        <v>33451.703999999998</v>
      </c>
      <c r="G3" s="81">
        <f>IF(B3-E38&lt;=0,0,B3-E38)</f>
        <v>836</v>
      </c>
      <c r="H3" s="130"/>
      <c r="J3" s="131" t="str">
        <f>第一季度!J3</f>
        <v>S</v>
      </c>
      <c r="K3" s="131">
        <f>第一季度!K3</f>
        <v>113</v>
      </c>
      <c r="L3" s="132" t="str">
        <f>LEFT(K3,1)</f>
        <v>1</v>
      </c>
      <c r="M3" s="132" t="str">
        <f>MID(K3,2,1)</f>
        <v>1</v>
      </c>
      <c r="N3" s="132" t="str">
        <f>MID(K3,3,1)</f>
        <v>3</v>
      </c>
      <c r="O3" s="132" t="str">
        <f>MID(K3,4,1)</f>
        <v/>
      </c>
      <c r="P3" s="132" t="str">
        <f>MID(K3,5,1)</f>
        <v/>
      </c>
      <c r="Q3" s="131">
        <v>3</v>
      </c>
      <c r="R3" s="131">
        <v>0</v>
      </c>
      <c r="S3" s="131">
        <v>0</v>
      </c>
      <c r="T3" s="131">
        <v>0</v>
      </c>
      <c r="U3" s="131">
        <v>0</v>
      </c>
      <c r="V3" s="131">
        <v>74</v>
      </c>
      <c r="W3" s="76">
        <f>TRUNC(S3*参数调整!$I$30)+TRUNC(T3*参数调整!$H$30)+TRUNC(U3*参数调整!$G$30)+TRUNC(V3*参数调整!$F$30)+Q3</f>
        <v>69</v>
      </c>
      <c r="X3" s="76">
        <f>IF(J3="S",Y29*SUM($R$18:$X$18)/100,IF(J3="B",Y29*SUM($R$19:$X$19)/100,IF(J3="Q",Y29*SUM($R$20:$X$20)/100,Y29*SUM($R$21:$X$21)/100)))</f>
        <v>80.988645765014923</v>
      </c>
      <c r="Y3" s="131">
        <v>6700</v>
      </c>
      <c r="Z3" s="73">
        <f>Y3+第三季度!Y3*0.53653684*0.46055126+第四季度!Y3*0.53653684</f>
        <v>9864.891608281343</v>
      </c>
      <c r="AA3" s="73">
        <f>IF(J3="S",Z3*参数调整!$H$11/($X$29*$J$18),IF(J3="B",Z3*参数调整!$H$12/($X$30*$J$18),IF(J3="Q",Z3*参数调整!$H$13/($X$31*$J$18),Z3*参数调整!$H$14/($X$32*$J$18))))</f>
        <v>0.24701313615442466</v>
      </c>
      <c r="AB3" s="196">
        <f>SUMIF(J3:J14,"S",Z3:Z14)</f>
        <v>9864.891608281343</v>
      </c>
      <c r="AD3" s="308" t="s">
        <v>201</v>
      </c>
      <c r="AE3" s="308"/>
      <c r="AF3" s="308"/>
      <c r="AG3" s="131">
        <v>25948.04</v>
      </c>
      <c r="AI3" s="329"/>
      <c r="AJ3" s="330"/>
      <c r="AK3" s="356"/>
      <c r="AL3" s="329"/>
      <c r="AM3" s="330"/>
      <c r="AN3" s="356"/>
      <c r="AO3" s="119">
        <v>375230.7</v>
      </c>
      <c r="AP3" s="119">
        <v>212033.25</v>
      </c>
    </row>
    <row r="4" spans="1:42" ht="27" customHeight="1" thickBot="1">
      <c r="A4" s="78" t="s">
        <v>186</v>
      </c>
      <c r="B4" s="79">
        <f>SUMIF($L$3:$L$14,2,$S$3:$S$14)+SUMIF($L$3:$L$14,2,$T$3:$T$14)+SUMIF($L$3:$L$14,2,$U$3:$U$14)+SUMIF($L$3:$L$14,2,$V$3:$V$14)</f>
        <v>64</v>
      </c>
      <c r="C4" s="129">
        <f>参数调整!F46</f>
        <v>80</v>
      </c>
      <c r="D4" s="129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129">
        <f>参数调整!I46</f>
        <v>1</v>
      </c>
      <c r="F4" s="1">
        <f>D4*G4*(参数调整!$B$6+1)</f>
        <v>5990.4</v>
      </c>
      <c r="G4" s="81">
        <f t="shared" ref="G4:G16" si="0">IF(B4-E39&lt;=0,0,B4-E39)</f>
        <v>64</v>
      </c>
      <c r="H4" s="130"/>
      <c r="J4" s="131" t="str">
        <f>第一季度!J4</f>
        <v>B</v>
      </c>
      <c r="K4" s="131">
        <f>第一季度!K4</f>
        <v>1111</v>
      </c>
      <c r="L4" s="132" t="str">
        <f>LEFT(K4,1)</f>
        <v>1</v>
      </c>
      <c r="M4" s="132" t="str">
        <f>MID(K4,2,1)</f>
        <v>1</v>
      </c>
      <c r="N4" s="132" t="str">
        <f>MID(K4,3,1)</f>
        <v>1</v>
      </c>
      <c r="O4" s="132" t="str">
        <f>MID(K4,4,1)</f>
        <v>1</v>
      </c>
      <c r="P4" s="132" t="str">
        <f t="shared" ref="P4:P14" si="1">MID(K4,5,1)</f>
        <v/>
      </c>
      <c r="Q4" s="131">
        <v>3</v>
      </c>
      <c r="R4" s="131">
        <v>0</v>
      </c>
      <c r="S4" s="131">
        <v>0</v>
      </c>
      <c r="T4" s="131">
        <v>0</v>
      </c>
      <c r="U4" s="131">
        <v>0</v>
      </c>
      <c r="V4" s="131">
        <v>132</v>
      </c>
      <c r="W4" s="76">
        <f>TRUNC(S4*参数调整!$I$30)+TRUNC(T4*参数调整!$H$30)+TRUNC(U4*参数调整!$G$30)+TRUNC(V4*参数调整!$F$30)+Q4</f>
        <v>121</v>
      </c>
      <c r="X4" s="76">
        <f t="shared" ref="X4:X14" si="2">IF(J4="S",Y30*SUM($R$18:$X$18)/100,IF(J4="B",Y30*SUM($R$19:$X$19)/100,IF(J4="Q",Y30*SUM($R$20:$X$20)/100,Y30*SUM($R$21:$X$21)/100)))</f>
        <v>136.72622340148052</v>
      </c>
      <c r="Y4" s="131">
        <v>0</v>
      </c>
      <c r="Z4" s="73">
        <f>Y4+第三季度!Y4*0.53653684*0.46055126+第四季度!Y4*0.53653684</f>
        <v>7766.4600279994402</v>
      </c>
      <c r="AA4" s="73">
        <f>IF(J4="S",Z4*参数调整!$H$11/($X$29*$J$18),IF(J4="B",Z4*参数调整!$H$12/($X$30*$J$18),IF(J4="Q",Z4*参数调整!$H$13/($X$31*$J$18),Z4*参数调整!$H$14/($X$32*$J$18))))</f>
        <v>0.18331343752515444</v>
      </c>
      <c r="AB4" s="196">
        <f>SUMIF(J4:J15,"B",Z3:Z14)</f>
        <v>20431.351636280782</v>
      </c>
      <c r="AD4" s="308" t="s">
        <v>300</v>
      </c>
      <c r="AE4" s="308"/>
      <c r="AF4" s="308"/>
      <c r="AG4" s="131">
        <v>0</v>
      </c>
      <c r="AH4">
        <v>159588.39000000001</v>
      </c>
      <c r="AI4" s="324" t="s">
        <v>430</v>
      </c>
      <c r="AJ4" s="294" t="s">
        <v>235</v>
      </c>
      <c r="AK4" s="295"/>
      <c r="AL4" s="296"/>
      <c r="AM4" s="128" t="s">
        <v>236</v>
      </c>
      <c r="AN4" s="128" t="s">
        <v>237</v>
      </c>
      <c r="AO4" s="308" t="s">
        <v>338</v>
      </c>
      <c r="AP4" s="308"/>
    </row>
    <row r="5" spans="1:42" ht="27" thickBot="1">
      <c r="A5" s="78" t="s">
        <v>151</v>
      </c>
      <c r="B5" s="83">
        <f>SUMIF($L$3:$L$14,3,$S$3:$S$14)+SUMIF($L$3:$L$14,3,$T$3:$T$14)+SUMIF($L$3:$L$14,3,$U$3:$U$14)+SUMIF($L$3:$L$14,3,$V$3:$V$14)</f>
        <v>0</v>
      </c>
      <c r="C5" s="129">
        <f>参数调整!F47</f>
        <v>114</v>
      </c>
      <c r="D5" s="129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114</v>
      </c>
      <c r="E5" s="129">
        <f>参数调整!I47</f>
        <v>1</v>
      </c>
      <c r="F5" s="1">
        <f>D5*G5*(参数调整!$B$6+1)</f>
        <v>0</v>
      </c>
      <c r="G5" s="81">
        <f t="shared" si="0"/>
        <v>0</v>
      </c>
      <c r="H5" s="84">
        <v>106</v>
      </c>
      <c r="J5" s="131" t="str">
        <f>第一季度!J5</f>
        <v>B</v>
      </c>
      <c r="K5" s="131">
        <f>第一季度!K5</f>
        <v>1121</v>
      </c>
      <c r="L5" s="132" t="str">
        <f>LEFT(K5,1)</f>
        <v>1</v>
      </c>
      <c r="M5" s="132" t="str">
        <f>MID(K5,2,1)</f>
        <v>1</v>
      </c>
      <c r="N5" s="132" t="str">
        <f>MID(K5,3,1)</f>
        <v>2</v>
      </c>
      <c r="O5" s="132" t="str">
        <f>MID(K5,4,1)</f>
        <v>1</v>
      </c>
      <c r="P5" s="132" t="str">
        <f t="shared" si="1"/>
        <v/>
      </c>
      <c r="Q5" s="131">
        <v>3</v>
      </c>
      <c r="R5" s="131">
        <v>0</v>
      </c>
      <c r="S5" s="131">
        <v>0</v>
      </c>
      <c r="T5" s="131">
        <v>0</v>
      </c>
      <c r="U5" s="131">
        <v>0</v>
      </c>
      <c r="V5" s="131">
        <v>68</v>
      </c>
      <c r="W5" s="76">
        <f>TRUNC(S5*参数调整!$I$30)+TRUNC(T5*参数调整!$H$30)+TRUNC(U5*参数调整!$G$30)+TRUNC(V5*参数调整!$F$30)+Q5</f>
        <v>64</v>
      </c>
      <c r="X5" s="76">
        <f t="shared" si="2"/>
        <v>87.337274139771083</v>
      </c>
      <c r="Y5" s="131">
        <v>2800</v>
      </c>
      <c r="Z5" s="73">
        <f>Y5+第三季度!Y5*0.53653684*0.46055126+第四季度!Y5*0.53653684</f>
        <v>2800</v>
      </c>
      <c r="AA5" s="73">
        <f>IF(J5="S",Z5*参数调整!$H$11/($X$29*$J$18),IF(J5="B",Z5*参数调整!$H$12/($X$30*$J$18),IF(J5="Q",Z5*参数调整!$H$13/($X$31*$J$18),Z5*参数调整!$H$14/($X$32*$J$18))))</f>
        <v>6.6089006216471499E-2</v>
      </c>
      <c r="AB5" s="196">
        <f>SUMIF(J3:J14,"Q",Z3:Z14)</f>
        <v>14462.760053699974</v>
      </c>
      <c r="AD5" s="308" t="s">
        <v>202</v>
      </c>
      <c r="AE5" s="128" t="s">
        <v>203</v>
      </c>
      <c r="AF5" s="131">
        <v>0</v>
      </c>
      <c r="AG5" s="73">
        <f>AF5*参数调整!$J$23</f>
        <v>0</v>
      </c>
      <c r="AI5" s="325"/>
      <c r="AJ5" s="297" t="s">
        <v>238</v>
      </c>
      <c r="AK5" s="297" t="s">
        <v>239</v>
      </c>
      <c r="AL5" s="128" t="s">
        <v>101</v>
      </c>
      <c r="AM5" s="132">
        <f>SUM(S3:S14)</f>
        <v>0</v>
      </c>
      <c r="AN5" s="128">
        <f>AM5*参数调整!$I$32</f>
        <v>0</v>
      </c>
      <c r="AO5" s="336">
        <f>AN2+AO36*(1-参数调整!B23)+AP36*(1-参数调整!B24)</f>
        <v>367083.07400000002</v>
      </c>
      <c r="AP5" s="336"/>
    </row>
    <row r="6" spans="1:42" ht="14.4" customHeight="1" thickBot="1">
      <c r="A6" s="78" t="s">
        <v>152</v>
      </c>
      <c r="B6" s="85">
        <f>SUMIF($M$3:$M$14,1,$S$3:$S$14)+SUMIF($M$3:$M$14,1,$T$3:$T$14)+SUMIF($M$3:$M$14,1,$U$3:$U$14)+SUMIF($M$3:$M$14,1,$V$3:$V$14)</f>
        <v>684</v>
      </c>
      <c r="C6" s="129">
        <f>参数调整!F48</f>
        <v>9</v>
      </c>
      <c r="D6" s="129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8.1</v>
      </c>
      <c r="E6" s="129">
        <f>参数调整!I48</f>
        <v>0</v>
      </c>
      <c r="F6" s="1">
        <f>D6*G6*(参数调整!$B$6+1)</f>
        <v>6482.2679999999991</v>
      </c>
      <c r="G6" s="86">
        <f t="shared" si="0"/>
        <v>684</v>
      </c>
      <c r="H6" s="130"/>
      <c r="J6" s="131" t="str">
        <f>第一季度!J6</f>
        <v>B</v>
      </c>
      <c r="K6" s="131">
        <f>第一季度!K6</f>
        <v>113</v>
      </c>
      <c r="L6" s="132" t="str">
        <f>LEFT(K6,1)</f>
        <v>1</v>
      </c>
      <c r="M6" s="132" t="str">
        <f>MID(K6,2,1)</f>
        <v>1</v>
      </c>
      <c r="N6" s="132" t="str">
        <f>MID(K6,3,1)</f>
        <v>3</v>
      </c>
      <c r="O6" s="132" t="str">
        <f>MID(K6,4,1)</f>
        <v/>
      </c>
      <c r="P6" s="132" t="str">
        <f t="shared" si="1"/>
        <v/>
      </c>
      <c r="Q6" s="131">
        <v>3</v>
      </c>
      <c r="R6" s="131">
        <v>0</v>
      </c>
      <c r="S6" s="131">
        <v>0</v>
      </c>
      <c r="T6" s="131">
        <v>0</v>
      </c>
      <c r="U6" s="131">
        <v>0</v>
      </c>
      <c r="V6" s="131">
        <v>122</v>
      </c>
      <c r="W6" s="76">
        <f>TRUNC(S6*参数调整!$I$30)+TRUNC(T6*参数调整!$H$30)+TRUNC(U6*参数调整!$G$30)+TRUNC(V6*参数调整!$F$30)+Q6</f>
        <v>112</v>
      </c>
      <c r="X6" s="76">
        <f t="shared" si="2"/>
        <v>79.108982325337323</v>
      </c>
      <c r="Y6" s="131">
        <v>0</v>
      </c>
      <c r="Z6" s="73">
        <f>Y6+第三季度!Y6*0.53653684*0.46055126+第四季度!Y6*0.53653684</f>
        <v>0</v>
      </c>
      <c r="AA6" s="73">
        <f>IF(J6="S",Z6*参数调整!$H$11/($X$29*$J$18),IF(J6="B",Z6*参数调整!$H$12/($X$30*$J$18),IF(J6="Q",Z6*参数调整!$H$13/($X$31*$J$18),Z6*参数调整!$H$14/($X$32*$J$18))))</f>
        <v>0</v>
      </c>
      <c r="AB6" s="196">
        <f>SUMIF(J3:J14,"L",Z3:Z14)</f>
        <v>4775.326337657254</v>
      </c>
      <c r="AD6" s="308"/>
      <c r="AE6" s="128" t="s">
        <v>204</v>
      </c>
      <c r="AF6" s="131">
        <v>0</v>
      </c>
      <c r="AG6" s="73">
        <f>AF6*参数调整!$H$23</f>
        <v>0</v>
      </c>
      <c r="AI6" s="325"/>
      <c r="AJ6" s="298"/>
      <c r="AK6" s="298"/>
      <c r="AL6" s="128" t="s">
        <v>269</v>
      </c>
      <c r="AM6" s="132">
        <f>SUM(V3:V14)</f>
        <v>900</v>
      </c>
      <c r="AN6" s="128">
        <f>AM6*参数调整!$F$32</f>
        <v>9000</v>
      </c>
      <c r="AO6" s="336"/>
      <c r="AP6" s="336"/>
    </row>
    <row r="7" spans="1:42" ht="14.4" customHeight="1" thickBot="1">
      <c r="A7" s="78" t="s">
        <v>153</v>
      </c>
      <c r="B7" s="85">
        <f>SUMIF($M$3:$M$14,2,$S$3:$S$14)+SUMIF($M$3:$M$14,2,$T$3:$T$14)+SUMIF($M$3:$M$14,2,$U$3:$U$14)+SUMIF($M$3:$M$14,2,$V$3:$V$14)</f>
        <v>216</v>
      </c>
      <c r="C7" s="129">
        <f>参数调整!F49</f>
        <v>20</v>
      </c>
      <c r="D7" s="129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19</v>
      </c>
      <c r="E7" s="129">
        <f>参数调整!I49</f>
        <v>1</v>
      </c>
      <c r="F7" s="1">
        <f>D7*G7*(参数调整!$B$6+1)</f>
        <v>4801.6799999999994</v>
      </c>
      <c r="G7" s="86">
        <f t="shared" si="0"/>
        <v>216</v>
      </c>
      <c r="H7" s="130"/>
      <c r="J7" s="131" t="str">
        <f>第一季度!J7</f>
        <v>Q</v>
      </c>
      <c r="K7" s="131">
        <f>第一季度!K7</f>
        <v>212</v>
      </c>
      <c r="L7" s="132" t="str">
        <f t="shared" ref="L7:L14" si="3">LEFT(K7,1)</f>
        <v>2</v>
      </c>
      <c r="M7" s="132" t="str">
        <f t="shared" ref="M7:M14" si="4">MID(K7,2,1)</f>
        <v>1</v>
      </c>
      <c r="N7" s="132" t="str">
        <f t="shared" ref="N7:N14" si="5">MID(K7,3,1)</f>
        <v>2</v>
      </c>
      <c r="O7" s="132" t="str">
        <f t="shared" ref="O7:O14" si="6">MID(K7,4,1)</f>
        <v/>
      </c>
      <c r="P7" s="132" t="str">
        <f t="shared" si="1"/>
        <v/>
      </c>
      <c r="Q7" s="131">
        <v>2</v>
      </c>
      <c r="R7" s="131">
        <v>0</v>
      </c>
      <c r="S7" s="131">
        <v>0</v>
      </c>
      <c r="T7" s="131">
        <v>0</v>
      </c>
      <c r="U7" s="131">
        <v>0</v>
      </c>
      <c r="V7" s="131">
        <v>64</v>
      </c>
      <c r="W7" s="76">
        <f>TRUNC(S7*参数调整!$I$30)+TRUNC(T7*参数调整!$H$30)+TRUNC(U7*参数调整!$G$30)+TRUNC(V7*参数调整!$F$30)+Q7</f>
        <v>59</v>
      </c>
      <c r="X7" s="76">
        <f t="shared" si="2"/>
        <v>136.29240010364211</v>
      </c>
      <c r="Y7" s="131">
        <v>0</v>
      </c>
      <c r="Z7" s="73">
        <f>Y7+第三季度!Y7*0.53653684*0.46055126+第四季度!Y7*0.53653684</f>
        <v>0</v>
      </c>
      <c r="AA7" s="73">
        <f>IF(J7="S",Z7*参数调整!$H$11/($X$29*$J$18),IF(J7="B",Z7*参数调整!$H$12/($X$30*$J$18),IF(J7="Q",Z7*参数调整!$H$13/($X$31*$J$18),Z7*参数调整!$H$14/($X$32*$J$18))))</f>
        <v>0</v>
      </c>
      <c r="AD7" s="308"/>
      <c r="AE7" s="128" t="s">
        <v>205</v>
      </c>
      <c r="AF7" s="131">
        <v>0</v>
      </c>
      <c r="AG7" s="73">
        <f>AF7*参数调整!$F$23</f>
        <v>0</v>
      </c>
      <c r="AI7" s="325"/>
      <c r="AJ7" s="298"/>
      <c r="AK7" s="298"/>
      <c r="AL7" s="128" t="s">
        <v>100</v>
      </c>
      <c r="AM7" s="132">
        <f>SUM(T3:T14)</f>
        <v>0</v>
      </c>
      <c r="AN7" s="128">
        <f>AM7*参数调整!H32</f>
        <v>0</v>
      </c>
      <c r="AO7" s="134"/>
      <c r="AP7" s="134"/>
    </row>
    <row r="8" spans="1:42" ht="14.4" customHeight="1" thickBot="1">
      <c r="A8" s="78" t="s">
        <v>154</v>
      </c>
      <c r="B8" s="85">
        <f>SUMIF($M$3:$M$14,3,$S$3:$S$14)+SUMIF($M$3:$M$14,3,$T$3:$T$14)+SUMIF($M$3:$M$14,3,$U$3:$U$14)+SUMIF($M$3:$M$14,3,$V$3:$V$14)</f>
        <v>0</v>
      </c>
      <c r="C8" s="129">
        <f>参数调整!F50</f>
        <v>39</v>
      </c>
      <c r="D8" s="129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39</v>
      </c>
      <c r="E8" s="129">
        <f>参数调整!I50</f>
        <v>1</v>
      </c>
      <c r="F8" s="1">
        <f>D8*G8*(参数调整!$B$6+1)</f>
        <v>0</v>
      </c>
      <c r="G8" s="86">
        <f t="shared" si="0"/>
        <v>0</v>
      </c>
      <c r="H8" s="130"/>
      <c r="J8" s="131" t="str">
        <f>第一季度!J8</f>
        <v>Q</v>
      </c>
      <c r="K8" s="131">
        <f>第一季度!K8</f>
        <v>1121</v>
      </c>
      <c r="L8" s="132" t="str">
        <f t="shared" si="3"/>
        <v>1</v>
      </c>
      <c r="M8" s="132" t="str">
        <f t="shared" si="4"/>
        <v>1</v>
      </c>
      <c r="N8" s="132" t="str">
        <f t="shared" si="5"/>
        <v>2</v>
      </c>
      <c r="O8" s="132" t="str">
        <f t="shared" si="6"/>
        <v>1</v>
      </c>
      <c r="P8" s="132" t="str">
        <f t="shared" si="1"/>
        <v/>
      </c>
      <c r="Q8" s="131">
        <v>9</v>
      </c>
      <c r="R8" s="131">
        <v>0</v>
      </c>
      <c r="S8" s="131">
        <v>0</v>
      </c>
      <c r="T8" s="131">
        <v>0</v>
      </c>
      <c r="U8" s="131">
        <v>0</v>
      </c>
      <c r="V8" s="131">
        <v>120</v>
      </c>
      <c r="W8" s="76">
        <f>TRUNC(S8*参数调整!$I$30)+TRUNC(T8*参数调整!$H$30)+TRUNC(U8*参数调整!$G$30)+TRUNC(V8*参数调整!$F$30)+Q8</f>
        <v>117</v>
      </c>
      <c r="X8" s="76">
        <f t="shared" si="2"/>
        <v>125.99851475652468</v>
      </c>
      <c r="Y8" s="131">
        <v>5582.9245000000001</v>
      </c>
      <c r="Z8" s="73">
        <f>Y8+第三季度!Y8*0.53653684*0.46055126+第四季度!Y8*0.53653684</f>
        <v>5582.9245000000001</v>
      </c>
      <c r="AA8" s="73">
        <f>IF(J8="S",Z8*参数调整!$H$11/($X$29*$J$18),IF(J8="B",Z8*参数调整!$H$12/($X$30*$J$18),IF(J8="Q",Z8*参数调整!$H$13/($X$31*$J$18),Z8*参数调整!$H$14/($X$32*$J$18))))</f>
        <v>0.17564708506978771</v>
      </c>
      <c r="AD8" s="308" t="s">
        <v>206</v>
      </c>
      <c r="AE8" s="128" t="s">
        <v>207</v>
      </c>
      <c r="AF8" s="131">
        <v>1</v>
      </c>
      <c r="AG8" s="300">
        <v>0</v>
      </c>
      <c r="AI8" s="325"/>
      <c r="AJ8" s="298"/>
      <c r="AK8" s="299"/>
      <c r="AL8" s="128" t="s">
        <v>270</v>
      </c>
      <c r="AM8" s="132">
        <f>SUM(U3:U14)</f>
        <v>0</v>
      </c>
      <c r="AN8" s="128">
        <f>AM8*参数调整!G32</f>
        <v>0</v>
      </c>
      <c r="AO8" s="134"/>
      <c r="AP8" s="134"/>
    </row>
    <row r="9" spans="1:42" ht="14.4" customHeight="1" thickBot="1">
      <c r="A9" s="78" t="s">
        <v>155</v>
      </c>
      <c r="B9" s="87">
        <f>SUMIF($N$3:$N$14,1,$S$3:$S$14)+SUMIF($N$3:$N$14,1,$T$3:$T$14)+SUMIF($N$3:$N$14,1,$U$3:$U$14)+SUMIF($N$3:$N$14,1,$V$3:$V$14)</f>
        <v>348</v>
      </c>
      <c r="C9" s="129">
        <f>参数调整!F51</f>
        <v>58</v>
      </c>
      <c r="D9" s="129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55.099999999999994</v>
      </c>
      <c r="E9" s="129">
        <f>参数调整!I51</f>
        <v>0</v>
      </c>
      <c r="F9" s="1">
        <f>D9*G9*(参数调整!$B$6+1)</f>
        <v>22434.515999999996</v>
      </c>
      <c r="G9" s="88">
        <f t="shared" si="0"/>
        <v>348</v>
      </c>
      <c r="H9" s="130"/>
      <c r="J9" s="131" t="str">
        <f>第一季度!J9</f>
        <v>Q</v>
      </c>
      <c r="K9" s="131">
        <f>第一季度!K9</f>
        <v>112</v>
      </c>
      <c r="L9" s="132" t="str">
        <f t="shared" si="3"/>
        <v>1</v>
      </c>
      <c r="M9" s="132" t="str">
        <f t="shared" si="4"/>
        <v>1</v>
      </c>
      <c r="N9" s="132" t="str">
        <f t="shared" si="5"/>
        <v>2</v>
      </c>
      <c r="O9" s="132" t="str">
        <f t="shared" si="6"/>
        <v/>
      </c>
      <c r="P9" s="132" t="str">
        <f t="shared" si="1"/>
        <v/>
      </c>
      <c r="Q9" s="131">
        <v>3</v>
      </c>
      <c r="R9" s="131">
        <v>0</v>
      </c>
      <c r="S9" s="131">
        <v>0</v>
      </c>
      <c r="T9" s="131">
        <v>0</v>
      </c>
      <c r="U9" s="131">
        <v>0</v>
      </c>
      <c r="V9" s="131">
        <v>104</v>
      </c>
      <c r="W9" s="76">
        <f>TRUNC(S9*参数调整!$I$30)+TRUNC(T9*参数调整!$H$30)+TRUNC(U9*参数调整!$G$30)+TRUNC(V9*参数调整!$F$30)+Q9</f>
        <v>96</v>
      </c>
      <c r="X9" s="76">
        <f t="shared" si="2"/>
        <v>188.59030581976927</v>
      </c>
      <c r="Y9" s="131">
        <v>0</v>
      </c>
      <c r="Z9" s="73">
        <f>Y9+第三季度!Y9*0.53653684*0.46055126+第四季度!Y9*0.53653684</f>
        <v>8879.8355536999752</v>
      </c>
      <c r="AA9" s="73">
        <f>IF(J9="S",Z9*参数调整!$H$11/($X$29*$J$18),IF(J9="B",Z9*参数调整!$H$12/($X$30*$J$18),IF(J9="Q",Z9*参数调整!$H$13/($X$31*$J$18),Z9*参数调整!$H$14/($X$32*$J$18))))</f>
        <v>0.27937279662414649</v>
      </c>
      <c r="AD9" s="308"/>
      <c r="AE9" s="128" t="s">
        <v>208</v>
      </c>
      <c r="AF9" s="131">
        <v>0</v>
      </c>
      <c r="AG9" s="301"/>
      <c r="AI9" s="325"/>
      <c r="AJ9" s="298"/>
      <c r="AK9" s="297" t="s">
        <v>240</v>
      </c>
      <c r="AL9" s="128" t="s">
        <v>241</v>
      </c>
      <c r="AM9" s="132">
        <v>1</v>
      </c>
      <c r="AN9" s="128">
        <f>AM9*参数调整!$J$24</f>
        <v>5000</v>
      </c>
      <c r="AO9" s="134"/>
      <c r="AP9" s="134"/>
    </row>
    <row r="10" spans="1:42" ht="14.4" customHeight="1" thickBot="1">
      <c r="A10" s="78" t="s">
        <v>156</v>
      </c>
      <c r="B10" s="87">
        <f>SUMIF($N$3:$N$14,2,$S$3:$S$14)+SUMIF($N$3:$N$14,2,$T$3:$T$14)+SUMIF($N$3:$N$14,2,$U$3:$U$14)+SUMIF($N$3:$N$14,2,$V$3:$V$14)</f>
        <v>356</v>
      </c>
      <c r="C10" s="129">
        <f>参数调整!F52</f>
        <v>75</v>
      </c>
      <c r="D10" s="129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129">
        <f>参数调整!I52</f>
        <v>1</v>
      </c>
      <c r="F10" s="1">
        <f>D10*G10*(参数调整!$B$6+1)</f>
        <v>29677.05</v>
      </c>
      <c r="G10" s="88">
        <f t="shared" si="0"/>
        <v>356</v>
      </c>
      <c r="H10" s="130">
        <v>0</v>
      </c>
      <c r="J10" s="131" t="str">
        <f>第一季度!J10</f>
        <v>L</v>
      </c>
      <c r="K10" s="131">
        <f>第一季度!K10</f>
        <v>121</v>
      </c>
      <c r="L10" s="132" t="str">
        <f t="shared" si="3"/>
        <v>1</v>
      </c>
      <c r="M10" s="132" t="str">
        <f t="shared" si="4"/>
        <v>2</v>
      </c>
      <c r="N10" s="132" t="str">
        <f t="shared" si="5"/>
        <v>1</v>
      </c>
      <c r="O10" s="132" t="str">
        <f t="shared" si="6"/>
        <v/>
      </c>
      <c r="P10" s="132" t="str">
        <f t="shared" si="1"/>
        <v/>
      </c>
      <c r="Q10" s="131">
        <v>6</v>
      </c>
      <c r="R10" s="131">
        <v>0</v>
      </c>
      <c r="S10" s="131">
        <v>0</v>
      </c>
      <c r="T10" s="131">
        <v>0</v>
      </c>
      <c r="U10" s="131">
        <v>0</v>
      </c>
      <c r="V10" s="131">
        <v>216</v>
      </c>
      <c r="W10" s="76">
        <f>TRUNC(S10*参数调整!$I$30)+TRUNC(T10*参数调整!$H$30)+TRUNC(U10*参数调整!$G$30)+TRUNC(V10*参数调整!$F$30)+Q10</f>
        <v>200</v>
      </c>
      <c r="X10" s="76">
        <f t="shared" si="2"/>
        <v>211.61322285983809</v>
      </c>
      <c r="Y10" s="131">
        <v>1010</v>
      </c>
      <c r="Z10" s="73">
        <f>Y10+第三季度!Y10*0.53653684*0.46055126+第四季度!Y10*0.53653684</f>
        <v>4775.326337657254</v>
      </c>
      <c r="AA10" s="73">
        <f>IF(J10="S",Z10*参数调整!$H$11/($X$29*$J$18),IF(J10="B",Z10*参数调整!$H$12/($X$30*$J$18),IF(J10="Q",Z10*参数调整!$H$13/($X$31*$J$18),Z10*参数调整!$H$14/($X$32*$J$18))))</f>
        <v>0.2450739472218772</v>
      </c>
      <c r="AD10" s="308"/>
      <c r="AE10" s="128" t="s">
        <v>209</v>
      </c>
      <c r="AF10" s="131">
        <v>0</v>
      </c>
      <c r="AG10" s="302"/>
      <c r="AI10" s="325"/>
      <c r="AJ10" s="298"/>
      <c r="AK10" s="298"/>
      <c r="AL10" s="128" t="s">
        <v>242</v>
      </c>
      <c r="AM10" s="132">
        <f>AF9</f>
        <v>0</v>
      </c>
      <c r="AN10" s="128">
        <f>AM10*参数调整!$H$24</f>
        <v>0</v>
      </c>
      <c r="AO10" s="134"/>
      <c r="AP10" s="134"/>
    </row>
    <row r="11" spans="1:42" ht="14.4" customHeight="1" thickBot="1">
      <c r="A11" s="78" t="s">
        <v>157</v>
      </c>
      <c r="B11" s="87">
        <f>SUMIF($N$3:$N$14,3,$S$3:$S$14)+SUMIF($N$3:$N$14,3,$T$3:$T$14)+SUMIF($N$3:$N$14,3,$U$3:$U$14)+SUMIF($N$3:$N$14,3,$V$3:$V$14)</f>
        <v>196</v>
      </c>
      <c r="C11" s="129">
        <f>参数调整!F53</f>
        <v>120</v>
      </c>
      <c r="D11" s="129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120</v>
      </c>
      <c r="E11" s="129">
        <f>参数调整!I53</f>
        <v>0</v>
      </c>
      <c r="F11" s="1">
        <f>D11*G11*(参数调整!$B$6+1)</f>
        <v>27518.399999999998</v>
      </c>
      <c r="G11" s="88">
        <f t="shared" si="0"/>
        <v>196</v>
      </c>
      <c r="H11" s="130"/>
      <c r="J11" s="131">
        <f>第一季度!J11</f>
        <v>0</v>
      </c>
      <c r="K11" s="131">
        <f>第一季度!K11</f>
        <v>0</v>
      </c>
      <c r="L11" s="132" t="str">
        <f t="shared" si="3"/>
        <v>0</v>
      </c>
      <c r="M11" s="132" t="str">
        <f t="shared" si="4"/>
        <v/>
      </c>
      <c r="N11" s="132" t="str">
        <f t="shared" si="5"/>
        <v/>
      </c>
      <c r="O11" s="132" t="str">
        <f t="shared" si="6"/>
        <v/>
      </c>
      <c r="P11" s="132" t="str">
        <f t="shared" si="1"/>
        <v/>
      </c>
      <c r="Q11" s="131"/>
      <c r="R11" s="131"/>
      <c r="S11" s="131">
        <v>0</v>
      </c>
      <c r="T11" s="131">
        <v>0</v>
      </c>
      <c r="U11" s="131">
        <v>0</v>
      </c>
      <c r="V11" s="131"/>
      <c r="W11" s="76">
        <f>TRUNC(S11*参数调整!$I$30)+TRUNC(T11*参数调整!$H$30)+TRUNC(U11*参数调整!$G$30)+TRUNC(V11*参数调整!$F$30)+Q11</f>
        <v>0</v>
      </c>
      <c r="X11" s="76">
        <f t="shared" si="2"/>
        <v>0</v>
      </c>
      <c r="Y11" s="131">
        <v>0</v>
      </c>
      <c r="Z11" s="73">
        <f>Y11+第三季度!Y11*0.53653684*0.46055126+第四季度!Y11*0.53653684</f>
        <v>0</v>
      </c>
      <c r="AA11" s="73">
        <f>IF(J11="S",Z11*参数调整!$H$11/($X$29*$J$18),IF(J11="B",Z11*参数调整!$H$12/($X$30*$J$18),IF(J11="Q",Z11*参数调整!$H$13/($X$31*$J$18),Z11*参数调整!$H$14/($X$32*$J$18))))</f>
        <v>0</v>
      </c>
      <c r="AD11" s="308" t="s">
        <v>210</v>
      </c>
      <c r="AE11" s="128" t="s">
        <v>211</v>
      </c>
      <c r="AF11" s="131">
        <v>0</v>
      </c>
      <c r="AG11" s="73">
        <f>AF11*参数调整!$I$29</f>
        <v>0</v>
      </c>
      <c r="AI11" s="325"/>
      <c r="AJ11" s="298"/>
      <c r="AK11" s="299"/>
      <c r="AL11" s="128" t="s">
        <v>243</v>
      </c>
      <c r="AM11" s="132">
        <v>0</v>
      </c>
      <c r="AN11" s="128">
        <f>AM11*参数调整!$F$24</f>
        <v>0</v>
      </c>
      <c r="AO11" s="134"/>
      <c r="AP11" s="134"/>
    </row>
    <row r="12" spans="1:42" ht="14.4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129">
        <f>参数调整!F54</f>
        <v>145</v>
      </c>
      <c r="D12" s="129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129">
        <f>参数调整!I54</f>
        <v>1</v>
      </c>
      <c r="F12" s="1">
        <f>D12*G12*(参数调整!$B$6+1)</f>
        <v>0</v>
      </c>
      <c r="G12" s="88">
        <f t="shared" si="0"/>
        <v>0</v>
      </c>
      <c r="H12" s="130"/>
      <c r="J12" s="131">
        <f>第一季度!J12</f>
        <v>0</v>
      </c>
      <c r="K12" s="131">
        <f>第一季度!K12</f>
        <v>0</v>
      </c>
      <c r="L12" s="132" t="str">
        <f t="shared" si="3"/>
        <v>0</v>
      </c>
      <c r="M12" s="132" t="str">
        <f t="shared" si="4"/>
        <v/>
      </c>
      <c r="N12" s="132" t="str">
        <f t="shared" si="5"/>
        <v/>
      </c>
      <c r="O12" s="132" t="str">
        <f t="shared" si="6"/>
        <v/>
      </c>
      <c r="P12" s="132" t="str">
        <f t="shared" si="1"/>
        <v/>
      </c>
      <c r="Q12" s="131"/>
      <c r="R12" s="131"/>
      <c r="S12" s="131">
        <v>0</v>
      </c>
      <c r="T12" s="131">
        <v>0</v>
      </c>
      <c r="U12" s="131">
        <v>0</v>
      </c>
      <c r="V12" s="131"/>
      <c r="W12" s="76">
        <f>TRUNC(S12*参数调整!$I$30)+TRUNC(T12*参数调整!$H$30)+TRUNC(U12*参数调整!$G$30)+TRUNC(V12*参数调整!$F$30)+Q12</f>
        <v>0</v>
      </c>
      <c r="X12" s="76">
        <f t="shared" si="2"/>
        <v>0</v>
      </c>
      <c r="Y12" s="131">
        <v>0</v>
      </c>
      <c r="Z12" s="73">
        <f>Y12+第三季度!Y12*0.53653684*0.46055126+第四季度!Y12*0.53653684</f>
        <v>0</v>
      </c>
      <c r="AA12" s="73">
        <f>IF(J12="S",Z12*参数调整!$H$11/($X$29*$J$18),IF(J12="B",Z12*参数调整!$H$12/($X$30*$J$18),IF(J12="Q",Z12*参数调整!$H$13/($X$31*$J$18),Z12*参数调整!$H$14/($X$32*$J$18))))</f>
        <v>0</v>
      </c>
      <c r="AD12" s="308"/>
      <c r="AE12" s="128" t="s">
        <v>212</v>
      </c>
      <c r="AF12" s="131">
        <v>0</v>
      </c>
      <c r="AG12" s="73">
        <f>AF12*参数调整!$H$29</f>
        <v>0</v>
      </c>
      <c r="AI12" s="325"/>
      <c r="AJ12" s="298"/>
      <c r="AK12" s="319" t="s">
        <v>244</v>
      </c>
      <c r="AL12" s="320"/>
      <c r="AM12" s="132">
        <f>AM18</f>
        <v>14</v>
      </c>
      <c r="AN12" s="128">
        <f>AM12*参数调整!$J$18*(1+参数调整!$B$12+参数调整!$B$13+参数调整!$B$14+参数调整!$B$15+参数调整!$B$16)</f>
        <v>67838.399999999994</v>
      </c>
      <c r="AO12" s="134"/>
      <c r="AP12" s="134"/>
    </row>
    <row r="13" spans="1:42" ht="14.4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320</v>
      </c>
      <c r="C13" s="129">
        <f>参数调整!F55</f>
        <v>47</v>
      </c>
      <c r="D13" s="129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44.65</v>
      </c>
      <c r="E13" s="129">
        <f>参数调整!I55</f>
        <v>1</v>
      </c>
      <c r="F13" s="1">
        <f>D13*G13*(参数调整!$B$6+1)</f>
        <v>16716.96</v>
      </c>
      <c r="G13" s="90">
        <f t="shared" si="0"/>
        <v>320</v>
      </c>
      <c r="H13" s="84">
        <v>316</v>
      </c>
      <c r="J13" s="131">
        <f>第一季度!J13</f>
        <v>0</v>
      </c>
      <c r="K13" s="131">
        <f>第一季度!K13</f>
        <v>0</v>
      </c>
      <c r="L13" s="132" t="str">
        <f t="shared" si="3"/>
        <v>0</v>
      </c>
      <c r="M13" s="132" t="str">
        <f t="shared" si="4"/>
        <v/>
      </c>
      <c r="N13" s="132" t="str">
        <f t="shared" si="5"/>
        <v/>
      </c>
      <c r="O13" s="132" t="str">
        <f t="shared" si="6"/>
        <v/>
      </c>
      <c r="P13" s="132" t="str">
        <f t="shared" si="1"/>
        <v/>
      </c>
      <c r="Q13" s="131"/>
      <c r="R13" s="131"/>
      <c r="S13" s="131"/>
      <c r="T13" s="131">
        <v>0</v>
      </c>
      <c r="U13" s="131">
        <v>0</v>
      </c>
      <c r="V13" s="131"/>
      <c r="W13" s="76">
        <f>TRUNC(S13*参数调整!$I$30)+TRUNC(T13*参数调整!$H$30)+TRUNC(U13*参数调整!$G$30)+TRUNC(V13*参数调整!$F$30)+Q13</f>
        <v>0</v>
      </c>
      <c r="X13" s="76">
        <f t="shared" si="2"/>
        <v>0</v>
      </c>
      <c r="Y13" s="131"/>
      <c r="Z13" s="73">
        <f>Y13+第三季度!Y13*0.53653684*0.46055126+第四季度!Y13*0.53653684</f>
        <v>0</v>
      </c>
      <c r="AA13" s="73">
        <f>IF(J13="S",Z13*参数调整!$H$11/($X$29*$J$18),IF(J13="B",Z13*参数调整!$H$12/($X$30*$J$18),IF(J13="Q",Z13*参数调整!$H$13/($X$31*$J$18),Z13*参数调整!$H$14/($X$32*$J$18))))</f>
        <v>0</v>
      </c>
      <c r="AD13" s="308"/>
      <c r="AE13" s="128" t="s">
        <v>213</v>
      </c>
      <c r="AF13" s="131">
        <v>0</v>
      </c>
      <c r="AG13" s="73">
        <f>AF13*参数调整!$G$29</f>
        <v>0</v>
      </c>
      <c r="AI13" s="325"/>
      <c r="AJ13" s="298"/>
      <c r="AK13" s="297" t="s">
        <v>245</v>
      </c>
      <c r="AL13" s="128" t="s">
        <v>101</v>
      </c>
      <c r="AM13" s="131">
        <v>0</v>
      </c>
      <c r="AN13" s="103">
        <f>AM13*参数调整!$I$33</f>
        <v>0</v>
      </c>
      <c r="AO13" s="134"/>
      <c r="AP13" s="134"/>
    </row>
    <row r="14" spans="1:42" ht="14.4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29">
        <f>参数调整!F56</f>
        <v>50</v>
      </c>
      <c r="D14" s="129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129">
        <f>参数调整!I56</f>
        <v>1</v>
      </c>
      <c r="F14" s="1">
        <f>D14*G14*(参数调整!$B$6+1)</f>
        <v>0</v>
      </c>
      <c r="G14" s="90">
        <f t="shared" si="0"/>
        <v>0</v>
      </c>
      <c r="H14" s="84"/>
      <c r="J14" s="131">
        <f>第一季度!J14</f>
        <v>0</v>
      </c>
      <c r="K14" s="131">
        <f>第一季度!K14</f>
        <v>0</v>
      </c>
      <c r="L14" s="132" t="str">
        <f t="shared" si="3"/>
        <v>0</v>
      </c>
      <c r="M14" s="132" t="str">
        <f t="shared" si="4"/>
        <v/>
      </c>
      <c r="N14" s="132" t="str">
        <f t="shared" si="5"/>
        <v/>
      </c>
      <c r="O14" s="132" t="str">
        <f t="shared" si="6"/>
        <v/>
      </c>
      <c r="P14" s="132" t="str">
        <f t="shared" si="1"/>
        <v/>
      </c>
      <c r="Q14" s="131"/>
      <c r="R14" s="131"/>
      <c r="S14" s="131"/>
      <c r="T14" s="131">
        <v>0</v>
      </c>
      <c r="U14" s="131">
        <v>0</v>
      </c>
      <c r="V14" s="131"/>
      <c r="W14" s="76">
        <f>TRUNC(S14*参数调整!$I$30)+TRUNC(T14*参数调整!$H$30)+TRUNC(U14*参数调整!$G$30)+TRUNC(V14*参数调整!$F$30)+Q14</f>
        <v>0</v>
      </c>
      <c r="X14" s="76">
        <f t="shared" si="2"/>
        <v>0</v>
      </c>
      <c r="Y14" s="131">
        <v>0</v>
      </c>
      <c r="Z14" s="73">
        <f>Y14+第三季度!Y14*0.53653684*0.46055126+第四季度!Y14*0.53653684</f>
        <v>0</v>
      </c>
      <c r="AA14" s="73">
        <f>IF(J14="S",Z14*参数调整!$H$11/($X$29*$J$18),IF(J14="B",Z14*参数调整!$H$12/($X$30*$J$18),IF(J14="Q",Z14*参数调整!$H$13/($X$31*$J$18),Z14*参数调整!$H$14/($X$32*$J$18))))</f>
        <v>0</v>
      </c>
      <c r="AD14" s="308"/>
      <c r="AE14" s="128" t="s">
        <v>98</v>
      </c>
      <c r="AF14" s="131">
        <v>0</v>
      </c>
      <c r="AG14" s="73">
        <f>AF14*参数调整!$F$29</f>
        <v>0</v>
      </c>
      <c r="AI14" s="325"/>
      <c r="AJ14" s="298"/>
      <c r="AK14" s="298"/>
      <c r="AL14" s="128" t="s">
        <v>269</v>
      </c>
      <c r="AM14" s="131">
        <v>2</v>
      </c>
      <c r="AN14" s="128">
        <f>AM14*参数调整!$F$33</f>
        <v>6000</v>
      </c>
      <c r="AO14" s="134"/>
      <c r="AP14" s="134"/>
    </row>
    <row r="15" spans="1:42" ht="14.4" customHeight="1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129">
        <f>参数调整!F57</f>
        <v>74</v>
      </c>
      <c r="D15" s="129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129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106</v>
      </c>
      <c r="S15" s="132">
        <f>SUM(S3:S14)</f>
        <v>0</v>
      </c>
      <c r="T15" s="132">
        <f>SUM(T3:T14)</f>
        <v>0</v>
      </c>
      <c r="U15" s="132">
        <f>SUM(U3:U14)</f>
        <v>0</v>
      </c>
      <c r="V15" s="132">
        <f>SUM(V3:V14)</f>
        <v>900</v>
      </c>
      <c r="AD15" s="308" t="s">
        <v>215</v>
      </c>
      <c r="AE15" s="308"/>
      <c r="AF15" s="131">
        <v>0</v>
      </c>
      <c r="AG15" s="73">
        <f>AF15*参数调整!$B$31</f>
        <v>0</v>
      </c>
      <c r="AI15" s="325"/>
      <c r="AJ15" s="298"/>
      <c r="AK15" s="298"/>
      <c r="AL15" s="128" t="s">
        <v>100</v>
      </c>
      <c r="AM15" s="131">
        <v>0</v>
      </c>
      <c r="AN15" s="128">
        <f>AM15*参数调整!$H$33</f>
        <v>0</v>
      </c>
      <c r="AO15" s="134"/>
      <c r="AP15" s="134"/>
    </row>
    <row r="16" spans="1:42" ht="14.4" customHeight="1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29">
        <f>参数调整!F58</f>
        <v>87</v>
      </c>
      <c r="D16" s="129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87</v>
      </c>
      <c r="E16" s="129">
        <f>参数调整!I58</f>
        <v>1</v>
      </c>
      <c r="F16" s="1">
        <f>D16*G16*(参数调整!$B$6+1)</f>
        <v>0</v>
      </c>
      <c r="G16" s="90">
        <f t="shared" si="0"/>
        <v>0</v>
      </c>
      <c r="H16" s="84"/>
      <c r="AC16" s="73" t="s">
        <v>192</v>
      </c>
      <c r="AD16" s="308" t="s">
        <v>216</v>
      </c>
      <c r="AE16" s="308"/>
      <c r="AF16" s="131">
        <v>0</v>
      </c>
      <c r="AG16" s="73">
        <f>AF16*参数调整!$B$32</f>
        <v>0</v>
      </c>
      <c r="AI16" s="325"/>
      <c r="AJ16" s="299"/>
      <c r="AK16" s="299"/>
      <c r="AL16" s="128" t="s">
        <v>270</v>
      </c>
      <c r="AM16" s="131">
        <v>0</v>
      </c>
      <c r="AN16" s="128">
        <f>AM16*参数调整!$G$33</f>
        <v>0</v>
      </c>
      <c r="AO16" s="134"/>
      <c r="AP16" s="134"/>
    </row>
    <row r="17" spans="1:42" ht="13.8" customHeight="1">
      <c r="J17" s="309" t="s">
        <v>195</v>
      </c>
      <c r="K17" s="309"/>
      <c r="O17">
        <f>SUM(R18:X18)-(SUM(第六季度!R18:X18)-SUM(第六季度!R22:X22))</f>
        <v>4576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W17" s="73" t="s">
        <v>318</v>
      </c>
      <c r="X17" s="73" t="s">
        <v>319</v>
      </c>
      <c r="AB17" s="193" t="str">
        <f>J3</f>
        <v>S</v>
      </c>
      <c r="AC17" s="194">
        <v>70</v>
      </c>
      <c r="AD17" s="308" t="s">
        <v>217</v>
      </c>
      <c r="AE17" s="128" t="s">
        <v>218</v>
      </c>
      <c r="AF17" s="131">
        <v>0</v>
      </c>
      <c r="AG17" s="73">
        <f>AF17*参数调整!$F$3</f>
        <v>0</v>
      </c>
      <c r="AI17" s="325"/>
      <c r="AJ17" s="294" t="s">
        <v>246</v>
      </c>
      <c r="AK17" s="295"/>
      <c r="AL17" s="296"/>
      <c r="AM17" s="132">
        <v>1</v>
      </c>
      <c r="AN17" s="128">
        <f>AM17*参数调整!$B$11*(1+参数调整!$B$12+参数调整!$B$13+参数调整!$B$14+参数调整!$B$15+参数调整!$B$16)</f>
        <v>13459.999999999998</v>
      </c>
      <c r="AO17" s="134"/>
      <c r="AP17" s="134"/>
    </row>
    <row r="18" spans="1:42" ht="13.8" customHeight="1">
      <c r="A18" s="347" t="s">
        <v>197</v>
      </c>
      <c r="B18" s="348"/>
      <c r="G18" s="77">
        <f>SUMIF(E3:E16,0,F3:F16)</f>
        <v>56435.183999999994</v>
      </c>
      <c r="J18" s="310">
        <v>26</v>
      </c>
      <c r="K18" s="311"/>
      <c r="O18">
        <f>SUM(R19:X19)-(SUM(第六季度!R19:X19)-SUM(第六季度!R23:X23))</f>
        <v>5460</v>
      </c>
      <c r="Q18" s="73" t="s">
        <v>176</v>
      </c>
      <c r="R18" s="131">
        <v>598</v>
      </c>
      <c r="S18" s="131">
        <v>520</v>
      </c>
      <c r="T18" s="131">
        <v>520</v>
      </c>
      <c r="U18" s="131">
        <v>650</v>
      </c>
      <c r="V18" s="131">
        <v>728</v>
      </c>
      <c r="W18" s="131">
        <v>780</v>
      </c>
      <c r="X18" s="131">
        <v>780</v>
      </c>
      <c r="AB18" s="193" t="str">
        <f t="shared" ref="AB18:AB28" si="7">J4</f>
        <v>B</v>
      </c>
      <c r="AC18" s="194">
        <v>129</v>
      </c>
      <c r="AD18" s="308"/>
      <c r="AE18" s="128" t="s">
        <v>219</v>
      </c>
      <c r="AF18" s="131">
        <v>0</v>
      </c>
      <c r="AG18" s="73">
        <f>AF18*参数调整!$F$4</f>
        <v>0</v>
      </c>
      <c r="AI18" s="325"/>
      <c r="AJ18" s="327" t="s">
        <v>247</v>
      </c>
      <c r="AK18" s="328"/>
      <c r="AL18" s="128" t="s">
        <v>248</v>
      </c>
      <c r="AM18" s="132">
        <f>AF25+第一季度!AF24+第二季度!AF25+第三季度!AF25+第四季度!AF25</f>
        <v>14</v>
      </c>
      <c r="AN18" s="104">
        <f>AM18*参数调整!$B$10</f>
        <v>14000</v>
      </c>
      <c r="AO18" s="134"/>
      <c r="AP18" s="134"/>
    </row>
    <row r="19" spans="1:42" ht="13.8" customHeight="1">
      <c r="J19" s="310"/>
      <c r="K19" s="311"/>
      <c r="O19">
        <f>SUM(R20:X20)-(SUM(第六季度!R20:X20)-SUM(第六季度!R24:X24))</f>
        <v>6266</v>
      </c>
      <c r="Q19" s="73" t="s">
        <v>177</v>
      </c>
      <c r="R19" s="131">
        <v>624</v>
      </c>
      <c r="S19" s="131">
        <v>650</v>
      </c>
      <c r="T19" s="131">
        <v>728</v>
      </c>
      <c r="U19" s="131">
        <v>780</v>
      </c>
      <c r="V19" s="131">
        <v>780</v>
      </c>
      <c r="W19" s="131">
        <v>988</v>
      </c>
      <c r="X19" s="131">
        <v>910</v>
      </c>
      <c r="AB19" s="193" t="str">
        <f t="shared" si="7"/>
        <v>B</v>
      </c>
      <c r="AC19" s="194">
        <v>67</v>
      </c>
      <c r="AD19" s="308"/>
      <c r="AE19" s="128" t="s">
        <v>220</v>
      </c>
      <c r="AF19" s="131">
        <v>0</v>
      </c>
      <c r="AG19" s="73">
        <f>AF19*参数调整!$F$5</f>
        <v>0</v>
      </c>
      <c r="AI19" s="325"/>
      <c r="AJ19" s="329"/>
      <c r="AK19" s="330"/>
      <c r="AL19" s="128" t="s">
        <v>249</v>
      </c>
      <c r="AM19" s="132">
        <f>AF26+第一季度!AF25+第二季度!AF26+第三季度!AF26+第四季度!AF26</f>
        <v>9</v>
      </c>
      <c r="AN19" s="128">
        <f>AM19*参数调整!$B$10</f>
        <v>9000</v>
      </c>
      <c r="AO19" s="134"/>
      <c r="AP19" s="134"/>
    </row>
    <row r="20" spans="1:42" ht="13.8" customHeight="1">
      <c r="J20" s="310"/>
      <c r="K20" s="311"/>
      <c r="O20">
        <f>SUM(R21:X21)-(SUM(第六季度!R21:X21)-SUM(第六季度!R25:X25))</f>
        <v>7358</v>
      </c>
      <c r="Q20" s="73" t="s">
        <v>178</v>
      </c>
      <c r="R20" s="131">
        <v>728</v>
      </c>
      <c r="S20" s="131">
        <v>780</v>
      </c>
      <c r="T20" s="131">
        <v>780</v>
      </c>
      <c r="U20" s="131">
        <v>988</v>
      </c>
      <c r="V20" s="131">
        <v>910</v>
      </c>
      <c r="W20" s="131">
        <v>1040</v>
      </c>
      <c r="X20" s="131">
        <v>1040</v>
      </c>
      <c r="AB20" s="193" t="str">
        <f t="shared" si="7"/>
        <v>B</v>
      </c>
      <c r="AC20" s="194">
        <v>118</v>
      </c>
      <c r="AD20" s="308"/>
      <c r="AE20" s="128" t="s">
        <v>221</v>
      </c>
      <c r="AF20" s="131">
        <v>0</v>
      </c>
      <c r="AG20" s="73">
        <f>AF20*参数调整!$F$6</f>
        <v>0</v>
      </c>
      <c r="AI20" s="325"/>
      <c r="AJ20" s="327" t="s">
        <v>250</v>
      </c>
      <c r="AK20" s="328"/>
      <c r="AL20" s="128" t="s">
        <v>101</v>
      </c>
      <c r="AM20" s="131">
        <v>0</v>
      </c>
      <c r="AN20" s="128">
        <f>AM20*参数调整!$I$29</f>
        <v>0</v>
      </c>
      <c r="AO20" s="134"/>
      <c r="AP20" s="134"/>
    </row>
    <row r="21" spans="1:42" ht="13.8" customHeight="1">
      <c r="J21" s="309" t="s">
        <v>196</v>
      </c>
      <c r="K21" s="312"/>
      <c r="Q21" s="73" t="s">
        <v>193</v>
      </c>
      <c r="R21" s="131">
        <v>858</v>
      </c>
      <c r="S21" s="131">
        <v>1040</v>
      </c>
      <c r="T21" s="131">
        <v>910</v>
      </c>
      <c r="U21" s="131">
        <v>1040</v>
      </c>
      <c r="V21" s="131">
        <v>1040</v>
      </c>
      <c r="W21" s="131">
        <v>1170</v>
      </c>
      <c r="X21" s="131">
        <v>1300</v>
      </c>
      <c r="AB21" s="193" t="str">
        <f t="shared" si="7"/>
        <v>Q</v>
      </c>
      <c r="AC21" s="194">
        <v>61</v>
      </c>
      <c r="AD21" s="308"/>
      <c r="AE21" s="128" t="s">
        <v>222</v>
      </c>
      <c r="AF21" s="131">
        <v>0</v>
      </c>
      <c r="AG21" s="73">
        <f>AF21*参数调整!$F$7</f>
        <v>0</v>
      </c>
      <c r="AI21" s="325"/>
      <c r="AJ21" s="303"/>
      <c r="AK21" s="331"/>
      <c r="AL21" s="128" t="s">
        <v>269</v>
      </c>
      <c r="AM21" s="131">
        <v>0</v>
      </c>
      <c r="AN21" s="128">
        <f>AM21*参数调整!$F$29</f>
        <v>0</v>
      </c>
      <c r="AO21" s="134"/>
      <c r="AP21" s="134"/>
    </row>
    <row r="22" spans="1:42" ht="13.8" customHeight="1">
      <c r="G22">
        <f>74-16</f>
        <v>58</v>
      </c>
      <c r="J22" s="310">
        <v>26</v>
      </c>
      <c r="K22" s="310"/>
      <c r="Q22" s="300" t="s">
        <v>309</v>
      </c>
      <c r="R22" s="133">
        <f>$J$22*23</f>
        <v>598</v>
      </c>
      <c r="S22" s="133">
        <f>$J$22*20</f>
        <v>520</v>
      </c>
      <c r="T22" s="133">
        <f>$J$22*20</f>
        <v>520</v>
      </c>
      <c r="U22" s="133">
        <f>$J$22*25</f>
        <v>650</v>
      </c>
      <c r="V22" s="133">
        <f>$J$22*28</f>
        <v>728</v>
      </c>
      <c r="W22" s="133">
        <f>$J$22*30</f>
        <v>780</v>
      </c>
      <c r="X22" s="133">
        <f>$J$22*30</f>
        <v>780</v>
      </c>
      <c r="AB22" s="193" t="str">
        <f t="shared" si="7"/>
        <v>Q</v>
      </c>
      <c r="AC22" s="194">
        <v>123</v>
      </c>
      <c r="AD22" s="308"/>
      <c r="AE22" s="128" t="s">
        <v>223</v>
      </c>
      <c r="AF22" s="131">
        <v>0</v>
      </c>
      <c r="AG22" s="73">
        <f>AF22*参数调整!$F$8</f>
        <v>0</v>
      </c>
      <c r="AI22" s="325"/>
      <c r="AJ22" s="303"/>
      <c r="AK22" s="331"/>
      <c r="AL22" s="128" t="s">
        <v>100</v>
      </c>
      <c r="AM22" s="131">
        <v>0</v>
      </c>
      <c r="AN22" s="128">
        <f>AM22*参数调整!$H$29</f>
        <v>0</v>
      </c>
      <c r="AO22" s="134"/>
      <c r="AP22" s="134"/>
    </row>
    <row r="23" spans="1:42" ht="13.8" customHeight="1">
      <c r="J23" s="310"/>
      <c r="K23" s="310"/>
      <c r="Q23" s="301"/>
      <c r="R23" s="133">
        <f>$J$22*24</f>
        <v>624</v>
      </c>
      <c r="S23" s="133">
        <f>$J$22*25</f>
        <v>650</v>
      </c>
      <c r="T23" s="133">
        <f>$J$22*28</f>
        <v>728</v>
      </c>
      <c r="U23" s="133">
        <f>$J$22*30</f>
        <v>780</v>
      </c>
      <c r="V23" s="133">
        <f>$J$22*30</f>
        <v>780</v>
      </c>
      <c r="W23" s="133">
        <f>$J$22*38</f>
        <v>988</v>
      </c>
      <c r="X23" s="133">
        <f>$J$22*35</f>
        <v>910</v>
      </c>
      <c r="AB23" s="193" t="str">
        <f t="shared" si="7"/>
        <v>Q</v>
      </c>
      <c r="AC23" s="194">
        <v>102</v>
      </c>
      <c r="AD23" s="294" t="s">
        <v>352</v>
      </c>
      <c r="AE23" s="296"/>
      <c r="AF23" s="131">
        <v>0</v>
      </c>
      <c r="AG23" s="73">
        <f>AF23*参数调整!$C$40</f>
        <v>0</v>
      </c>
      <c r="AI23" s="325"/>
      <c r="AJ23" s="329"/>
      <c r="AK23" s="330"/>
      <c r="AL23" s="128" t="s">
        <v>270</v>
      </c>
      <c r="AM23" s="131">
        <v>0</v>
      </c>
      <c r="AN23" s="128">
        <f>AM23*参数调整!$G$29</f>
        <v>0</v>
      </c>
      <c r="AO23" s="134"/>
      <c r="AP23" s="134"/>
    </row>
    <row r="24" spans="1:42" ht="13.8" customHeight="1">
      <c r="J24" s="310"/>
      <c r="K24" s="310"/>
      <c r="Q24" s="301"/>
      <c r="R24" s="133">
        <f>$J$22*28</f>
        <v>728</v>
      </c>
      <c r="S24" s="133">
        <f>$J$22*30</f>
        <v>780</v>
      </c>
      <c r="T24" s="133">
        <f>$J$22*30</f>
        <v>780</v>
      </c>
      <c r="U24" s="133">
        <f>$J$22*38</f>
        <v>988</v>
      </c>
      <c r="V24" s="133">
        <f>$J$22*35</f>
        <v>910</v>
      </c>
      <c r="W24" s="133">
        <f>$J$22*40</f>
        <v>1040</v>
      </c>
      <c r="X24" s="133">
        <f>$J$22*40</f>
        <v>1040</v>
      </c>
      <c r="AB24" s="193" t="str">
        <f t="shared" si="7"/>
        <v>L</v>
      </c>
      <c r="AC24" s="194">
        <v>195</v>
      </c>
      <c r="AD24" s="294" t="s">
        <v>353</v>
      </c>
      <c r="AE24" s="296"/>
      <c r="AF24" s="131">
        <v>1</v>
      </c>
      <c r="AG24" s="73">
        <f>AF24*参数调整!$C$41</f>
        <v>30000</v>
      </c>
      <c r="AI24" s="325"/>
      <c r="AJ24" s="327" t="s">
        <v>251</v>
      </c>
      <c r="AK24" s="328"/>
      <c r="AL24" s="128" t="s">
        <v>252</v>
      </c>
      <c r="AM24" s="131">
        <v>0</v>
      </c>
      <c r="AN24" s="128">
        <f>AM24*参数调整!$F$23</f>
        <v>0</v>
      </c>
      <c r="AO24" s="134"/>
      <c r="AP24" s="134"/>
    </row>
    <row r="25" spans="1:42" ht="13.8" customHeight="1">
      <c r="Q25" s="302"/>
      <c r="R25" s="133">
        <f>$J$22*33</f>
        <v>858</v>
      </c>
      <c r="S25" s="133">
        <f>$J$22*40</f>
        <v>1040</v>
      </c>
      <c r="T25" s="133">
        <f>$J$22*35</f>
        <v>910</v>
      </c>
      <c r="U25" s="133">
        <f>$J$22*40</f>
        <v>1040</v>
      </c>
      <c r="V25" s="133">
        <f>$J$22*40</f>
        <v>1040</v>
      </c>
      <c r="W25" s="133">
        <f>$J$22*45</f>
        <v>1170</v>
      </c>
      <c r="X25" s="133">
        <f>$J$22*50</f>
        <v>1300</v>
      </c>
      <c r="AB25" s="193">
        <f t="shared" si="7"/>
        <v>0</v>
      </c>
      <c r="AC25" s="194"/>
      <c r="AD25" s="308" t="s">
        <v>224</v>
      </c>
      <c r="AE25" s="308"/>
      <c r="AF25" s="131">
        <v>0</v>
      </c>
      <c r="AG25" s="73">
        <f>AF25*参数调整!$F$18</f>
        <v>0</v>
      </c>
      <c r="AI25" s="325"/>
      <c r="AJ25" s="303"/>
      <c r="AK25" s="331"/>
      <c r="AL25" s="128" t="s">
        <v>253</v>
      </c>
      <c r="AM25" s="131">
        <v>0</v>
      </c>
      <c r="AN25" s="128">
        <f>AM25*参数调整!$H$23</f>
        <v>0</v>
      </c>
      <c r="AO25" s="134"/>
      <c r="AP25" s="134"/>
    </row>
    <row r="26" spans="1:42" ht="13.8" customHeight="1">
      <c r="AB26" s="193">
        <f t="shared" si="7"/>
        <v>0</v>
      </c>
      <c r="AC26" s="194"/>
      <c r="AD26" s="308" t="s">
        <v>225</v>
      </c>
      <c r="AE26" s="308"/>
      <c r="AF26" s="131">
        <v>0</v>
      </c>
      <c r="AG26" s="73">
        <f>AF26*参数调整!$F$17</f>
        <v>0</v>
      </c>
      <c r="AI26" s="325"/>
      <c r="AJ26" s="329"/>
      <c r="AK26" s="330"/>
      <c r="AL26" s="128" t="s">
        <v>254</v>
      </c>
      <c r="AM26" s="131">
        <v>0</v>
      </c>
      <c r="AN26" s="128">
        <f>AM26*参数调整!$J$23</f>
        <v>0</v>
      </c>
      <c r="AO26" s="134"/>
      <c r="AP26" s="134"/>
    </row>
    <row r="27" spans="1:42" ht="13.8" customHeight="1">
      <c r="AB27" s="193">
        <f t="shared" si="7"/>
        <v>0</v>
      </c>
      <c r="AC27" s="194"/>
      <c r="AD27" s="308" t="s">
        <v>226</v>
      </c>
      <c r="AE27" s="308"/>
      <c r="AF27" s="308"/>
      <c r="AG27" s="73">
        <f>SUM(Y3:Y14)</f>
        <v>16092.924500000001</v>
      </c>
      <c r="AI27" s="325"/>
      <c r="AJ27" s="294" t="s">
        <v>255</v>
      </c>
      <c r="AK27" s="295"/>
      <c r="AL27" s="296"/>
      <c r="AM27" s="132">
        <f>AM19</f>
        <v>9</v>
      </c>
      <c r="AN27" s="128">
        <f>AM27*参数调整!$J$17*(1+参数调整!$B$12+参数调整!$B$13+参数调整!$B$14+参数调整!$B$15+参数调整!$B$16)</f>
        <v>48455.999999999993</v>
      </c>
      <c r="AO27" s="134"/>
      <c r="AP27" s="134"/>
    </row>
    <row r="28" spans="1:42" ht="13.8" customHeight="1">
      <c r="J28" s="1"/>
      <c r="P28" s="1"/>
      <c r="Q28" s="73" t="s">
        <v>310</v>
      </c>
      <c r="R28" s="73" t="s">
        <v>322</v>
      </c>
      <c r="S28" s="73" t="s">
        <v>311</v>
      </c>
      <c r="T28" s="73" t="s">
        <v>312</v>
      </c>
      <c r="U28" s="73" t="s">
        <v>313</v>
      </c>
      <c r="V28" s="73" t="s">
        <v>314</v>
      </c>
      <c r="W28" s="73" t="s">
        <v>191</v>
      </c>
      <c r="X28" s="73" t="s">
        <v>274</v>
      </c>
      <c r="Y28" s="73" t="s">
        <v>315</v>
      </c>
      <c r="Z28" s="1"/>
      <c r="AB28" s="193">
        <f t="shared" si="7"/>
        <v>0</v>
      </c>
      <c r="AC28" s="194"/>
      <c r="AD28" s="308" t="s">
        <v>227</v>
      </c>
      <c r="AE28" s="308"/>
      <c r="AF28" s="308"/>
      <c r="AG28" s="73">
        <f>G18</f>
        <v>56435.183999999994</v>
      </c>
      <c r="AI28" s="325"/>
      <c r="AJ28" s="297" t="s">
        <v>256</v>
      </c>
      <c r="AK28" s="316" t="s">
        <v>257</v>
      </c>
      <c r="AL28" s="334" t="s">
        <v>176</v>
      </c>
      <c r="AM28" s="332">
        <v>0</v>
      </c>
      <c r="AN28" s="297">
        <f>AM28*参数调整!$B$30*参数调整!F11</f>
        <v>0</v>
      </c>
      <c r="AO28" s="134"/>
      <c r="AP28" s="134"/>
    </row>
    <row r="29" spans="1:42" ht="13.8" customHeight="1">
      <c r="J29" s="73" t="str">
        <f t="shared" ref="J29:J40" si="8">J3</f>
        <v>S</v>
      </c>
      <c r="K29" s="73">
        <f>第四季度!W3-第五季度!Q3+第五季度!R3</f>
        <v>99</v>
      </c>
      <c r="L29" s="73"/>
      <c r="M29" s="73"/>
      <c r="N29" s="73"/>
      <c r="O29" s="73"/>
      <c r="P29" s="73"/>
      <c r="Q29" s="131">
        <v>648</v>
      </c>
      <c r="R29" s="73">
        <f>IF(J29="S",K29*100/(SUM(第四季度!$R$18:$X$18)-$Q$29),IF(J29="B",K29*100/(SUM(第四季度!$R$19:$X$19)-$Q$30),IF(J29="Q",K29*100/(SUM(第四季度!$R$20:$X$20)-$Q$31),IF(第一季度!$R$22=0,K29*100/(SUM(第四季度!$R$21:$X$21)-$Q$32)))))</f>
        <v>1.91415313225058</v>
      </c>
      <c r="S29" s="73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-1.3094990646435323E-3</v>
      </c>
      <c r="T29" s="131">
        <v>0.39</v>
      </c>
      <c r="U29" s="73">
        <f>R29+S29-T29</f>
        <v>1.5228436331859365</v>
      </c>
      <c r="V29" s="73">
        <f>IF(J29="S",Z3*参数调整!$H$11/($X$29*$J$18),IF(J29="B",Z3*参数调整!$H$12/($X$30*$J$18),IF(J29="Q",Z3*参数调整!$H$13/($X$31*$J$18),Z3*参数调整!$H$14/($X$32*$J$18))))</f>
        <v>0.24701313615442466</v>
      </c>
      <c r="W29" s="131">
        <v>15445.41429707058</v>
      </c>
      <c r="X29" s="1">
        <f>W29+第三季度!W29*0.53653684*0.46055126+第四季度!W29*0.53653684</f>
        <v>23040.408736012752</v>
      </c>
      <c r="Y29" s="73">
        <f>U29+V29</f>
        <v>1.7698567693403611</v>
      </c>
      <c r="Z29" s="91">
        <v>19806.463561912184</v>
      </c>
      <c r="AD29" s="308" t="s">
        <v>228</v>
      </c>
      <c r="AE29" s="308"/>
      <c r="AF29" s="308"/>
      <c r="AG29" s="98">
        <f>AG3+AG4*(1-参数调整!$B$18)-SUM(AG5:AG28)</f>
        <v>-76580.068499999994</v>
      </c>
      <c r="AH29" s="98">
        <f>AG29/(1-参数调整!B23)</f>
        <v>-78948.524226804118</v>
      </c>
      <c r="AI29" s="325"/>
      <c r="AJ29" s="298"/>
      <c r="AK29" s="317"/>
      <c r="AL29" s="335"/>
      <c r="AM29" s="333"/>
      <c r="AN29" s="299"/>
      <c r="AO29" s="134"/>
      <c r="AP29" s="134"/>
    </row>
    <row r="30" spans="1:42" ht="13.8" customHeight="1">
      <c r="J30" s="73" t="str">
        <f t="shared" si="8"/>
        <v>B</v>
      </c>
      <c r="K30" s="73">
        <f>第四季度!W4-第五季度!Q4+第五季度!R4</f>
        <v>144</v>
      </c>
      <c r="L30" s="73"/>
      <c r="M30" s="73"/>
      <c r="N30" s="73"/>
      <c r="O30" s="73"/>
      <c r="P30" s="73"/>
      <c r="Q30" s="131">
        <v>622</v>
      </c>
      <c r="R30" s="73">
        <f>IF(J30="S",K30*100/(SUM(第四季度!$R$18:$X$18)-$Q$29),IF(J30="B",K30*100/(SUM(第四季度!$R$19:$X$19)-$Q$30),IF(J30="Q",K30*100/(SUM(第四季度!$R$20:$X$20)-$Q$31),IF(第一季度!$R$22=0,K30*100/(SUM(第四季度!$R$21:$X$21)-$Q$32)))))</f>
        <v>2.3270846800258567</v>
      </c>
      <c r="S30" s="73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-6.2548318096099786E-3</v>
      </c>
      <c r="T30" s="131">
        <v>0</v>
      </c>
      <c r="U30" s="73">
        <f t="shared" ref="U30:U40" si="9">R30+S30-T30</f>
        <v>2.3208298482162468</v>
      </c>
      <c r="V30" s="73">
        <f>IF(J30="S",Z4*参数调整!$H$11/($X$29*$J$18),IF(J30="B",Z4*参数调整!$H$12/($X$30*$J$18),IF(J30="Q",Z4*参数调整!$H$13/($X$31*$J$18),Z4*参数调整!$H$14/($X$32*$J$18))))</f>
        <v>0.18331343752515444</v>
      </c>
      <c r="W30" s="131">
        <v>29522.19255819653</v>
      </c>
      <c r="X30" s="1">
        <f>W30+第三季度!W30*0.53653684*0.46055126+第四季度!W30*0.53653684</f>
        <v>40737.602915213502</v>
      </c>
      <c r="Y30" s="73">
        <f t="shared" ref="Y30:Y40" si="10">U30+V30</f>
        <v>2.5041432857414012</v>
      </c>
      <c r="Z30" s="91">
        <v>31560.45576019576</v>
      </c>
      <c r="AD30" s="294" t="s">
        <v>317</v>
      </c>
      <c r="AE30" s="295"/>
      <c r="AF30" s="296"/>
      <c r="AG30" s="131">
        <v>75061.350000000006</v>
      </c>
      <c r="AI30" s="325"/>
      <c r="AJ30" s="298"/>
      <c r="AK30" s="317"/>
      <c r="AL30" s="334" t="s">
        <v>177</v>
      </c>
      <c r="AM30" s="332">
        <v>0</v>
      </c>
      <c r="AN30" s="297">
        <f>参数调整!F12*AM30*参数调整!$B$30</f>
        <v>0</v>
      </c>
      <c r="AO30" s="134"/>
      <c r="AP30" s="134"/>
    </row>
    <row r="31" spans="1:42">
      <c r="J31" s="73" t="str">
        <f t="shared" si="8"/>
        <v>B</v>
      </c>
      <c r="K31" s="73">
        <f>第四季度!W5-第五季度!Q5+第五季度!R5</f>
        <v>96</v>
      </c>
      <c r="L31" s="73"/>
      <c r="M31" s="73"/>
      <c r="N31" s="73"/>
      <c r="O31" s="73"/>
      <c r="P31" s="73"/>
      <c r="Q31" s="131">
        <v>725</v>
      </c>
      <c r="R31" s="73">
        <f>IF(J31="S",K31*100/(SUM(第四季度!$R$18:$X$18)-$Q$29),IF(J31="B",K31*100/(SUM(第四季度!$R$19:$X$19)-$Q$30),IF(J31="Q",K31*100/(SUM(第四季度!$R$20:$X$20)-$Q$31),IF(第一季度!$R$22=0,K31*100/(SUM(第四季度!$R$21:$X$21)-$Q$32)))))</f>
        <v>1.5513897866839044</v>
      </c>
      <c r="S31" s="73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1.2104982553307039E-2</v>
      </c>
      <c r="T31" s="131">
        <v>0.03</v>
      </c>
      <c r="U31" s="73">
        <f t="shared" si="9"/>
        <v>1.5334947692372114</v>
      </c>
      <c r="V31" s="73">
        <f>IF(J31="S",Z5*参数调整!$H$11/($X$29*$J$18),IF(J31="B",Z5*参数调整!$H$12/($X$30*$J$18),IF(J31="Q",Z5*参数调整!$H$13/($X$31*$J$18),Z5*参数调整!$H$14/($X$32*$J$18))))</f>
        <v>6.6089006216471499E-2</v>
      </c>
      <c r="W31" s="131">
        <v>12679.578845472939</v>
      </c>
      <c r="X31" s="1">
        <f>W31+第三季度!W31*0.53653684*0.46055126+第四季度!W31*0.53653684</f>
        <v>18337.44055296735</v>
      </c>
      <c r="Y31" s="73">
        <f t="shared" si="10"/>
        <v>1.5995837754536828</v>
      </c>
      <c r="Z31" s="91">
        <v>15922.8077108695</v>
      </c>
      <c r="AD31" s="294" t="s">
        <v>228</v>
      </c>
      <c r="AE31" s="295"/>
      <c r="AF31" s="296"/>
      <c r="AG31" s="98">
        <f>AG30*(1-参数调整!B23)+AG29</f>
        <v>-3770.5589999999938</v>
      </c>
      <c r="AI31" s="325"/>
      <c r="AJ31" s="298"/>
      <c r="AK31" s="317"/>
      <c r="AL31" s="335"/>
      <c r="AM31" s="333"/>
      <c r="AN31" s="299"/>
      <c r="AO31" s="134"/>
      <c r="AP31" s="134"/>
    </row>
    <row r="32" spans="1:42">
      <c r="J32" s="73" t="str">
        <f t="shared" si="8"/>
        <v>B</v>
      </c>
      <c r="K32" s="73">
        <f>第四季度!W6-第五季度!Q6+第五季度!R6</f>
        <v>89</v>
      </c>
      <c r="L32" s="73"/>
      <c r="M32" s="73"/>
      <c r="N32" s="73"/>
      <c r="O32" s="73"/>
      <c r="P32" s="73"/>
      <c r="Q32" s="131">
        <v>1028</v>
      </c>
      <c r="R32" s="73">
        <f>IF(J32="S",K32*100/(SUM(第四季度!$R$18:$X$18)-$Q$29),IF(J32="B",K32*100/(SUM(第四季度!$R$19:$X$19)-$Q$30),IF(J32="Q",K32*100/(SUM(第四季度!$R$20:$X$20)-$Q$31),IF(第一季度!$R$22=0,K32*100/(SUM(第四季度!$R$21:$X$21)-$Q$32)))))</f>
        <v>1.438267614738203</v>
      </c>
      <c r="S32" s="73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1.0614845432810383E-2</v>
      </c>
      <c r="T32" s="131">
        <v>0</v>
      </c>
      <c r="U32" s="73">
        <f t="shared" si="9"/>
        <v>1.4488824601710133</v>
      </c>
      <c r="V32" s="73">
        <f>IF(J32="S",Z6*参数调整!$H$11/($X$29*$J$18),IF(J32="B",Z6*参数调整!$H$12/($X$30*$J$18),IF(J32="Q",Z6*参数调整!$H$13/($X$31*$J$18),Z6*参数调整!$H$14/($X$32*$J$18))))</f>
        <v>0</v>
      </c>
      <c r="W32" s="200">
        <v>2562.1827354964812</v>
      </c>
      <c r="X32" s="1">
        <f>W32+第三季度!W32*0.53653684*0.46055126+第四季度!W32*0.53653684</f>
        <v>3747.162839710581</v>
      </c>
      <c r="Y32" s="73">
        <f t="shared" si="10"/>
        <v>1.4488824601710133</v>
      </c>
      <c r="Z32" s="91">
        <v>0</v>
      </c>
      <c r="AI32" s="325"/>
      <c r="AJ32" s="298"/>
      <c r="AK32" s="317"/>
      <c r="AL32" s="334" t="s">
        <v>178</v>
      </c>
      <c r="AM32" s="332">
        <v>0</v>
      </c>
      <c r="AN32" s="297">
        <f>参数调整!F13*AM32*参数调整!$B$30</f>
        <v>0</v>
      </c>
      <c r="AO32" s="134"/>
      <c r="AP32" s="134"/>
    </row>
    <row r="33" spans="1:42">
      <c r="A33" s="73" t="s">
        <v>312</v>
      </c>
      <c r="B33" s="73" t="s">
        <v>191</v>
      </c>
      <c r="J33" s="73" t="str">
        <f t="shared" si="8"/>
        <v>Q</v>
      </c>
      <c r="K33" s="73">
        <f>第四季度!W7-第五季度!Q7+第五季度!R7</f>
        <v>151</v>
      </c>
      <c r="L33" s="73"/>
      <c r="M33" s="73"/>
      <c r="N33" s="73"/>
      <c r="O33" s="73"/>
      <c r="P33" s="73"/>
      <c r="R33" s="73">
        <f>IF(J33="S",K33*100/(SUM(第四季度!$R$18:$X$18)-$Q$29),IF(J33="B",K33*100/(SUM(第四季度!$R$19:$X$19)-$Q$30),IF(J33="Q",K33*100/(SUM(第四季度!$R$20:$X$20)-$Q$31),IF(第一季度!$R$22=0,K33*100/(SUM(第四季度!$R$21:$X$21)-$Q$32)))))</f>
        <v>2.1433640880056779</v>
      </c>
      <c r="S33" s="73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3.1746031746031744E-2</v>
      </c>
      <c r="T33" s="131">
        <v>0</v>
      </c>
      <c r="U33" s="73">
        <f t="shared" si="9"/>
        <v>2.1751101197517095</v>
      </c>
      <c r="V33" s="73">
        <f>IF(J33="S",Z7*参数调整!$H$11/($X$29*$J$18),IF(J33="B",Z7*参数调整!$H$12/($X$30*$J$18),IF(J33="Q",Z7*参数调整!$H$13/($X$31*$J$18),Z7*参数调整!$H$14/($X$32*$J$18))))</f>
        <v>0</v>
      </c>
      <c r="W33" s="1"/>
      <c r="X33" s="1"/>
      <c r="Y33" s="73">
        <f t="shared" si="10"/>
        <v>2.1751101197517095</v>
      </c>
      <c r="Z33" s="1"/>
      <c r="AI33" s="325"/>
      <c r="AJ33" s="298"/>
      <c r="AK33" s="317"/>
      <c r="AL33" s="335"/>
      <c r="AM33" s="333"/>
      <c r="AN33" s="299"/>
      <c r="AO33" s="134"/>
      <c r="AP33" s="134"/>
    </row>
    <row r="34" spans="1:42">
      <c r="A34" s="131">
        <v>0.34</v>
      </c>
      <c r="B34" s="73">
        <f>((AB3*参数调整!H11/A34)-第三季度!W29*$J$18*0.536537*0.46055126-第四季度!W29*$J$18*0.536537)/$J$18</f>
        <v>9144.0727672293742</v>
      </c>
      <c r="J34" s="73" t="str">
        <f t="shared" si="8"/>
        <v>Q</v>
      </c>
      <c r="K34" s="73">
        <f>第四季度!W8-第五季度!Q8+第五季度!R8</f>
        <v>145</v>
      </c>
      <c r="L34" s="73"/>
      <c r="M34" s="73"/>
      <c r="N34" s="73"/>
      <c r="O34" s="73"/>
      <c r="P34" s="73"/>
      <c r="R34" s="73">
        <f>IF(J34="S",K34*100/(SUM(第四季度!$R$18:$X$18)-$Q$29),IF(J34="B",K34*100/(SUM(第四季度!$R$19:$X$19)-$Q$30),IF(J34="Q",K34*100/(SUM(第四季度!$R$20:$X$20)-$Q$31),IF(第一季度!$R$22=0,K34*100/(SUM(第四季度!$R$21:$X$21)-$Q$32)))))</f>
        <v>2.0581973030518097</v>
      </c>
      <c r="S34" s="73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2.6984126984126999E-2</v>
      </c>
      <c r="T34" s="131">
        <v>0.25</v>
      </c>
      <c r="U34" s="73">
        <f t="shared" si="9"/>
        <v>1.8351814300359366</v>
      </c>
      <c r="V34" s="73">
        <f>IF(J34="S",Z8*参数调整!$H$11/($X$29*$J$18),IF(J34="B",Z8*参数调整!$H$12/($X$30*$J$18),IF(J34="Q",Z8*参数调整!$H$13/($X$31*$J$18),Z8*参数调整!$H$14/($X$32*$J$18))))</f>
        <v>0.17564708506978771</v>
      </c>
      <c r="W34" s="1"/>
      <c r="X34" s="1"/>
      <c r="Y34" s="73">
        <f t="shared" si="10"/>
        <v>2.0108285151057244</v>
      </c>
      <c r="Z34" s="1"/>
      <c r="AI34" s="325"/>
      <c r="AJ34" s="298"/>
      <c r="AK34" s="317"/>
      <c r="AL34" s="334" t="s">
        <v>193</v>
      </c>
      <c r="AM34" s="332">
        <v>0</v>
      </c>
      <c r="AN34" s="297">
        <f>参数调整!F14*AM34*参数调整!$B$30</f>
        <v>0</v>
      </c>
      <c r="AO34" s="134"/>
      <c r="AP34" s="134"/>
    </row>
    <row r="35" spans="1:42">
      <c r="A35" s="131">
        <v>7.0000000000000007E-2</v>
      </c>
      <c r="B35" s="73">
        <f>((AB4*参数调整!H12/A35)-第三季度!W30*$J$18*0.536537*0.46055126-第四季度!W30*$J$18*0.536537)/$J$18</f>
        <v>269435.02086274559</v>
      </c>
      <c r="J35" s="73" t="str">
        <f t="shared" si="8"/>
        <v>Q</v>
      </c>
      <c r="K35" s="73">
        <f>第四季度!W9-第五季度!Q9+第五季度!R9</f>
        <v>193</v>
      </c>
      <c r="L35" s="73"/>
      <c r="M35" s="73"/>
      <c r="N35" s="73"/>
      <c r="O35" s="73"/>
      <c r="P35" s="73"/>
      <c r="R35" s="73">
        <f>IF(J35="S",K35*100/(SUM(第四季度!$R$18:$X$18)-$Q$29),IF(J35="B",K35*100/(SUM(第四季度!$R$19:$X$19)-$Q$30),IF(J35="Q",K35*100/(SUM(第四季度!$R$20:$X$20)-$Q$31),IF(第一季度!$R$22=0,K35*100/(SUM(第四季度!$R$21:$X$21)-$Q$32)))))</f>
        <v>2.7395315826827535</v>
      </c>
      <c r="S35" s="73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-9.1644204851751843E-3</v>
      </c>
      <c r="T35" s="131">
        <v>0</v>
      </c>
      <c r="U35" s="73">
        <f t="shared" si="9"/>
        <v>2.7303671621975782</v>
      </c>
      <c r="V35" s="73">
        <f>IF(J35="S",Z9*参数调整!$H$11/($X$29*$J$18),IF(J35="B",Z9*参数调整!$H$12/($X$30*$J$18),IF(J35="Q",Z9*参数调整!$H$13/($X$31*$J$18),Z9*参数调整!$H$14/($X$32*$J$18))))</f>
        <v>0.27937279662414649</v>
      </c>
      <c r="W35" s="1"/>
      <c r="X35" s="1"/>
      <c r="Y35" s="73">
        <f t="shared" si="10"/>
        <v>3.0097399588217248</v>
      </c>
      <c r="Z35" s="1"/>
      <c r="AI35" s="325"/>
      <c r="AJ35" s="299"/>
      <c r="AK35" s="318"/>
      <c r="AL35" s="335"/>
      <c r="AM35" s="333"/>
      <c r="AN35" s="299"/>
      <c r="AO35" s="128" t="s">
        <v>258</v>
      </c>
      <c r="AP35" s="128" t="s">
        <v>259</v>
      </c>
    </row>
    <row r="36" spans="1:42">
      <c r="A36" s="131">
        <v>0.24</v>
      </c>
      <c r="B36" s="73">
        <f>((AB5*参数调整!H13/A36)-第三季度!W31*$J$18*0.536537*0.46055126-第四季度!W31*$J$18*0.536537)/$J$18</f>
        <v>29108.386734367989</v>
      </c>
      <c r="D36" s="304" t="s">
        <v>306</v>
      </c>
      <c r="E36" s="291" t="s">
        <v>302</v>
      </c>
      <c r="J36" s="73" t="str">
        <f t="shared" si="8"/>
        <v>L</v>
      </c>
      <c r="K36" s="73">
        <f>第四季度!W10-第五季度!Q10+第五季度!R10</f>
        <v>212</v>
      </c>
      <c r="L36" s="73"/>
      <c r="M36" s="73"/>
      <c r="N36" s="73"/>
      <c r="O36" s="73"/>
      <c r="P36" s="73"/>
      <c r="R36" s="73">
        <f>IF(J36="S",K36*100/(SUM(第四季度!$R$18:$X$18)-$Q$29),IF(J36="B",K36*100/(SUM(第四季度!$R$19:$X$19)-$Q$30),IF(J36="Q",K36*100/(SUM(第四季度!$R$20:$X$20)-$Q$31),IF(第一季度!$R$22=0,K36*100/(SUM(第四季度!$R$21:$X$21)-$Q$32)))))</f>
        <v>2.6593075765178122</v>
      </c>
      <c r="S36" s="73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2.1579645869417616E-2</v>
      </c>
      <c r="T36" s="131">
        <v>0.05</v>
      </c>
      <c r="U36" s="73">
        <f t="shared" si="9"/>
        <v>2.6308872223872299</v>
      </c>
      <c r="V36" s="73">
        <f>IF(J36="S",Z10*参数调整!$H$11/($X$29*$J$18),IF(J36="B",Z10*参数调整!$H$12/($X$30*$J$18),IF(J36="Q",Z10*参数调整!$H$13/($X$31*$J$18),Z10*参数调整!$H$14/($X$32*$J$18))))</f>
        <v>0.2450739472218772</v>
      </c>
      <c r="W36" s="1"/>
      <c r="X36" s="1"/>
      <c r="Y36" s="73">
        <f t="shared" si="10"/>
        <v>2.875961169609107</v>
      </c>
      <c r="Z36" s="1"/>
      <c r="AI36" s="326"/>
      <c r="AJ36" s="294" t="s">
        <v>260</v>
      </c>
      <c r="AK36" s="295"/>
      <c r="AL36" s="295"/>
      <c r="AM36" s="296"/>
      <c r="AN36" s="98">
        <f>AN2-SUM(AN5:AN19)+SUM(AN20:AN26)-SUM(AN27:AN35)+AO36*(1-参数调整!B23)+AP36*(1-参数调整!B24)-第二季度!AG4</f>
        <v>98167.983999999997</v>
      </c>
      <c r="AO36" s="131">
        <v>110401.2</v>
      </c>
      <c r="AP36" s="192">
        <v>32818.5</v>
      </c>
    </row>
    <row r="37" spans="1:42">
      <c r="A37" s="131">
        <v>0.06</v>
      </c>
      <c r="B37" s="73">
        <f>((AB6*参数调整!H14/A37)-第三季度!W32*$J$18*0.536537*0.46055126-第四季度!W32*$J$18*0.536537)/$J$18</f>
        <v>14120.552675931262</v>
      </c>
      <c r="D37" s="304"/>
      <c r="E37" s="291"/>
      <c r="J37" s="73">
        <f t="shared" si="8"/>
        <v>0</v>
      </c>
      <c r="K37" s="73">
        <f>第四季度!W11-第五季度!Q11+第五季度!R11</f>
        <v>0</v>
      </c>
      <c r="L37" s="73"/>
      <c r="M37" s="73"/>
      <c r="N37" s="73"/>
      <c r="O37" s="73"/>
      <c r="P37" s="73"/>
      <c r="R37" s="73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73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131">
        <v>0</v>
      </c>
      <c r="U37" s="73">
        <f t="shared" si="9"/>
        <v>0</v>
      </c>
      <c r="V37" s="73">
        <f>IF(J37="S",Z11*参数调整!$H$11/($X$29*$J$18),IF(J37="B",Z11*参数调整!$H$12/($X$30*$J$18),IF(J37="Q",Z11*参数调整!$H$13/($X$31*$J$18),Z11*参数调整!$H$14/($X$32*$J$18))))</f>
        <v>0</v>
      </c>
      <c r="Y37" s="73">
        <f t="shared" si="10"/>
        <v>0</v>
      </c>
      <c r="AI37" s="321" t="s">
        <v>429</v>
      </c>
      <c r="AJ37" s="294" t="s">
        <v>262</v>
      </c>
      <c r="AK37" s="295"/>
      <c r="AL37" s="295"/>
      <c r="AM37" s="296"/>
      <c r="AN37" s="132">
        <f>AO3-AO36</f>
        <v>264829.5</v>
      </c>
      <c r="AO37" s="134"/>
      <c r="AP37" s="134"/>
    </row>
    <row r="38" spans="1:42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134">
        <f>第四季度!G3+第四季度!H3+第四季度!E38-第四季度!B3</f>
        <v>0</v>
      </c>
      <c r="J38" s="73">
        <f t="shared" si="8"/>
        <v>0</v>
      </c>
      <c r="K38" s="73">
        <f>第四季度!W12-第五季度!Q12+第五季度!R12</f>
        <v>0</v>
      </c>
      <c r="L38" s="73"/>
      <c r="M38" s="73"/>
      <c r="N38" s="73"/>
      <c r="O38" s="73"/>
      <c r="P38" s="73"/>
      <c r="R38" s="73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73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131">
        <v>0</v>
      </c>
      <c r="U38" s="73">
        <f t="shared" si="9"/>
        <v>0</v>
      </c>
      <c r="V38" s="73">
        <f>IF(J38="S",Z12*参数调整!$H$11/($X$29*$J$18),IF(J38="B",Z12*参数调整!$H$12/($X$30*$J$18),IF(J38="Q",Z12*参数调整!$H$13/($X$31*$J$18),Z12*参数调整!$H$14/($X$32*$J$18))))</f>
        <v>0</v>
      </c>
      <c r="Y38" s="73">
        <f t="shared" si="10"/>
        <v>0</v>
      </c>
      <c r="AI38" s="322"/>
      <c r="AJ38" s="294" t="s">
        <v>263</v>
      </c>
      <c r="AK38" s="295"/>
      <c r="AL38" s="295"/>
      <c r="AM38" s="296"/>
      <c r="AN38" s="132">
        <f>(G3*D3*E3+G4*D4*E4+G5*D5*1.5*E5+G6*D6*E6+G7*E7*D7+G8*E8*D8+G9*E9*D9+G10*E10*D10+G11*E11*D11+G12*E12*D12+G13*E13*D13*1.5+G14*E14*D14*1.5+G15*E15*D15*1.5+G16*E16*D16*1.5)*(1+参数调整!B6)</f>
        <v>98996.27399999999</v>
      </c>
      <c r="AO38" s="134"/>
      <c r="AP38" s="134"/>
    </row>
    <row r="39" spans="1:42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134">
        <f>第四季度!G4+第四季度!H4+第四季度!E39-第四季度!B4</f>
        <v>0</v>
      </c>
      <c r="J39" s="73">
        <f t="shared" si="8"/>
        <v>0</v>
      </c>
      <c r="K39" s="73">
        <f>第四季度!W13-第五季度!Q13+第五季度!R13</f>
        <v>0</v>
      </c>
      <c r="L39" s="73"/>
      <c r="M39" s="73"/>
      <c r="N39" s="73"/>
      <c r="O39" s="73"/>
      <c r="P39" s="73"/>
      <c r="R39" s="73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73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131">
        <v>0</v>
      </c>
      <c r="U39" s="73">
        <f t="shared" si="9"/>
        <v>0</v>
      </c>
      <c r="V39" s="73">
        <f>IF(J39="S",Z13*参数调整!$H$11/($X$29*$J$18),IF(J39="B",Z13*参数调整!$H$12/($X$30*$J$18),IF(J39="Q",Z13*参数调整!$H$13/($X$31*$J$18),Z13*参数调整!$H$14/($X$32*$J$18))))</f>
        <v>0</v>
      </c>
      <c r="Y39" s="73">
        <f t="shared" si="10"/>
        <v>0</v>
      </c>
      <c r="AI39" s="322"/>
      <c r="AJ39" s="294" t="s">
        <v>264</v>
      </c>
      <c r="AK39" s="295"/>
      <c r="AL39" s="295"/>
      <c r="AM39" s="296"/>
      <c r="AN39" s="132">
        <f>H5*D40*(1+参数调整!B6)+H13*D48*(1+参数调整!B6)+H14*D49*(1+参数调整!B6)+H15*D50*(1+参数调整!B6)+H16*D51*(1+参数调整!B6)</f>
        <v>39823.758000000002</v>
      </c>
      <c r="AO39" s="134"/>
    </row>
    <row r="40" spans="1:42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114</v>
      </c>
      <c r="E40" s="134">
        <f>第四季度!G5+第四季度!H5+第四季度!E40-第四季度!B5</f>
        <v>0</v>
      </c>
      <c r="J40" s="73">
        <f t="shared" si="8"/>
        <v>0</v>
      </c>
      <c r="K40" s="73">
        <f>第四季度!W14-第五季度!Q14+第五季度!R14</f>
        <v>0</v>
      </c>
      <c r="L40" s="73"/>
      <c r="M40" s="73"/>
      <c r="N40" s="73"/>
      <c r="O40" s="73"/>
      <c r="P40" s="73"/>
      <c r="R40" s="73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73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131">
        <v>0</v>
      </c>
      <c r="U40" s="73">
        <f t="shared" si="9"/>
        <v>0</v>
      </c>
      <c r="V40" s="73">
        <f>IF(J40="S",Z14*参数调整!$H$11/($X$29*$J$18),IF(J40="B",Z14*参数调整!$H$12/($X$30*$J$18),IF(J40="Q",Z14*参数调整!$H$13/($X$31*$J$18),Z14*参数调整!$H$14/($X$32*$J$18))))</f>
        <v>0</v>
      </c>
      <c r="Y40" s="73">
        <f t="shared" si="10"/>
        <v>0</v>
      </c>
      <c r="AI40" s="322"/>
      <c r="AJ40" s="294" t="s">
        <v>265</v>
      </c>
      <c r="AK40" s="295"/>
      <c r="AL40" s="295"/>
      <c r="AM40" s="296"/>
      <c r="AN40" s="132">
        <v>10000</v>
      </c>
      <c r="AO40" s="134"/>
      <c r="AP40" s="134"/>
    </row>
    <row r="41" spans="1:42">
      <c r="A41" s="73" t="s">
        <v>304</v>
      </c>
      <c r="B41" s="1"/>
      <c r="C41" s="1"/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9</v>
      </c>
      <c r="E41" s="134">
        <f>第四季度!G6+第四季度!H6+第四季度!E41-第四季度!B6</f>
        <v>0</v>
      </c>
      <c r="AI41" s="322"/>
      <c r="AJ41" s="294" t="s">
        <v>266</v>
      </c>
      <c r="AK41" s="295"/>
      <c r="AL41" s="295"/>
      <c r="AM41" s="296"/>
      <c r="AN41" s="132">
        <f>(AN2+AO3+AP3-AK2)*参数调整!B6/(1+参数调整!B6)-(F3+F4+F5*1.5+F6+F7+F8+F9+F10+F11+F12+F13*1.5+F14*1.5+F15*1.5+F16*1.5+第四季度!AN39)/(1+参数调整!B6)*参数调整!B6</f>
        <v>96039.392000000007</v>
      </c>
      <c r="AO41" s="134"/>
      <c r="AP41" s="134"/>
    </row>
    <row r="42" spans="1:42">
      <c r="A42" s="141">
        <f>ROUNDUP(IF(J3="S",W3*$R$18/SUM($R$18:$X$18),IF(J3="B",W3*$R$19/SUM($R$19:$X$19),IF(J3="Q",W3*$R$20/SUM($R$20:$X$20),W3*$R$21/SUM($R$21:$X$21)))),1)</f>
        <v>9.1</v>
      </c>
      <c r="B42" s="195">
        <f>ROUNDUP(IF(J3="S",W3*$S$18/SUM($R$18:$X$18),IF(J3="B",W3*$S$19/SUM($R$19:$X$19),IF(J3="Q",W3*$S$20/SUM($R$20:$X$20),W3*$S$21/SUM($R$21:$X$21)))),1)</f>
        <v>7.8999999999999995</v>
      </c>
      <c r="C42" s="141"/>
      <c r="D42" s="199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139">
        <f>第四季度!G7+第四季度!H7+第四季度!E42-第四季度!B7</f>
        <v>0</v>
      </c>
      <c r="F42" s="141"/>
      <c r="G42" s="195">
        <f>ROUNDUP(IF(J3="S",W3*$T$18/SUM($R$18:$X$18),IF(J3="B",W3*$T$19/SUM($R$19:$X$19),IF(J3="Q",W3*$T$20/SUM($R$20:$X$20),W3*$T$21/SUM($R$21:$X$21)))),1)</f>
        <v>7.8999999999999995</v>
      </c>
      <c r="H42" s="195">
        <f>ROUNDUP(IF(J3="S",W3*$U$18/SUM($R$18:$X$18),IF(J3="B",W3*$U$19/SUM($R$19:$X$19),IF(J3="Q",W3*$U$20/SUM($R$20:$X$20),W3*$U$21/SUM($R$21:$X$21)))),1)</f>
        <v>9.9</v>
      </c>
      <c r="I42" s="141">
        <f>ROUNDUP(IF(J3="S",W3*$V$18/SUM($R$18:$X$18),IF(J3="B",W3*$V$19/SUM($R$19:$X$19),IF(J3="Q",W3*$V$20/SUM($R$20:$X$20),W3*$V$21/SUM($R$21:$X$21)))),1)</f>
        <v>11</v>
      </c>
      <c r="J42" s="127">
        <f>ROUNDUP(IF(J3="S",W3*$W$18/SUM($R$18:$X$18),IF(J3="B",W3*$W$19/SUM($R$19:$X$19),IF(J3="Q",W3*$W$20/SUM($R$20:$X$20),W3*$W$21/SUM($R$21:$X$21)))),1)</f>
        <v>11.799999999999999</v>
      </c>
      <c r="K42" s="141">
        <f>ROUNDUP(IF(J3="S",W3*$X$18/SUM($R$18:$X$18),IF(J3="B",W3*$X$19/SUM($R$19:$X$19),IF(J3="Q",W3*$X$20/SUM($R$20:$X$20),W3*$X$21/SUM($R$21:$X$21)))),1)</f>
        <v>11.799999999999999</v>
      </c>
      <c r="Q42" s="107">
        <f>W3-TRUNC(A42)-TRUNC(B42)-TRUNC(G42)-TRUNC(H42)-TRUNC(I42)-TRUNC(J42)-TRUNC(K42)</f>
        <v>4</v>
      </c>
      <c r="AI42" s="322"/>
      <c r="AJ42" s="294" t="s">
        <v>267</v>
      </c>
      <c r="AK42" s="295"/>
      <c r="AL42" s="295"/>
      <c r="AM42" s="296"/>
      <c r="AN42" s="132">
        <f>AN41*(参数调整!$B$7+参数调整!$B$8+参数调整!$B$9)</f>
        <v>11524.727040000002</v>
      </c>
      <c r="AO42" s="134"/>
      <c r="AP42" s="134"/>
    </row>
    <row r="43" spans="1:42">
      <c r="A43" s="195">
        <f t="shared" ref="A43:A53" si="11">ROUNDUP(IF(J4="S",W4*$R$18/SUM($R$18:$X$18),IF(J4="B",W4*$R$19/SUM($R$19:$X$19),IF(J4="Q",W4*$R$20/SUM($R$20:$X$20),W4*$R$21/SUM($R$21:$X$21)))),1)</f>
        <v>13.9</v>
      </c>
      <c r="B43" s="195">
        <f t="shared" ref="B43:B53" si="12">ROUNDUP(IF(J4="S",W4*$S$18/SUM($R$18:$X$18),IF(J4="B",W4*$S$19/SUM($R$19:$X$19),IF(J4="Q",W4*$S$20/SUM($R$20:$X$20),W4*$S$21/SUM($R$21:$X$21)))),1)</f>
        <v>14.5</v>
      </c>
      <c r="C43" s="141"/>
      <c r="D43" s="199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39</v>
      </c>
      <c r="E43" s="139">
        <f>第四季度!G8+第四季度!H8+第四季度!E43-第四季度!B8</f>
        <v>0</v>
      </c>
      <c r="F43" s="141"/>
      <c r="G43" s="195">
        <f t="shared" ref="G43:G53" si="13">ROUNDUP(IF(J4="S",W4*$T$18/SUM($R$18:$X$18),IF(J4="B",W4*$T$19/SUM($R$19:$X$19),IF(J4="Q",W4*$T$20/SUM($R$20:$X$20),W4*$T$21/SUM($R$21:$X$21)))),1)</f>
        <v>16.200000000000003</v>
      </c>
      <c r="H43" s="195">
        <f t="shared" ref="H43:H53" si="14">ROUNDUP(IF(J4="S",W4*$U$18/SUM($R$18:$X$18),IF(J4="B",W4*$U$19/SUM($R$19:$X$19),IF(J4="Q",W4*$U$20/SUM($R$20:$X$20),W4*$U$21/SUM($R$21:$X$21)))),1)</f>
        <v>17.3</v>
      </c>
      <c r="I43" s="141">
        <f t="shared" ref="I43:I53" si="15">ROUNDUP(IF(J4="S",W4*$V$18/SUM($R$18:$X$18),IF(J4="B",W4*$V$19/SUM($R$19:$X$19),IF(J4="Q",W4*$V$20/SUM($R$20:$X$20),W4*$V$21/SUM($R$21:$X$21)))),1)</f>
        <v>17.3</v>
      </c>
      <c r="J43" s="140">
        <f t="shared" ref="J43:J53" si="16">ROUNDUP(IF(J4="S",W4*$W$18/SUM($R$18:$X$18),IF(J4="B",W4*$W$19/SUM($R$19:$X$19),IF(J4="Q",W4*$W$20/SUM($R$20:$X$20),W4*$W$21/SUM($R$21:$X$21)))),1)</f>
        <v>21.900000000000002</v>
      </c>
      <c r="K43" s="141">
        <f t="shared" ref="K43:K53" si="17">ROUNDUP(IF(J4="S",W4*$X$18/SUM($R$18:$X$18),IF(J4="B",W4*$X$19/SUM($R$19:$X$19),IF(J4="Q",W4*$X$20/SUM($R$20:$X$20),W4*$X$21/SUM($R$21:$X$21)))),1)</f>
        <v>20.200000000000003</v>
      </c>
      <c r="Q43" s="107">
        <f t="shared" ref="Q43:Q53" si="18">W4-TRUNC(A43)-TRUNC(B43)-TRUNC(G43)-TRUNC(H43)-TRUNC(I43)-TRUNC(J43)-TRUNC(K43)</f>
        <v>3</v>
      </c>
      <c r="AI43" s="322"/>
      <c r="AJ43" s="294" t="s">
        <v>268</v>
      </c>
      <c r="AK43" s="295"/>
      <c r="AL43" s="295"/>
      <c r="AM43" s="296"/>
      <c r="AN43" s="132">
        <v>14393.453</v>
      </c>
      <c r="AO43" s="134"/>
      <c r="AP43" s="134"/>
    </row>
    <row r="44" spans="1:42">
      <c r="A44" s="141">
        <f t="shared" si="11"/>
        <v>7.3999999999999995</v>
      </c>
      <c r="B44" s="195">
        <f t="shared" si="12"/>
        <v>7.6999999999999993</v>
      </c>
      <c r="C44" s="141"/>
      <c r="D44" s="199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139">
        <f>第四季度!G9+第四季度!H9+第四季度!E44-第四季度!B9</f>
        <v>0</v>
      </c>
      <c r="F44" s="141"/>
      <c r="G44" s="195">
        <f t="shared" si="13"/>
        <v>8.6</v>
      </c>
      <c r="H44" s="141">
        <f t="shared" si="14"/>
        <v>9.1999999999999993</v>
      </c>
      <c r="I44" s="141">
        <f t="shared" si="15"/>
        <v>9.1999999999999993</v>
      </c>
      <c r="J44" s="140">
        <f t="shared" si="16"/>
        <v>11.6</v>
      </c>
      <c r="K44" s="195">
        <f t="shared" si="17"/>
        <v>10.7</v>
      </c>
      <c r="Q44" s="107">
        <f t="shared" si="18"/>
        <v>3</v>
      </c>
      <c r="AI44" s="323"/>
      <c r="AJ44" s="294" t="s">
        <v>260</v>
      </c>
      <c r="AK44" s="295"/>
      <c r="AL44" s="295"/>
      <c r="AM44" s="296"/>
      <c r="AN44" s="98">
        <f>AN36+AN37-SUM(AN38:AN43)</f>
        <v>92219.879959999991</v>
      </c>
      <c r="AO44" s="134"/>
      <c r="AP44" s="134"/>
    </row>
    <row r="45" spans="1:42">
      <c r="A45" s="195">
        <f t="shared" si="11"/>
        <v>12.8</v>
      </c>
      <c r="B45" s="141">
        <f t="shared" si="12"/>
        <v>13.4</v>
      </c>
      <c r="C45" s="141"/>
      <c r="D45" s="199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139">
        <f>第四季度!G10+第四季度!H10+第四季度!E45-第四季度!B10</f>
        <v>0</v>
      </c>
      <c r="F45" s="141"/>
      <c r="G45" s="141">
        <f t="shared" si="13"/>
        <v>15</v>
      </c>
      <c r="H45" s="141">
        <f t="shared" si="14"/>
        <v>16</v>
      </c>
      <c r="I45" s="141">
        <f t="shared" si="15"/>
        <v>16</v>
      </c>
      <c r="J45" s="140">
        <f t="shared" si="16"/>
        <v>20.3</v>
      </c>
      <c r="K45" s="195">
        <f t="shared" si="17"/>
        <v>18.700000000000003</v>
      </c>
      <c r="Q45" s="107">
        <f t="shared" si="18"/>
        <v>2</v>
      </c>
    </row>
    <row r="46" spans="1:42">
      <c r="A46" s="195">
        <f t="shared" si="11"/>
        <v>6.8999999999999995</v>
      </c>
      <c r="B46" s="141">
        <f t="shared" si="12"/>
        <v>7.3999999999999995</v>
      </c>
      <c r="C46" s="141"/>
      <c r="D46" s="199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120</v>
      </c>
      <c r="E46" s="139">
        <f>第四季度!G11+第四季度!H11+第四季度!E46-第四季度!B11</f>
        <v>0</v>
      </c>
      <c r="F46" s="141"/>
      <c r="G46" s="195">
        <f t="shared" si="13"/>
        <v>7.3999999999999995</v>
      </c>
      <c r="H46" s="141">
        <f t="shared" si="14"/>
        <v>9.4</v>
      </c>
      <c r="I46" s="141">
        <f t="shared" si="15"/>
        <v>8.6</v>
      </c>
      <c r="J46" s="127">
        <f t="shared" si="16"/>
        <v>9.7999999999999989</v>
      </c>
      <c r="K46" s="195">
        <f t="shared" si="17"/>
        <v>9.7999999999999989</v>
      </c>
      <c r="Q46" s="107">
        <f t="shared" si="18"/>
        <v>4</v>
      </c>
    </row>
    <row r="47" spans="1:42">
      <c r="A47" s="195">
        <f t="shared" si="11"/>
        <v>13.6</v>
      </c>
      <c r="B47" s="195">
        <f t="shared" si="12"/>
        <v>14.6</v>
      </c>
      <c r="C47" s="141"/>
      <c r="D47" s="199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139">
        <f>第四季度!G12+第四季度!H12+第四季度!E47-第四季度!B12</f>
        <v>0</v>
      </c>
      <c r="F47" s="141"/>
      <c r="G47" s="195">
        <f t="shared" si="13"/>
        <v>14.6</v>
      </c>
      <c r="H47" s="141">
        <f t="shared" si="14"/>
        <v>18.5</v>
      </c>
      <c r="I47" s="141">
        <f t="shared" si="15"/>
        <v>17</v>
      </c>
      <c r="J47" s="140">
        <f t="shared" si="16"/>
        <v>19.5</v>
      </c>
      <c r="K47" s="141">
        <f t="shared" si="17"/>
        <v>19.5</v>
      </c>
      <c r="Q47" s="107">
        <f t="shared" si="18"/>
        <v>3</v>
      </c>
    </row>
    <row r="48" spans="1:42">
      <c r="A48" s="141">
        <f t="shared" si="11"/>
        <v>11.2</v>
      </c>
      <c r="B48" s="141">
        <f t="shared" si="12"/>
        <v>12</v>
      </c>
      <c r="C48" s="141"/>
      <c r="D48" s="199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44.65</v>
      </c>
      <c r="E48" s="139">
        <f>第四季度!G13+第四季度!H13+第四季度!E48-第四季度!B13</f>
        <v>0</v>
      </c>
      <c r="F48" s="141"/>
      <c r="G48" s="141">
        <f t="shared" si="13"/>
        <v>12</v>
      </c>
      <c r="H48" s="141">
        <f t="shared" si="14"/>
        <v>15.2</v>
      </c>
      <c r="I48" s="141">
        <f t="shared" si="15"/>
        <v>14</v>
      </c>
      <c r="J48" s="140">
        <f t="shared" si="16"/>
        <v>16</v>
      </c>
      <c r="K48" s="141">
        <f t="shared" si="17"/>
        <v>16</v>
      </c>
      <c r="Q48" s="107">
        <f t="shared" si="18"/>
        <v>0</v>
      </c>
    </row>
    <row r="49" spans="1:17">
      <c r="A49" s="195">
        <f t="shared" si="11"/>
        <v>23.400000000000002</v>
      </c>
      <c r="B49" s="141">
        <f t="shared" si="12"/>
        <v>28.3</v>
      </c>
      <c r="C49" s="141"/>
      <c r="D49" s="199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139">
        <f>第四季度!G14+第四季度!H14+第四季度!E49-第四季度!B14</f>
        <v>0</v>
      </c>
      <c r="F49" s="141"/>
      <c r="G49" s="195">
        <f t="shared" si="13"/>
        <v>24.8</v>
      </c>
      <c r="H49" s="141">
        <f t="shared" si="14"/>
        <v>28.3</v>
      </c>
      <c r="I49" s="141">
        <f t="shared" si="15"/>
        <v>28.3</v>
      </c>
      <c r="J49" s="127">
        <f t="shared" si="16"/>
        <v>31.900000000000002</v>
      </c>
      <c r="K49" s="141">
        <f t="shared" si="17"/>
        <v>35.4</v>
      </c>
      <c r="Q49" s="107">
        <f t="shared" si="18"/>
        <v>3</v>
      </c>
    </row>
    <row r="50" spans="1:17">
      <c r="A50" s="141">
        <f t="shared" si="11"/>
        <v>0</v>
      </c>
      <c r="B50" s="141">
        <f t="shared" si="12"/>
        <v>0</v>
      </c>
      <c r="C50" s="141"/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134">
        <f>第四季度!G15+第四季度!H15+第四季度!E50-第四季度!B15</f>
        <v>0</v>
      </c>
      <c r="F50" s="141"/>
      <c r="G50" s="141">
        <f t="shared" si="13"/>
        <v>0</v>
      </c>
      <c r="H50" s="141">
        <f t="shared" si="14"/>
        <v>0</v>
      </c>
      <c r="I50" s="141">
        <f t="shared" si="15"/>
        <v>0</v>
      </c>
      <c r="J50" s="140">
        <f t="shared" si="16"/>
        <v>0</v>
      </c>
      <c r="K50" s="141">
        <f t="shared" si="17"/>
        <v>0</v>
      </c>
      <c r="Q50" s="107">
        <f t="shared" si="18"/>
        <v>0</v>
      </c>
    </row>
    <row r="51" spans="1:17">
      <c r="A51" s="141">
        <f t="shared" si="11"/>
        <v>0</v>
      </c>
      <c r="B51" s="141">
        <f t="shared" si="12"/>
        <v>0</v>
      </c>
      <c r="C51" s="141"/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87</v>
      </c>
      <c r="E51" s="134">
        <f>第四季度!G16+第四季度!H16+第四季度!E51-第四季度!B16</f>
        <v>0</v>
      </c>
      <c r="F51" s="141"/>
      <c r="G51" s="141">
        <f t="shared" si="13"/>
        <v>0</v>
      </c>
      <c r="H51" s="141">
        <f t="shared" si="14"/>
        <v>0</v>
      </c>
      <c r="I51" s="141">
        <f t="shared" si="15"/>
        <v>0</v>
      </c>
      <c r="J51" s="140">
        <f t="shared" si="16"/>
        <v>0</v>
      </c>
      <c r="K51" s="141">
        <f t="shared" si="17"/>
        <v>0</v>
      </c>
      <c r="Q51" s="107">
        <f t="shared" si="18"/>
        <v>0</v>
      </c>
    </row>
    <row r="52" spans="1:17">
      <c r="A52" s="141">
        <f t="shared" si="11"/>
        <v>0</v>
      </c>
      <c r="B52" s="141">
        <f t="shared" si="12"/>
        <v>0</v>
      </c>
      <c r="C52" s="141"/>
      <c r="D52" s="139"/>
      <c r="E52" s="139"/>
      <c r="F52" s="141"/>
      <c r="G52" s="141">
        <f t="shared" si="13"/>
        <v>0</v>
      </c>
      <c r="H52" s="141">
        <f t="shared" si="14"/>
        <v>0</v>
      </c>
      <c r="I52" s="141">
        <f t="shared" si="15"/>
        <v>0</v>
      </c>
      <c r="J52" s="140">
        <f t="shared" si="16"/>
        <v>0</v>
      </c>
      <c r="K52" s="141">
        <f t="shared" si="17"/>
        <v>0</v>
      </c>
      <c r="Q52" s="107">
        <f t="shared" si="18"/>
        <v>0</v>
      </c>
    </row>
    <row r="53" spans="1:17">
      <c r="A53" s="141">
        <f t="shared" si="11"/>
        <v>0</v>
      </c>
      <c r="B53" s="141">
        <f t="shared" si="12"/>
        <v>0</v>
      </c>
      <c r="C53" s="141"/>
      <c r="D53" s="139"/>
      <c r="E53" s="139"/>
      <c r="F53" s="141"/>
      <c r="G53" s="141">
        <f t="shared" si="13"/>
        <v>0</v>
      </c>
      <c r="H53" s="141">
        <f t="shared" si="14"/>
        <v>0</v>
      </c>
      <c r="I53" s="141">
        <f t="shared" si="15"/>
        <v>0</v>
      </c>
      <c r="J53" s="140">
        <f t="shared" si="16"/>
        <v>0</v>
      </c>
      <c r="K53" s="141">
        <f t="shared" si="17"/>
        <v>0</v>
      </c>
      <c r="Q53" s="107">
        <f t="shared" si="18"/>
        <v>0</v>
      </c>
    </row>
  </sheetData>
  <mergeCells count="75">
    <mergeCell ref="AJ36:AM36"/>
    <mergeCell ref="AD31:AF31"/>
    <mergeCell ref="D36:D37"/>
    <mergeCell ref="E36:E37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M32:AM33"/>
    <mergeCell ref="AJ28:AJ35"/>
    <mergeCell ref="AK28:AK35"/>
    <mergeCell ref="AL28:AL29"/>
    <mergeCell ref="AM28:AM29"/>
    <mergeCell ref="AN32:AN33"/>
    <mergeCell ref="AL34:AL35"/>
    <mergeCell ref="AM34:AM35"/>
    <mergeCell ref="AN34:AN35"/>
    <mergeCell ref="AO4:AP4"/>
    <mergeCell ref="AJ5:AJ16"/>
    <mergeCell ref="AK5:AK8"/>
    <mergeCell ref="AO5:AP6"/>
    <mergeCell ref="AK9:AK11"/>
    <mergeCell ref="AK12:AL12"/>
    <mergeCell ref="AK13:AK16"/>
    <mergeCell ref="AI2:AJ3"/>
    <mergeCell ref="AK2:AK3"/>
    <mergeCell ref="AL2:AM3"/>
    <mergeCell ref="AN2:AN3"/>
    <mergeCell ref="AI4:AI36"/>
    <mergeCell ref="AJ4:AL4"/>
    <mergeCell ref="AJ17:AL17"/>
    <mergeCell ref="AJ18:AK19"/>
    <mergeCell ref="AJ20:AK23"/>
    <mergeCell ref="AJ24:AK26"/>
    <mergeCell ref="AN28:AN29"/>
    <mergeCell ref="AL30:AL31"/>
    <mergeCell ref="AM30:AM31"/>
    <mergeCell ref="AN30:AN31"/>
    <mergeCell ref="AL32:AL33"/>
    <mergeCell ref="AJ27:AL27"/>
    <mergeCell ref="AD28:AF28"/>
    <mergeCell ref="AD29:AF29"/>
    <mergeCell ref="AD30:AF30"/>
    <mergeCell ref="J17:K17"/>
    <mergeCell ref="J18:K20"/>
    <mergeCell ref="J21:K21"/>
    <mergeCell ref="J22:K24"/>
    <mergeCell ref="Q22:Q25"/>
    <mergeCell ref="AD26:AE26"/>
    <mergeCell ref="AD17:AD22"/>
    <mergeCell ref="AD23:AE23"/>
    <mergeCell ref="AD24:AE24"/>
    <mergeCell ref="AD25:AE25"/>
    <mergeCell ref="AD27:AF27"/>
    <mergeCell ref="A18:B18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B1:B2"/>
    <mergeCell ref="C1:C2"/>
    <mergeCell ref="D1:D2"/>
    <mergeCell ref="E1:E2"/>
    <mergeCell ref="G1:G2"/>
    <mergeCell ref="H1:H2"/>
  </mergeCells>
  <phoneticPr fontId="1" type="noConversion"/>
  <dataValidations count="4">
    <dataValidation type="list" allowBlank="1" showInputMessage="1" showErrorMessage="1" sqref="AE11:AE14" xr:uid="{8A82ED37-5639-4481-B130-67AF1A0237AC}">
      <formula1>"手工线,半自动线,全自动线,柔性线"</formula1>
    </dataValidation>
    <dataValidation type="list" allowBlank="1" showInputMessage="1" showErrorMessage="1" sqref="AE5:AE7" xr:uid="{8AD1DA06-6D5B-4961-9981-A8E740D82E80}">
      <formula1>"购买小厂房,购买中厂房,购买大厂房"</formula1>
    </dataValidation>
    <dataValidation type="list" allowBlank="1" showInputMessage="1" showErrorMessage="1" sqref="AF17:AF24" xr:uid="{65E2A9F4-F8E8-44B2-8B5C-9A748F698185}">
      <formula1>"1,0"</formula1>
    </dataValidation>
    <dataValidation type="list" allowBlank="1" showInputMessage="1" showErrorMessage="1" sqref="AE8:AE10" xr:uid="{05E657B2-C369-4A12-8DEA-2F0AB12F44C9}">
      <formula1>"租用小厂房,租用中厂房,租用大厂房"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1576-2EA4-40A1-8BCA-092524F82498}">
  <sheetPr codeName="Sheet8"/>
  <dimension ref="A1:AP53"/>
  <sheetViews>
    <sheetView topLeftCell="V1" zoomScale="93" zoomScaleNormal="130" workbookViewId="0">
      <selection activeCell="Y18" sqref="Y18"/>
    </sheetView>
  </sheetViews>
  <sheetFormatPr defaultRowHeight="13.8"/>
  <cols>
    <col min="3" max="3" width="0" hidden="1" customWidth="1"/>
    <col min="4" max="4" width="15.6640625" hidden="1" customWidth="1"/>
    <col min="5" max="5" width="14.21875" hidden="1" customWidth="1"/>
    <col min="6" max="6" width="0" hidden="1" customWidth="1"/>
    <col min="10" max="10" width="9.44140625" bestFit="1" customWidth="1"/>
    <col min="12" max="16" width="8.88671875" hidden="1" customWidth="1"/>
    <col min="17" max="17" width="10.886718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97" t="s">
        <v>179</v>
      </c>
      <c r="C1" s="297" t="s">
        <v>180</v>
      </c>
      <c r="D1" s="304" t="s">
        <v>181</v>
      </c>
      <c r="E1" s="304" t="s">
        <v>182</v>
      </c>
      <c r="F1" s="1"/>
      <c r="G1" s="351" t="s">
        <v>183</v>
      </c>
      <c r="H1" s="304" t="s">
        <v>184</v>
      </c>
    </row>
    <row r="2" spans="1:42">
      <c r="A2" s="1"/>
      <c r="B2" s="303"/>
      <c r="C2" s="329"/>
      <c r="D2" s="304"/>
      <c r="E2" s="304"/>
      <c r="F2" s="1"/>
      <c r="G2" s="352"/>
      <c r="H2" s="304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73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73" t="s">
        <v>175</v>
      </c>
      <c r="AB2" s="73" t="s">
        <v>426</v>
      </c>
      <c r="AD2" s="308" t="s">
        <v>200</v>
      </c>
      <c r="AE2" s="308"/>
      <c r="AF2" s="308"/>
      <c r="AG2" s="308"/>
      <c r="AI2" s="327" t="s">
        <v>230</v>
      </c>
      <c r="AJ2" s="328"/>
      <c r="AK2" s="356">
        <v>0</v>
      </c>
      <c r="AL2" s="327" t="s">
        <v>231</v>
      </c>
      <c r="AM2" s="328"/>
      <c r="AN2" s="356">
        <v>200263.25</v>
      </c>
      <c r="AO2" s="128" t="s">
        <v>232</v>
      </c>
      <c r="AP2" s="128" t="s">
        <v>233</v>
      </c>
    </row>
    <row r="3" spans="1:42" ht="27" thickBot="1">
      <c r="A3" s="78" t="s">
        <v>185</v>
      </c>
      <c r="B3" s="79">
        <f>SUMIF($L$3:$L$14,1,$S$3:$S$14)+SUMIF($L$3:$L$14,1,$T$3:$T$14)+SUMIF($L$3:$L$14,1,$U$3:$U$14)+SUMIF($L$3:$L$14,1,$V$3:$V$14)</f>
        <v>764</v>
      </c>
      <c r="C3" s="129">
        <f>参数调整!G45</f>
        <v>42</v>
      </c>
      <c r="D3" s="129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37.800000000000004</v>
      </c>
      <c r="E3" s="129">
        <f>参数调整!I45</f>
        <v>1</v>
      </c>
      <c r="F3" s="1">
        <f>D3*G3*(参数调整!$B$6+1)</f>
        <v>33788.664000000004</v>
      </c>
      <c r="G3" s="81">
        <f t="shared" ref="G3:G16" si="0">IF(B3-E38&lt;=0,0,B3-E38)</f>
        <v>764</v>
      </c>
      <c r="H3" s="130"/>
      <c r="J3" s="131" t="str">
        <f>第一季度!J3</f>
        <v>S</v>
      </c>
      <c r="K3" s="131">
        <f>第一季度!K3</f>
        <v>113</v>
      </c>
      <c r="L3" s="132" t="str">
        <f>LEFT(K3,1)</f>
        <v>1</v>
      </c>
      <c r="M3" s="132" t="str">
        <f>MID(K3,2,1)</f>
        <v>1</v>
      </c>
      <c r="N3" s="132" t="str">
        <f>MID(K3,3,1)</f>
        <v>3</v>
      </c>
      <c r="O3" s="132" t="str">
        <f>MID(K3,4,1)</f>
        <v/>
      </c>
      <c r="P3" s="132" t="str">
        <f>MID(K3,5,1)</f>
        <v/>
      </c>
      <c r="Q3" s="131">
        <v>0</v>
      </c>
      <c r="R3" s="131">
        <v>1</v>
      </c>
      <c r="S3" s="131">
        <v>0</v>
      </c>
      <c r="T3" s="131">
        <v>0</v>
      </c>
      <c r="U3" s="131">
        <v>0</v>
      </c>
      <c r="V3" s="131">
        <v>66</v>
      </c>
      <c r="W3" s="76">
        <f>TRUNC(S3*参数调整!$I$30)+TRUNC(T3*参数调整!$H$30)+TRUNC(U3*参数调整!$G$30)+TRUNC(V3*参数调整!$F$30)+Q3</f>
        <v>59</v>
      </c>
      <c r="X3" s="76">
        <f>IF(J3="S",Y29*SUM($R$18:$X$18)/100,IF(J3="B",Y29*SUM($R$19:$X$19)/100,IF(J3="Q",Y29*SUM($R$20:$X$20)/100,Y29*SUM($R$21:$X$21)/100)))</f>
        <v>53.587728866408888</v>
      </c>
      <c r="Y3" s="131">
        <v>10788.86</v>
      </c>
      <c r="Z3" s="73">
        <f>Y3+第四季度!Y3*0.53653684*0.46055126+第五季度!Y3*0.53653684</f>
        <v>14383.656828000001</v>
      </c>
      <c r="AA3" s="196">
        <f>SUMIF(J3:J14,"S",Z3:Z14)</f>
        <v>14383.656828000001</v>
      </c>
      <c r="AB3" s="194">
        <v>0</v>
      </c>
      <c r="AD3" s="308" t="s">
        <v>201</v>
      </c>
      <c r="AE3" s="308"/>
      <c r="AF3" s="308"/>
      <c r="AG3" s="131">
        <v>45701.57</v>
      </c>
      <c r="AI3" s="329"/>
      <c r="AJ3" s="330"/>
      <c r="AK3" s="356"/>
      <c r="AL3" s="329"/>
      <c r="AM3" s="330"/>
      <c r="AN3" s="356"/>
      <c r="AO3" s="119">
        <v>332402.84999999998</v>
      </c>
      <c r="AP3" s="119">
        <v>166081.5</v>
      </c>
    </row>
    <row r="4" spans="1:42" ht="27" customHeight="1" thickBot="1">
      <c r="A4" s="78" t="s">
        <v>186</v>
      </c>
      <c r="B4" s="79">
        <f>SUMIF($L$3:$L$14,2,$S$3:$S$14)+SUMIF($L$3:$L$14,2,$T$3:$T$14)+SUMIF($L$3:$L$14,2,$U$3:$U$14)+SUMIF($L$3:$L$14,2,$V$3:$V$14)</f>
        <v>58</v>
      </c>
      <c r="C4" s="129">
        <f>参数调整!G46</f>
        <v>83</v>
      </c>
      <c r="D4" s="129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83</v>
      </c>
      <c r="E4" s="129">
        <f>参数调整!I46</f>
        <v>1</v>
      </c>
      <c r="F4" s="1">
        <f>D4*G4*(参数调整!$B$6+1)</f>
        <v>5632.38</v>
      </c>
      <c r="G4" s="81">
        <f t="shared" si="0"/>
        <v>58</v>
      </c>
      <c r="H4" s="130"/>
      <c r="J4" s="131" t="str">
        <f>第一季度!J4</f>
        <v>B</v>
      </c>
      <c r="K4" s="131">
        <f>第一季度!K4</f>
        <v>1111</v>
      </c>
      <c r="L4" s="132" t="str">
        <f>LEFT(K4,1)</f>
        <v>1</v>
      </c>
      <c r="M4" s="132" t="str">
        <f>MID(K4,2,1)</f>
        <v>1</v>
      </c>
      <c r="N4" s="132" t="str">
        <f>MID(K4,3,1)</f>
        <v>1</v>
      </c>
      <c r="O4" s="132" t="str">
        <f>MID(K4,4,1)</f>
        <v>1</v>
      </c>
      <c r="P4" s="132" t="str">
        <f t="shared" ref="P4:P14" si="1">MID(K4,5,1)</f>
        <v/>
      </c>
      <c r="Q4" s="131">
        <v>0</v>
      </c>
      <c r="R4" s="131">
        <v>8</v>
      </c>
      <c r="S4" s="131">
        <v>0</v>
      </c>
      <c r="T4" s="131">
        <v>0</v>
      </c>
      <c r="U4" s="131">
        <v>0</v>
      </c>
      <c r="V4" s="131">
        <v>112</v>
      </c>
      <c r="W4" s="76">
        <f>TRUNC(S4*参数调整!$I$30)+TRUNC(T4*参数调整!$H$30)+TRUNC(U4*参数调整!$G$30)+TRUNC(V4*参数调整!$F$30)+Q4</f>
        <v>100</v>
      </c>
      <c r="X4" s="76">
        <f t="shared" ref="X4:X14" si="2">IF(J4="S",Y30*SUM($R$18:$X$18)/100,IF(J4="B",Y30*SUM($R$19:$X$19)/100,IF(J4="Q",Y30*SUM($R$20:$X$20)/100,Y30*SUM($R$21:$X$21)/100)))</f>
        <v>106.71542436566502</v>
      </c>
      <c r="Y4" s="131">
        <v>0</v>
      </c>
      <c r="Z4" s="73">
        <f>Y4+第四季度!Y4*0.53653684*0.46055126+第五季度!Y4*0.53653684</f>
        <v>2097.4078678241758</v>
      </c>
      <c r="AA4" s="196">
        <f>SUMIF(J3:J14,"B",Z3:Z14)</f>
        <v>16599.711019824175</v>
      </c>
      <c r="AB4" s="194">
        <v>0</v>
      </c>
      <c r="AD4" s="308" t="s">
        <v>300</v>
      </c>
      <c r="AE4" s="308"/>
      <c r="AF4" s="308"/>
      <c r="AG4" s="131">
        <v>0</v>
      </c>
      <c r="AI4" s="324" t="s">
        <v>428</v>
      </c>
      <c r="AJ4" s="294" t="s">
        <v>235</v>
      </c>
      <c r="AK4" s="295"/>
      <c r="AL4" s="296"/>
      <c r="AM4" s="128" t="s">
        <v>236</v>
      </c>
      <c r="AN4" s="128" t="s">
        <v>237</v>
      </c>
      <c r="AO4" s="308" t="s">
        <v>338</v>
      </c>
      <c r="AP4" s="308"/>
    </row>
    <row r="5" spans="1:42" ht="27" thickBot="1">
      <c r="A5" s="78" t="s">
        <v>151</v>
      </c>
      <c r="B5" s="83">
        <f>SUMIF($L$3:$L$14,3,$S$3:$S$14)+SUMIF($L$3:$L$14,3,$T$3:$T$14)+SUMIF($L$3:$L$14,3,$U$3:$U$14)+SUMIF($L$3:$L$14,3,$V$3:$V$14)</f>
        <v>0</v>
      </c>
      <c r="C5" s="129">
        <f>参数调整!G47</f>
        <v>116</v>
      </c>
      <c r="D5" s="129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116</v>
      </c>
      <c r="E5" s="129">
        <f>参数调整!I47</f>
        <v>1</v>
      </c>
      <c r="F5" s="1">
        <f>D5*G5*(参数调整!$B$6+1)</f>
        <v>0</v>
      </c>
      <c r="G5" s="81">
        <f t="shared" si="0"/>
        <v>0</v>
      </c>
      <c r="H5" s="84">
        <v>0</v>
      </c>
      <c r="J5" s="131" t="str">
        <f>第一季度!J5</f>
        <v>B</v>
      </c>
      <c r="K5" s="131">
        <f>第一季度!K5</f>
        <v>1121</v>
      </c>
      <c r="L5" s="132" t="str">
        <f>LEFT(K5,1)</f>
        <v>1</v>
      </c>
      <c r="M5" s="132" t="str">
        <f>MID(K5,2,1)</f>
        <v>1</v>
      </c>
      <c r="N5" s="132" t="str">
        <f>MID(K5,3,1)</f>
        <v>2</v>
      </c>
      <c r="O5" s="132" t="str">
        <f>MID(K5,4,1)</f>
        <v>1</v>
      </c>
      <c r="P5" s="132" t="str">
        <f t="shared" si="1"/>
        <v/>
      </c>
      <c r="Q5" s="131">
        <v>0</v>
      </c>
      <c r="R5" s="131">
        <v>3</v>
      </c>
      <c r="S5" s="131">
        <v>0</v>
      </c>
      <c r="T5" s="131">
        <v>0</v>
      </c>
      <c r="U5" s="131">
        <v>0</v>
      </c>
      <c r="V5" s="131">
        <v>78</v>
      </c>
      <c r="W5" s="76">
        <f>TRUNC(S5*参数调整!$I$30)+TRUNC(T5*参数调整!$H$30)+TRUNC(U5*参数调整!$G$30)+TRUNC(V5*参数调整!$F$30)+Q5</f>
        <v>70</v>
      </c>
      <c r="X5" s="76">
        <f t="shared" si="2"/>
        <v>65.388819396750151</v>
      </c>
      <c r="Y5" s="131">
        <v>13000</v>
      </c>
      <c r="Z5" s="73">
        <f>Y5+第四季度!Y5*0.53653684*0.46055126+第五季度!Y5*0.53653684</f>
        <v>14502.303152</v>
      </c>
      <c r="AA5" s="196">
        <f>SUMIF(J3:J14,"Q",Z3:Z14)</f>
        <v>20097.422320727059</v>
      </c>
      <c r="AB5" s="194">
        <v>0</v>
      </c>
      <c r="AD5" s="308" t="s">
        <v>202</v>
      </c>
      <c r="AE5" s="128" t="s">
        <v>203</v>
      </c>
      <c r="AF5" s="131">
        <v>0</v>
      </c>
      <c r="AG5" s="73">
        <f>AF5*参数调整!$J$23</f>
        <v>0</v>
      </c>
      <c r="AI5" s="325"/>
      <c r="AJ5" s="297" t="s">
        <v>238</v>
      </c>
      <c r="AK5" s="297" t="s">
        <v>239</v>
      </c>
      <c r="AL5" s="128" t="s">
        <v>101</v>
      </c>
      <c r="AM5" s="132">
        <f>SUM(S3:S14)</f>
        <v>0</v>
      </c>
      <c r="AN5" s="128">
        <f>AM5*参数调整!$I$32</f>
        <v>0</v>
      </c>
      <c r="AO5" s="336">
        <f>AN2+AO36*(1-参数调整!B23)+AP36*(1-参数调整!B24)</f>
        <v>200263.25</v>
      </c>
      <c r="AP5" s="336"/>
    </row>
    <row r="6" spans="1:42" ht="14.4" customHeight="1" thickBot="1">
      <c r="A6" s="78" t="s">
        <v>152</v>
      </c>
      <c r="B6" s="85">
        <f>SUMIF($M$3:$M$14,1,$S$3:$S$14)+SUMIF($M$3:$M$14,1,$T$3:$T$14)+SUMIF($M$3:$M$14,1,$U$3:$U$14)+SUMIF($M$3:$M$14,1,$V$3:$V$14)</f>
        <v>644</v>
      </c>
      <c r="C6" s="129">
        <f>参数调整!G48</f>
        <v>8</v>
      </c>
      <c r="D6" s="129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7.2</v>
      </c>
      <c r="E6" s="129">
        <f>参数调整!I48</f>
        <v>0</v>
      </c>
      <c r="F6" s="1">
        <f>D6*G6*(参数调整!$B$6+1)</f>
        <v>5425.0559999999996</v>
      </c>
      <c r="G6" s="86">
        <f t="shared" si="0"/>
        <v>644</v>
      </c>
      <c r="H6" s="130"/>
      <c r="J6" s="131" t="str">
        <f>第一季度!J6</f>
        <v>B</v>
      </c>
      <c r="K6" s="131">
        <f>第一季度!K6</f>
        <v>113</v>
      </c>
      <c r="L6" s="132" t="str">
        <f>LEFT(K6,1)</f>
        <v>1</v>
      </c>
      <c r="M6" s="132" t="str">
        <f>MID(K6,2,1)</f>
        <v>1</v>
      </c>
      <c r="N6" s="132" t="str">
        <f>MID(K6,3,1)</f>
        <v>3</v>
      </c>
      <c r="O6" s="132" t="str">
        <f>MID(K6,4,1)</f>
        <v/>
      </c>
      <c r="P6" s="132" t="str">
        <f t="shared" si="1"/>
        <v/>
      </c>
      <c r="Q6" s="131">
        <v>0</v>
      </c>
      <c r="R6" s="131">
        <v>6</v>
      </c>
      <c r="S6" s="131">
        <v>0</v>
      </c>
      <c r="T6" s="131">
        <v>0</v>
      </c>
      <c r="U6" s="131">
        <v>0</v>
      </c>
      <c r="V6" s="131">
        <v>110</v>
      </c>
      <c r="W6" s="76">
        <f>TRUNC(S6*参数调整!$I$30)+TRUNC(T6*参数调整!$H$30)+TRUNC(U6*参数调整!$G$30)+TRUNC(V6*参数调整!$F$30)+Q6</f>
        <v>99</v>
      </c>
      <c r="X6" s="76">
        <f t="shared" si="2"/>
        <v>92.64100519577228</v>
      </c>
      <c r="Y6" s="131">
        <v>0</v>
      </c>
      <c r="Z6" s="73">
        <f>Y6+第四季度!Y6*0.53653684*0.46055126+第五季度!Y6*0.53653684</f>
        <v>0</v>
      </c>
      <c r="AA6" s="196">
        <f>SUMIF(J3:J14,"L",Z3:Z14)</f>
        <v>2653.8644380428832</v>
      </c>
      <c r="AB6" s="194">
        <v>0</v>
      </c>
      <c r="AD6" s="308"/>
      <c r="AE6" s="128" t="s">
        <v>204</v>
      </c>
      <c r="AF6" s="131">
        <v>0</v>
      </c>
      <c r="AG6" s="73">
        <f>AF6*参数调整!$H$23</f>
        <v>0</v>
      </c>
      <c r="AI6" s="325"/>
      <c r="AJ6" s="298"/>
      <c r="AK6" s="298"/>
      <c r="AL6" s="128" t="s">
        <v>269</v>
      </c>
      <c r="AM6" s="132">
        <f>SUM(V3:V14)</f>
        <v>822</v>
      </c>
      <c r="AN6" s="128">
        <f>AM6*参数调整!$F$32</f>
        <v>8220</v>
      </c>
      <c r="AO6" s="336"/>
      <c r="AP6" s="336"/>
    </row>
    <row r="7" spans="1:42" ht="14.4" customHeight="1" thickBot="1">
      <c r="A7" s="78" t="s">
        <v>153</v>
      </c>
      <c r="B7" s="85">
        <f>SUMIF($M$3:$M$14,2,$S$3:$S$14)+SUMIF($M$3:$M$14,2,$T$3:$T$14)+SUMIF($M$3:$M$14,2,$U$3:$U$14)+SUMIF($M$3:$M$14,2,$V$3:$V$14)</f>
        <v>178</v>
      </c>
      <c r="C7" s="129">
        <f>参数调整!G49</f>
        <v>17</v>
      </c>
      <c r="D7" s="129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17</v>
      </c>
      <c r="E7" s="129">
        <f>参数调整!I49</f>
        <v>1</v>
      </c>
      <c r="F7" s="1">
        <f>D7*G7*(参数调整!$B$6+1)</f>
        <v>3540.4199999999996</v>
      </c>
      <c r="G7" s="86">
        <f t="shared" si="0"/>
        <v>178</v>
      </c>
      <c r="H7" s="130"/>
      <c r="J7" s="131" t="str">
        <f>第一季度!J7</f>
        <v>Q</v>
      </c>
      <c r="K7" s="131">
        <f>第一季度!K7</f>
        <v>212</v>
      </c>
      <c r="L7" s="132" t="str">
        <f t="shared" ref="L7:L14" si="3">LEFT(K7,1)</f>
        <v>2</v>
      </c>
      <c r="M7" s="132" t="str">
        <f t="shared" ref="M7:M14" si="4">MID(K7,2,1)</f>
        <v>1</v>
      </c>
      <c r="N7" s="132" t="str">
        <f t="shared" ref="N7:N14" si="5">MID(K7,3,1)</f>
        <v>2</v>
      </c>
      <c r="O7" s="132" t="str">
        <f t="shared" ref="O7:O14" si="6">MID(K7,4,1)</f>
        <v/>
      </c>
      <c r="P7" s="132" t="str">
        <f t="shared" si="1"/>
        <v/>
      </c>
      <c r="Q7" s="131">
        <v>0</v>
      </c>
      <c r="R7" s="131">
        <v>2</v>
      </c>
      <c r="S7" s="131">
        <v>0</v>
      </c>
      <c r="T7" s="131">
        <v>0</v>
      </c>
      <c r="U7" s="131">
        <v>0</v>
      </c>
      <c r="V7" s="131">
        <v>58</v>
      </c>
      <c r="W7" s="76">
        <f>TRUNC(S7*参数调整!$I$30)+TRUNC(T7*参数调整!$H$30)+TRUNC(U7*参数调整!$G$30)+TRUNC(V7*参数调整!$F$30)+Q7</f>
        <v>52</v>
      </c>
      <c r="X7" s="76">
        <f t="shared" si="2"/>
        <v>45.780850385434626</v>
      </c>
      <c r="Y7" s="131">
        <v>0</v>
      </c>
      <c r="Z7" s="73">
        <f>Y7+第四季度!Y7*0.53653684*0.46055126+第五季度!Y7*0.53653684</f>
        <v>0</v>
      </c>
      <c r="AB7" s="194">
        <v>0</v>
      </c>
      <c r="AD7" s="308"/>
      <c r="AE7" s="128" t="s">
        <v>205</v>
      </c>
      <c r="AF7" s="131">
        <v>0</v>
      </c>
      <c r="AG7" s="73">
        <f>AF7*参数调整!$F$23</f>
        <v>0</v>
      </c>
      <c r="AI7" s="325"/>
      <c r="AJ7" s="298"/>
      <c r="AK7" s="298"/>
      <c r="AL7" s="128" t="s">
        <v>100</v>
      </c>
      <c r="AM7" s="132">
        <f>SUM(T3:T14)</f>
        <v>0</v>
      </c>
      <c r="AN7" s="128">
        <f>AM7*参数调整!H32</f>
        <v>0</v>
      </c>
      <c r="AO7" s="134"/>
      <c r="AP7" s="134"/>
    </row>
    <row r="8" spans="1:42" ht="14.4" customHeight="1" thickBot="1">
      <c r="A8" s="78" t="s">
        <v>154</v>
      </c>
      <c r="B8" s="85">
        <f>SUMIF($M$3:$M$14,3,$S$3:$S$14)+SUMIF($M$3:$M$14,3,$T$3:$T$14)+SUMIF($M$3:$M$14,3,$U$3:$U$14)+SUMIF($M$3:$M$14,3,$V$3:$V$14)</f>
        <v>0</v>
      </c>
      <c r="C8" s="129">
        <f>参数调整!G50</f>
        <v>40</v>
      </c>
      <c r="D8" s="129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40</v>
      </c>
      <c r="E8" s="129">
        <f>参数调整!I50</f>
        <v>1</v>
      </c>
      <c r="F8" s="1">
        <f>D8*G8*(参数调整!$B$6+1)</f>
        <v>0</v>
      </c>
      <c r="G8" s="86">
        <f t="shared" si="0"/>
        <v>0</v>
      </c>
      <c r="H8" s="130"/>
      <c r="J8" s="131" t="str">
        <f>第一季度!J8</f>
        <v>Q</v>
      </c>
      <c r="K8" s="131">
        <f>第一季度!K8</f>
        <v>1121</v>
      </c>
      <c r="L8" s="132" t="str">
        <f t="shared" si="3"/>
        <v>1</v>
      </c>
      <c r="M8" s="132" t="str">
        <f t="shared" si="4"/>
        <v>1</v>
      </c>
      <c r="N8" s="132" t="str">
        <f t="shared" si="5"/>
        <v>2</v>
      </c>
      <c r="O8" s="132" t="str">
        <f t="shared" si="6"/>
        <v>1</v>
      </c>
      <c r="P8" s="132" t="str">
        <f t="shared" si="1"/>
        <v/>
      </c>
      <c r="Q8" s="131">
        <v>0</v>
      </c>
      <c r="R8" s="131">
        <v>5</v>
      </c>
      <c r="S8" s="131">
        <v>0</v>
      </c>
      <c r="T8" s="131">
        <v>0</v>
      </c>
      <c r="U8" s="131">
        <v>0</v>
      </c>
      <c r="V8" s="131">
        <v>128</v>
      </c>
      <c r="W8" s="76">
        <f>TRUNC(S8*参数调整!$I$30)+TRUNC(T8*参数调整!$H$30)+TRUNC(U8*参数调整!$G$30)+TRUNC(V8*参数调整!$F$30)+Q8</f>
        <v>115</v>
      </c>
      <c r="X8" s="76">
        <f t="shared" si="2"/>
        <v>107.41972589578315</v>
      </c>
      <c r="Y8" s="131">
        <v>14115</v>
      </c>
      <c r="Z8" s="73">
        <f>Y8+第四季度!Y8*0.53653684*0.46055126+第五季度!Y8*0.53653684</f>
        <v>17110.444669188579</v>
      </c>
      <c r="AB8" s="194">
        <v>0</v>
      </c>
      <c r="AD8" s="308" t="s">
        <v>206</v>
      </c>
      <c r="AE8" s="128" t="s">
        <v>207</v>
      </c>
      <c r="AF8" s="131">
        <v>1</v>
      </c>
      <c r="AG8" s="300">
        <v>0</v>
      </c>
      <c r="AI8" s="325"/>
      <c r="AJ8" s="298"/>
      <c r="AK8" s="299"/>
      <c r="AL8" s="128" t="s">
        <v>270</v>
      </c>
      <c r="AM8" s="132">
        <f>SUM(U3:U14)</f>
        <v>0</v>
      </c>
      <c r="AN8" s="128">
        <f>AM8*参数调整!G32</f>
        <v>0</v>
      </c>
      <c r="AO8" s="134"/>
      <c r="AP8" s="134"/>
    </row>
    <row r="9" spans="1:42" ht="14.4" customHeight="1" thickBot="1">
      <c r="A9" s="78" t="s">
        <v>155</v>
      </c>
      <c r="B9" s="87">
        <f>SUMIF($N$3:$N$14,1,$S$3:$S$14)+SUMIF($N$3:$N$14,1,$T$3:$T$14)+SUMIF($N$3:$N$14,1,$U$3:$U$14)+SUMIF($N$3:$N$14,1,$V$3:$V$14)</f>
        <v>290</v>
      </c>
      <c r="C9" s="129">
        <f>参数调整!G51</f>
        <v>58</v>
      </c>
      <c r="D9" s="129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55.099999999999994</v>
      </c>
      <c r="E9" s="129">
        <f>参数调整!I51</f>
        <v>0</v>
      </c>
      <c r="F9" s="1">
        <f>D9*G9*(参数调整!$B$6+1)</f>
        <v>18695.429999999997</v>
      </c>
      <c r="G9" s="88">
        <f t="shared" si="0"/>
        <v>290</v>
      </c>
      <c r="H9" s="130"/>
      <c r="J9" s="131" t="str">
        <f>第一季度!J9</f>
        <v>Q</v>
      </c>
      <c r="K9" s="131">
        <f>第一季度!K9</f>
        <v>112</v>
      </c>
      <c r="L9" s="132" t="str">
        <f t="shared" si="3"/>
        <v>1</v>
      </c>
      <c r="M9" s="132" t="str">
        <f t="shared" si="4"/>
        <v>1</v>
      </c>
      <c r="N9" s="132" t="str">
        <f t="shared" si="5"/>
        <v>2</v>
      </c>
      <c r="O9" s="132" t="str">
        <f t="shared" si="6"/>
        <v/>
      </c>
      <c r="P9" s="132" t="str">
        <f t="shared" si="1"/>
        <v/>
      </c>
      <c r="Q9" s="131">
        <v>0</v>
      </c>
      <c r="R9" s="131">
        <v>6</v>
      </c>
      <c r="S9" s="131">
        <v>0</v>
      </c>
      <c r="T9" s="131">
        <v>0</v>
      </c>
      <c r="U9" s="131">
        <v>0</v>
      </c>
      <c r="V9" s="131">
        <v>92</v>
      </c>
      <c r="W9" s="76">
        <f>TRUNC(S9*参数调整!$I$30)+TRUNC(T9*参数调整!$H$30)+TRUNC(U9*参数调整!$G$30)+TRUNC(V9*参数调整!$F$30)+Q9</f>
        <v>82</v>
      </c>
      <c r="X9" s="76">
        <f t="shared" si="2"/>
        <v>80.745987162187262</v>
      </c>
      <c r="Y9" s="131">
        <v>0</v>
      </c>
      <c r="Z9" s="73">
        <f>Y9+第四季度!Y9*0.53653684*0.46055126+第五季度!Y9*0.53653684</f>
        <v>2986.9776515384815</v>
      </c>
      <c r="AB9" s="194">
        <v>0</v>
      </c>
      <c r="AD9" s="308"/>
      <c r="AE9" s="128" t="s">
        <v>208</v>
      </c>
      <c r="AF9" s="131">
        <v>0</v>
      </c>
      <c r="AG9" s="301"/>
      <c r="AI9" s="325"/>
      <c r="AJ9" s="298"/>
      <c r="AK9" s="297" t="s">
        <v>240</v>
      </c>
      <c r="AL9" s="128" t="s">
        <v>241</v>
      </c>
      <c r="AM9" s="132">
        <v>2</v>
      </c>
      <c r="AN9" s="128">
        <f>AM9*参数调整!$J$24</f>
        <v>10000</v>
      </c>
      <c r="AO9" s="134"/>
      <c r="AP9" s="134"/>
    </row>
    <row r="10" spans="1:42" ht="14.4" customHeight="1" thickBot="1">
      <c r="A10" s="78" t="s">
        <v>156</v>
      </c>
      <c r="B10" s="87">
        <f>SUMIF($N$3:$N$14,2,$S$3:$S$14)+SUMIF($N$3:$N$14,2,$T$3:$T$14)+SUMIF($N$3:$N$14,2,$U$3:$U$14)+SUMIF($N$3:$N$14,2,$V$3:$V$14)</f>
        <v>356</v>
      </c>
      <c r="C10" s="129">
        <f>参数调整!G52</f>
        <v>78</v>
      </c>
      <c r="D10" s="129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74.099999999999994</v>
      </c>
      <c r="E10" s="129">
        <f>参数调整!I52</f>
        <v>1</v>
      </c>
      <c r="F10" s="1">
        <f>D10*G10*(参数调整!$B$6+1)</f>
        <v>30864.131999999998</v>
      </c>
      <c r="G10" s="88">
        <f t="shared" si="0"/>
        <v>356</v>
      </c>
      <c r="H10" s="130"/>
      <c r="J10" s="131" t="str">
        <f>第一季度!J10</f>
        <v>L</v>
      </c>
      <c r="K10" s="131">
        <f>第一季度!K10</f>
        <v>121</v>
      </c>
      <c r="L10" s="132" t="str">
        <f t="shared" si="3"/>
        <v>1</v>
      </c>
      <c r="M10" s="132" t="str">
        <f t="shared" si="4"/>
        <v>2</v>
      </c>
      <c r="N10" s="132" t="str">
        <f t="shared" si="5"/>
        <v>1</v>
      </c>
      <c r="O10" s="132" t="str">
        <f t="shared" si="6"/>
        <v/>
      </c>
      <c r="P10" s="132" t="str">
        <f t="shared" si="1"/>
        <v/>
      </c>
      <c r="Q10" s="131">
        <v>3</v>
      </c>
      <c r="R10" s="131">
        <v>0</v>
      </c>
      <c r="S10" s="131">
        <v>0</v>
      </c>
      <c r="T10" s="131">
        <v>0</v>
      </c>
      <c r="U10" s="131">
        <v>0</v>
      </c>
      <c r="V10" s="131">
        <v>178</v>
      </c>
      <c r="W10" s="76">
        <f>TRUNC(S10*参数调整!$I$30)+TRUNC(T10*参数调整!$H$30)+TRUNC(U10*参数调整!$G$30)+TRUNC(V10*参数调整!$F$30)+Q10</f>
        <v>163</v>
      </c>
      <c r="X10" s="76">
        <f t="shared" si="2"/>
        <v>166.38721528539247</v>
      </c>
      <c r="Y10" s="131">
        <v>1000</v>
      </c>
      <c r="Z10" s="73">
        <f>Y10+第四季度!Y10*0.53653684*0.46055126+第五季度!Y10*0.53653684</f>
        <v>2653.8644380428832</v>
      </c>
      <c r="AB10" s="194">
        <v>0</v>
      </c>
      <c r="AD10" s="308"/>
      <c r="AE10" s="128" t="s">
        <v>209</v>
      </c>
      <c r="AF10" s="131">
        <v>0</v>
      </c>
      <c r="AG10" s="302"/>
      <c r="AI10" s="325"/>
      <c r="AJ10" s="298"/>
      <c r="AK10" s="298"/>
      <c r="AL10" s="128" t="s">
        <v>242</v>
      </c>
      <c r="AM10" s="132">
        <f>AF9</f>
        <v>0</v>
      </c>
      <c r="AN10" s="128">
        <f>AM10*参数调整!$H$24</f>
        <v>0</v>
      </c>
      <c r="AO10" s="134"/>
      <c r="AP10" s="134"/>
    </row>
    <row r="11" spans="1:42" ht="14.4" customHeight="1" thickBot="1">
      <c r="A11" s="78" t="s">
        <v>157</v>
      </c>
      <c r="B11" s="87">
        <f>SUMIF($N$3:$N$14,3,$S$3:$S$14)+SUMIF($N$3:$N$14,3,$T$3:$T$14)+SUMIF($N$3:$N$14,3,$U$3:$U$14)+SUMIF($N$3:$N$14,3,$V$3:$V$14)</f>
        <v>176</v>
      </c>
      <c r="C11" s="129">
        <f>参数调整!G53</f>
        <v>116</v>
      </c>
      <c r="D11" s="129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116</v>
      </c>
      <c r="E11" s="129">
        <f>参数调整!I53</f>
        <v>0</v>
      </c>
      <c r="F11" s="1">
        <f>D11*G11*(参数调整!$B$6+1)</f>
        <v>23886.719999999998</v>
      </c>
      <c r="G11" s="88">
        <f t="shared" si="0"/>
        <v>176</v>
      </c>
      <c r="H11" s="130"/>
      <c r="J11" s="131">
        <f>第一季度!J11</f>
        <v>0</v>
      </c>
      <c r="K11" s="131">
        <f>第一季度!K11</f>
        <v>0</v>
      </c>
      <c r="L11" s="132" t="str">
        <f t="shared" si="3"/>
        <v>0</v>
      </c>
      <c r="M11" s="132" t="str">
        <f t="shared" si="4"/>
        <v/>
      </c>
      <c r="N11" s="132" t="str">
        <f t="shared" si="5"/>
        <v/>
      </c>
      <c r="O11" s="132" t="str">
        <f t="shared" si="6"/>
        <v/>
      </c>
      <c r="P11" s="132" t="str">
        <f t="shared" si="1"/>
        <v/>
      </c>
      <c r="Q11" s="131"/>
      <c r="R11" s="131"/>
      <c r="S11" s="131">
        <v>0</v>
      </c>
      <c r="T11" s="131">
        <v>0</v>
      </c>
      <c r="U11" s="131">
        <v>0</v>
      </c>
      <c r="V11" s="131"/>
      <c r="W11" s="76">
        <f>TRUNC(S11*参数调整!$I$30)+TRUNC(T11*参数调整!$H$30)+TRUNC(U11*参数调整!$G$30)+TRUNC(V11*参数调整!$F$30)+Q11</f>
        <v>0</v>
      </c>
      <c r="X11" s="76">
        <f t="shared" si="2"/>
        <v>0</v>
      </c>
      <c r="Y11" s="131">
        <v>0</v>
      </c>
      <c r="Z11" s="73">
        <f>Y11+第四季度!Y11*0.53653684*0.46055126+第五季度!Y11*0.53653684</f>
        <v>0</v>
      </c>
      <c r="AB11" s="194"/>
      <c r="AD11" s="308" t="s">
        <v>210</v>
      </c>
      <c r="AE11" s="128" t="s">
        <v>211</v>
      </c>
      <c r="AF11" s="131">
        <v>0</v>
      </c>
      <c r="AG11" s="73">
        <f>AF11*参数调整!$I$29</f>
        <v>0</v>
      </c>
      <c r="AI11" s="325"/>
      <c r="AJ11" s="298"/>
      <c r="AK11" s="299"/>
      <c r="AL11" s="128" t="s">
        <v>243</v>
      </c>
      <c r="AM11" s="132">
        <v>0</v>
      </c>
      <c r="AN11" s="128">
        <f>AM11*参数调整!$F$24</f>
        <v>0</v>
      </c>
      <c r="AO11" s="134"/>
      <c r="AP11" s="134"/>
    </row>
    <row r="12" spans="1:42" ht="14.4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129">
        <f>参数调整!G54</f>
        <v>145</v>
      </c>
      <c r="D12" s="129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129">
        <f>参数调整!I54</f>
        <v>1</v>
      </c>
      <c r="F12" s="1">
        <f>D12*G12*(参数调整!$B$6+1)</f>
        <v>0</v>
      </c>
      <c r="G12" s="88">
        <f t="shared" si="0"/>
        <v>0</v>
      </c>
      <c r="H12" s="130"/>
      <c r="J12" s="131">
        <f>第一季度!J12</f>
        <v>0</v>
      </c>
      <c r="K12" s="131">
        <f>第一季度!K12</f>
        <v>0</v>
      </c>
      <c r="L12" s="132" t="str">
        <f t="shared" si="3"/>
        <v>0</v>
      </c>
      <c r="M12" s="132" t="str">
        <f t="shared" si="4"/>
        <v/>
      </c>
      <c r="N12" s="132" t="str">
        <f t="shared" si="5"/>
        <v/>
      </c>
      <c r="O12" s="132" t="str">
        <f t="shared" si="6"/>
        <v/>
      </c>
      <c r="P12" s="132" t="str">
        <f t="shared" si="1"/>
        <v/>
      </c>
      <c r="Q12" s="131"/>
      <c r="R12" s="131"/>
      <c r="S12" s="131">
        <v>0</v>
      </c>
      <c r="T12" s="131">
        <v>0</v>
      </c>
      <c r="U12" s="131">
        <v>0</v>
      </c>
      <c r="V12" s="131"/>
      <c r="W12" s="76">
        <f>TRUNC(S12*参数调整!$I$30)+TRUNC(T12*参数调整!$H$30)+TRUNC(U12*参数调整!$G$30)+TRUNC(V12*参数调整!$F$30)+Q12</f>
        <v>0</v>
      </c>
      <c r="X12" s="76">
        <f t="shared" si="2"/>
        <v>0</v>
      </c>
      <c r="Y12" s="131">
        <v>0</v>
      </c>
      <c r="Z12" s="73">
        <f>Y12+第四季度!Y12*0.53653684*0.46055126+第五季度!Y12*0.53653684</f>
        <v>0</v>
      </c>
      <c r="AB12" s="194"/>
      <c r="AD12" s="308"/>
      <c r="AE12" s="128" t="s">
        <v>212</v>
      </c>
      <c r="AF12" s="131">
        <v>0</v>
      </c>
      <c r="AG12" s="73">
        <f>AF12*参数调整!$H$29</f>
        <v>0</v>
      </c>
      <c r="AI12" s="325"/>
      <c r="AJ12" s="298"/>
      <c r="AK12" s="319" t="s">
        <v>244</v>
      </c>
      <c r="AL12" s="320"/>
      <c r="AM12" s="132">
        <f>AM18</f>
        <v>14</v>
      </c>
      <c r="AN12" s="128">
        <f>AM12*参数调整!$J$18*(1+参数调整!$B$12+参数调整!$B$13+参数调整!$B$14+参数调整!$B$15+参数调整!$B$16)</f>
        <v>67838.399999999994</v>
      </c>
      <c r="AO12" s="134"/>
      <c r="AP12" s="134"/>
    </row>
    <row r="13" spans="1:42" ht="14.4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318</v>
      </c>
      <c r="C13" s="129">
        <f>参数调整!G55</f>
        <v>50</v>
      </c>
      <c r="D13" s="129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129">
        <f>参数调整!I55</f>
        <v>1</v>
      </c>
      <c r="F13" s="1">
        <f>D13*G13*(参数调整!$B$6+1)</f>
        <v>117</v>
      </c>
      <c r="G13" s="90">
        <f t="shared" si="0"/>
        <v>2</v>
      </c>
      <c r="H13" s="84">
        <v>0</v>
      </c>
      <c r="I13">
        <v>338</v>
      </c>
      <c r="J13" s="131">
        <f>第一季度!J13</f>
        <v>0</v>
      </c>
      <c r="K13" s="131">
        <f>第一季度!K13</f>
        <v>0</v>
      </c>
      <c r="L13" s="132" t="str">
        <f t="shared" si="3"/>
        <v>0</v>
      </c>
      <c r="M13" s="132" t="str">
        <f t="shared" si="4"/>
        <v/>
      </c>
      <c r="N13" s="132" t="str">
        <f t="shared" si="5"/>
        <v/>
      </c>
      <c r="O13" s="132" t="str">
        <f t="shared" si="6"/>
        <v/>
      </c>
      <c r="P13" s="132" t="str">
        <f t="shared" si="1"/>
        <v/>
      </c>
      <c r="Q13" s="131"/>
      <c r="R13" s="131"/>
      <c r="S13" s="131"/>
      <c r="T13" s="131">
        <v>0</v>
      </c>
      <c r="U13" s="131">
        <v>0</v>
      </c>
      <c r="V13" s="131"/>
      <c r="W13" s="76">
        <f>TRUNC(S13*参数调整!$I$30)+TRUNC(T13*参数调整!$H$30)+TRUNC(U13*参数调整!$G$30)+TRUNC(V13*参数调整!$F$30)+Q13</f>
        <v>0</v>
      </c>
      <c r="X13" s="76">
        <f t="shared" si="2"/>
        <v>0</v>
      </c>
      <c r="Y13" s="131"/>
      <c r="Z13" s="73">
        <f>Y13+第四季度!Y13*0.53653684*0.46055126+第五季度!Y13*0.53653684</f>
        <v>0</v>
      </c>
      <c r="AB13" s="194"/>
      <c r="AD13" s="308"/>
      <c r="AE13" s="128" t="s">
        <v>213</v>
      </c>
      <c r="AF13" s="131">
        <v>0</v>
      </c>
      <c r="AG13" s="73">
        <f>AF13*参数调整!$G$29</f>
        <v>0</v>
      </c>
      <c r="AI13" s="325"/>
      <c r="AJ13" s="298"/>
      <c r="AK13" s="297" t="s">
        <v>245</v>
      </c>
      <c r="AL13" s="128" t="s">
        <v>101</v>
      </c>
      <c r="AM13" s="131">
        <v>0</v>
      </c>
      <c r="AN13" s="103">
        <f>AM13*参数调整!$I$33</f>
        <v>0</v>
      </c>
      <c r="AO13" s="134"/>
      <c r="AP13" s="134"/>
    </row>
    <row r="14" spans="1:42" ht="14.4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29">
        <f>参数调整!G56</f>
        <v>48</v>
      </c>
      <c r="D14" s="129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129">
        <f>参数调整!I56</f>
        <v>1</v>
      </c>
      <c r="F14" s="1">
        <f>D14*G14*(参数调整!$B$6+1)</f>
        <v>0</v>
      </c>
      <c r="G14" s="90">
        <f t="shared" si="0"/>
        <v>0</v>
      </c>
      <c r="H14" s="84"/>
      <c r="J14" s="131">
        <f>第一季度!J14</f>
        <v>0</v>
      </c>
      <c r="K14" s="131">
        <f>第一季度!K14</f>
        <v>0</v>
      </c>
      <c r="L14" s="132" t="str">
        <f t="shared" si="3"/>
        <v>0</v>
      </c>
      <c r="M14" s="132" t="str">
        <f t="shared" si="4"/>
        <v/>
      </c>
      <c r="N14" s="132" t="str">
        <f t="shared" si="5"/>
        <v/>
      </c>
      <c r="O14" s="132" t="str">
        <f t="shared" si="6"/>
        <v/>
      </c>
      <c r="P14" s="132" t="str">
        <f t="shared" si="1"/>
        <v/>
      </c>
      <c r="Q14" s="131"/>
      <c r="R14" s="131"/>
      <c r="S14" s="131"/>
      <c r="T14" s="131">
        <v>0</v>
      </c>
      <c r="U14" s="131">
        <v>0</v>
      </c>
      <c r="V14" s="131"/>
      <c r="W14" s="76">
        <f>TRUNC(S14*参数调整!$I$30)+TRUNC(T14*参数调整!$H$30)+TRUNC(U14*参数调整!$G$30)+TRUNC(V14*参数调整!$F$30)+Q14</f>
        <v>0</v>
      </c>
      <c r="X14" s="76">
        <f t="shared" si="2"/>
        <v>0</v>
      </c>
      <c r="Y14" s="131">
        <v>0</v>
      </c>
      <c r="Z14" s="73">
        <f>Y14+第四季度!Y14*0.53653684*0.46055126+第五季度!Y14*0.53653684</f>
        <v>0</v>
      </c>
      <c r="AB14" s="194"/>
      <c r="AD14" s="308"/>
      <c r="AE14" s="128" t="s">
        <v>98</v>
      </c>
      <c r="AF14" s="131">
        <v>0</v>
      </c>
      <c r="AG14" s="73">
        <f>AF14*参数调整!$F$29</f>
        <v>0</v>
      </c>
      <c r="AI14" s="325"/>
      <c r="AJ14" s="298"/>
      <c r="AK14" s="298"/>
      <c r="AL14" s="128" t="s">
        <v>269</v>
      </c>
      <c r="AM14" s="131">
        <v>2</v>
      </c>
      <c r="AN14" s="128">
        <f>AM14*参数调整!$F$33</f>
        <v>6000</v>
      </c>
      <c r="AO14" s="134"/>
      <c r="AP14" s="134"/>
    </row>
    <row r="15" spans="1:42" ht="14.4" customHeight="1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129">
        <f>参数调整!G57</f>
        <v>74</v>
      </c>
      <c r="D15" s="129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129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0</v>
      </c>
      <c r="S15" s="132">
        <f>SUM(S3:S14)</f>
        <v>0</v>
      </c>
      <c r="T15" s="132">
        <f>SUM(T3:T14)</f>
        <v>0</v>
      </c>
      <c r="U15" s="132">
        <f>SUM(U3:U14)</f>
        <v>0</v>
      </c>
      <c r="V15" s="132">
        <f>SUM(V3:V14)</f>
        <v>822</v>
      </c>
      <c r="AD15" s="308" t="s">
        <v>215</v>
      </c>
      <c r="AE15" s="308"/>
      <c r="AF15" s="131">
        <v>0</v>
      </c>
      <c r="AG15" s="73">
        <f>AF15*参数调整!$B$31</f>
        <v>0</v>
      </c>
      <c r="AI15" s="325"/>
      <c r="AJ15" s="298"/>
      <c r="AK15" s="298"/>
      <c r="AL15" s="128" t="s">
        <v>100</v>
      </c>
      <c r="AM15" s="131">
        <v>0</v>
      </c>
      <c r="AN15" s="128">
        <f>AM15*参数调整!$H$33</f>
        <v>0</v>
      </c>
      <c r="AO15" s="134"/>
      <c r="AP15" s="134"/>
    </row>
    <row r="16" spans="1:42" ht="14.4" customHeight="1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29">
        <f>参数调整!G58</f>
        <v>90</v>
      </c>
      <c r="D16" s="129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129">
        <f>参数调整!I58</f>
        <v>1</v>
      </c>
      <c r="F16" s="1">
        <f>D16*G16*(参数调整!$B$6+1)</f>
        <v>0</v>
      </c>
      <c r="G16" s="90">
        <f t="shared" si="0"/>
        <v>0</v>
      </c>
      <c r="H16" s="84"/>
      <c r="AC16" s="73" t="s">
        <v>192</v>
      </c>
      <c r="AD16" s="308" t="s">
        <v>216</v>
      </c>
      <c r="AE16" s="308"/>
      <c r="AF16" s="131">
        <v>0</v>
      </c>
      <c r="AG16" s="73">
        <f>AF16*参数调整!$B$32</f>
        <v>0</v>
      </c>
      <c r="AI16" s="325"/>
      <c r="AJ16" s="299"/>
      <c r="AK16" s="299"/>
      <c r="AL16" s="128" t="s">
        <v>270</v>
      </c>
      <c r="AM16" s="131">
        <v>0</v>
      </c>
      <c r="AN16" s="128">
        <f>AM16*参数调整!$G$33</f>
        <v>0</v>
      </c>
      <c r="AO16" s="134"/>
      <c r="AP16" s="134"/>
    </row>
    <row r="17" spans="1:42" ht="13.8" customHeight="1">
      <c r="J17" s="309" t="s">
        <v>195</v>
      </c>
      <c r="K17" s="309"/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W17" s="73" t="s">
        <v>318</v>
      </c>
      <c r="X17" s="73" t="s">
        <v>319</v>
      </c>
      <c r="Z17">
        <f>822-450</f>
        <v>372</v>
      </c>
      <c r="AB17" s="193" t="str">
        <f>J3</f>
        <v>S</v>
      </c>
      <c r="AC17" s="194">
        <v>59</v>
      </c>
      <c r="AD17" s="308" t="s">
        <v>217</v>
      </c>
      <c r="AE17" s="128" t="s">
        <v>218</v>
      </c>
      <c r="AF17" s="131">
        <v>0</v>
      </c>
      <c r="AG17" s="73">
        <f>AF17*参数调整!$F$3</f>
        <v>0</v>
      </c>
      <c r="AI17" s="325"/>
      <c r="AJ17" s="294" t="s">
        <v>246</v>
      </c>
      <c r="AK17" s="295"/>
      <c r="AL17" s="296"/>
      <c r="AM17" s="132">
        <v>1</v>
      </c>
      <c r="AN17" s="128">
        <f>AM17*参数调整!$B$11*(1+参数调整!$B$12+参数调整!$B$13+参数调整!$B$14+参数调整!$B$15+参数调整!$B$16)</f>
        <v>13459.999999999998</v>
      </c>
      <c r="AO17" s="134"/>
      <c r="AP17" s="134"/>
    </row>
    <row r="18" spans="1:42" ht="13.8" customHeight="1">
      <c r="A18" s="347" t="s">
        <v>197</v>
      </c>
      <c r="B18" s="348"/>
      <c r="G18" s="77">
        <f>SUMIF(E3:E16,0,F3:F16)</f>
        <v>48007.205999999991</v>
      </c>
      <c r="J18" s="310">
        <v>19</v>
      </c>
      <c r="K18" s="311"/>
      <c r="Q18" s="73" t="s">
        <v>176</v>
      </c>
      <c r="R18" s="131">
        <v>361</v>
      </c>
      <c r="S18" s="131">
        <v>285</v>
      </c>
      <c r="T18" s="131">
        <v>285</v>
      </c>
      <c r="U18" s="131">
        <v>380</v>
      </c>
      <c r="V18" s="131">
        <v>456</v>
      </c>
      <c r="W18" s="131">
        <v>475</v>
      </c>
      <c r="X18" s="131">
        <v>475</v>
      </c>
      <c r="AB18" s="193" t="str">
        <f t="shared" ref="AB18:AB28" si="7">J4</f>
        <v>B</v>
      </c>
      <c r="AC18" s="194">
        <v>136</v>
      </c>
      <c r="AD18" s="308"/>
      <c r="AE18" s="128" t="s">
        <v>219</v>
      </c>
      <c r="AF18" s="131">
        <v>0</v>
      </c>
      <c r="AG18" s="73">
        <f>AF18*参数调整!$F$4</f>
        <v>0</v>
      </c>
      <c r="AI18" s="325"/>
      <c r="AJ18" s="327" t="s">
        <v>247</v>
      </c>
      <c r="AK18" s="328"/>
      <c r="AL18" s="128" t="s">
        <v>248</v>
      </c>
      <c r="AM18" s="132">
        <f>AF25+第一季度!AF24+第二季度!AF25+第三季度!AF25+第四季度!AF25+第五季度!AF25</f>
        <v>14</v>
      </c>
      <c r="AN18" s="104">
        <f>AM18*参数调整!$B$10</f>
        <v>14000</v>
      </c>
      <c r="AO18" s="134"/>
      <c r="AP18" s="134"/>
    </row>
    <row r="19" spans="1:42" ht="13.8" customHeight="1">
      <c r="J19" s="310"/>
      <c r="K19" s="311"/>
      <c r="Q19" s="73" t="s">
        <v>177</v>
      </c>
      <c r="R19" s="131">
        <v>380</v>
      </c>
      <c r="S19" s="131">
        <v>380</v>
      </c>
      <c r="T19" s="131">
        <v>456</v>
      </c>
      <c r="U19" s="131">
        <v>475</v>
      </c>
      <c r="V19" s="131">
        <v>475</v>
      </c>
      <c r="W19" s="131">
        <v>646</v>
      </c>
      <c r="X19" s="131">
        <v>570</v>
      </c>
      <c r="AB19" s="193" t="str">
        <f t="shared" si="7"/>
        <v>B</v>
      </c>
      <c r="AC19" s="194">
        <v>68</v>
      </c>
      <c r="AD19" s="308"/>
      <c r="AE19" s="128" t="s">
        <v>220</v>
      </c>
      <c r="AF19" s="131">
        <v>0</v>
      </c>
      <c r="AG19" s="73">
        <f>AF19*参数调整!$F$5</f>
        <v>0</v>
      </c>
      <c r="AI19" s="325"/>
      <c r="AJ19" s="329"/>
      <c r="AK19" s="330"/>
      <c r="AL19" s="128" t="s">
        <v>249</v>
      </c>
      <c r="AM19" s="132">
        <f>AF26+第一季度!AF25+第二季度!AF26+第三季度!AF26+第四季度!AF26+第五季度!AF26</f>
        <v>9</v>
      </c>
      <c r="AN19" s="128">
        <f>AM19*参数调整!$B$10</f>
        <v>9000</v>
      </c>
      <c r="AO19" s="134"/>
      <c r="AP19" s="134"/>
    </row>
    <row r="20" spans="1:42" ht="13.8" customHeight="1">
      <c r="J20" s="310"/>
      <c r="K20" s="311"/>
      <c r="Q20" s="73" t="s">
        <v>178</v>
      </c>
      <c r="R20" s="131">
        <v>475</v>
      </c>
      <c r="S20" s="131">
        <v>475</v>
      </c>
      <c r="T20" s="131">
        <v>475</v>
      </c>
      <c r="U20" s="131">
        <v>646</v>
      </c>
      <c r="V20" s="131">
        <v>570</v>
      </c>
      <c r="W20" s="131">
        <v>665</v>
      </c>
      <c r="X20" s="131">
        <v>665</v>
      </c>
      <c r="AB20" s="193" t="str">
        <f t="shared" si="7"/>
        <v>B</v>
      </c>
      <c r="AC20" s="194">
        <v>129</v>
      </c>
      <c r="AD20" s="308"/>
      <c r="AE20" s="128" t="s">
        <v>221</v>
      </c>
      <c r="AF20" s="131">
        <v>0</v>
      </c>
      <c r="AG20" s="73">
        <f>AF20*参数调整!$F$6</f>
        <v>0</v>
      </c>
      <c r="AI20" s="325"/>
      <c r="AJ20" s="327" t="s">
        <v>250</v>
      </c>
      <c r="AK20" s="328"/>
      <c r="AL20" s="128" t="s">
        <v>101</v>
      </c>
      <c r="AM20" s="131">
        <v>0</v>
      </c>
      <c r="AN20" s="128">
        <f>AM20*参数调整!$I$29</f>
        <v>0</v>
      </c>
      <c r="AO20" s="134"/>
      <c r="AP20" s="134"/>
    </row>
    <row r="21" spans="1:42" ht="13.8" customHeight="1">
      <c r="J21" s="309" t="s">
        <v>196</v>
      </c>
      <c r="K21" s="312"/>
      <c r="Q21" s="73" t="s">
        <v>193</v>
      </c>
      <c r="R21" s="131">
        <v>570</v>
      </c>
      <c r="S21" s="131">
        <v>570</v>
      </c>
      <c r="T21" s="131">
        <v>570</v>
      </c>
      <c r="U21" s="131">
        <v>665</v>
      </c>
      <c r="V21" s="131">
        <v>665</v>
      </c>
      <c r="W21" s="131">
        <v>760</v>
      </c>
      <c r="X21" s="131">
        <v>836</v>
      </c>
      <c r="Z21">
        <f>140-26</f>
        <v>114</v>
      </c>
      <c r="AB21" s="193" t="str">
        <f t="shared" si="7"/>
        <v>Q</v>
      </c>
      <c r="AC21" s="194">
        <v>66</v>
      </c>
      <c r="AD21" s="308"/>
      <c r="AE21" s="128" t="s">
        <v>222</v>
      </c>
      <c r="AF21" s="131">
        <v>0</v>
      </c>
      <c r="AG21" s="73">
        <f>AF21*参数调整!$F$7</f>
        <v>0</v>
      </c>
      <c r="AI21" s="325"/>
      <c r="AJ21" s="303"/>
      <c r="AK21" s="331"/>
      <c r="AL21" s="128" t="s">
        <v>269</v>
      </c>
      <c r="AM21" s="131">
        <v>0</v>
      </c>
      <c r="AN21" s="128">
        <f>AM21*参数调整!$F$29</f>
        <v>0</v>
      </c>
      <c r="AO21" s="134"/>
      <c r="AP21" s="134"/>
    </row>
    <row r="22" spans="1:42" ht="13.8" customHeight="1">
      <c r="J22" s="310">
        <v>19</v>
      </c>
      <c r="K22" s="310"/>
      <c r="Q22" s="300" t="s">
        <v>309</v>
      </c>
      <c r="R22" s="73">
        <f>J22*19</f>
        <v>361</v>
      </c>
      <c r="S22" s="73">
        <f>J22*15</f>
        <v>285</v>
      </c>
      <c r="T22" s="73">
        <f>J22*15</f>
        <v>285</v>
      </c>
      <c r="U22" s="73">
        <f>J22*20</f>
        <v>380</v>
      </c>
      <c r="V22" s="73">
        <f>J22*24</f>
        <v>456</v>
      </c>
      <c r="W22" s="73">
        <f>J22*25</f>
        <v>475</v>
      </c>
      <c r="X22" s="73">
        <f>J22*25</f>
        <v>475</v>
      </c>
      <c r="AB22" s="193" t="str">
        <f t="shared" si="7"/>
        <v>Q</v>
      </c>
      <c r="AC22" s="194">
        <v>123</v>
      </c>
      <c r="AD22" s="308"/>
      <c r="AE22" s="128" t="s">
        <v>223</v>
      </c>
      <c r="AF22" s="131">
        <v>0</v>
      </c>
      <c r="AG22" s="73">
        <f>AF22*参数调整!$F$8</f>
        <v>0</v>
      </c>
      <c r="AI22" s="325"/>
      <c r="AJ22" s="303"/>
      <c r="AK22" s="331"/>
      <c r="AL22" s="128" t="s">
        <v>100</v>
      </c>
      <c r="AM22" s="131">
        <v>0</v>
      </c>
      <c r="AN22" s="128">
        <f>AM22*参数调整!$H$29</f>
        <v>0</v>
      </c>
      <c r="AO22" s="134"/>
      <c r="AP22" s="134"/>
    </row>
    <row r="23" spans="1:42" ht="13.8" customHeight="1">
      <c r="J23" s="310"/>
      <c r="K23" s="310"/>
      <c r="Q23" s="301"/>
      <c r="R23" s="73">
        <f>J22*20</f>
        <v>380</v>
      </c>
      <c r="S23" s="73">
        <f>J22*20</f>
        <v>380</v>
      </c>
      <c r="T23" s="73">
        <f>J22*24</f>
        <v>456</v>
      </c>
      <c r="U23" s="73">
        <f>J22*25</f>
        <v>475</v>
      </c>
      <c r="V23" s="73">
        <f>J22*25</f>
        <v>475</v>
      </c>
      <c r="W23" s="73">
        <f>J22*34</f>
        <v>646</v>
      </c>
      <c r="X23" s="73">
        <f>J22*30</f>
        <v>570</v>
      </c>
      <c r="AB23" s="193" t="str">
        <f t="shared" si="7"/>
        <v>Q</v>
      </c>
      <c r="AC23" s="194">
        <v>107</v>
      </c>
      <c r="AD23" s="294" t="s">
        <v>352</v>
      </c>
      <c r="AE23" s="296"/>
      <c r="AF23" s="131">
        <v>0</v>
      </c>
      <c r="AG23" s="73">
        <f>AF23*参数调整!$C$40</f>
        <v>0</v>
      </c>
      <c r="AI23" s="325"/>
      <c r="AJ23" s="329"/>
      <c r="AK23" s="330"/>
      <c r="AL23" s="128" t="s">
        <v>270</v>
      </c>
      <c r="AM23" s="131">
        <v>0</v>
      </c>
      <c r="AN23" s="128">
        <f>AM23*参数调整!$G$29</f>
        <v>0</v>
      </c>
      <c r="AO23" s="134"/>
      <c r="AP23" s="134"/>
    </row>
    <row r="24" spans="1:42" ht="13.8" customHeight="1">
      <c r="J24" s="310"/>
      <c r="K24" s="310"/>
      <c r="Q24" s="301"/>
      <c r="R24" s="73">
        <f>J22*25</f>
        <v>475</v>
      </c>
      <c r="S24" s="73">
        <f>J22*25</f>
        <v>475</v>
      </c>
      <c r="T24" s="73">
        <f>J22*25</f>
        <v>475</v>
      </c>
      <c r="U24" s="73">
        <f>J22*34</f>
        <v>646</v>
      </c>
      <c r="V24" s="73">
        <f>J22*30</f>
        <v>570</v>
      </c>
      <c r="W24" s="73">
        <f>J22*35</f>
        <v>665</v>
      </c>
      <c r="X24" s="73">
        <f>J22*35</f>
        <v>665</v>
      </c>
      <c r="AB24" s="193" t="str">
        <f t="shared" si="7"/>
        <v>L</v>
      </c>
      <c r="AC24" s="194">
        <v>171</v>
      </c>
      <c r="AD24" s="294" t="s">
        <v>353</v>
      </c>
      <c r="AE24" s="296"/>
      <c r="AF24" s="131">
        <v>0</v>
      </c>
      <c r="AG24" s="73">
        <f>AF24*参数调整!$C$41</f>
        <v>0</v>
      </c>
      <c r="AI24" s="325"/>
      <c r="AJ24" s="327" t="s">
        <v>251</v>
      </c>
      <c r="AK24" s="328"/>
      <c r="AL24" s="128" t="s">
        <v>252</v>
      </c>
      <c r="AM24" s="131">
        <v>0</v>
      </c>
      <c r="AN24" s="128">
        <f>AM24*参数调整!$F$23</f>
        <v>0</v>
      </c>
      <c r="AO24" s="134"/>
      <c r="AP24" s="134"/>
    </row>
    <row r="25" spans="1:42" ht="13.8" customHeight="1">
      <c r="Q25" s="302"/>
      <c r="R25" s="73">
        <f>J22*30</f>
        <v>570</v>
      </c>
      <c r="S25" s="73">
        <f>J22*30</f>
        <v>570</v>
      </c>
      <c r="T25" s="73">
        <f>J22*30</f>
        <v>570</v>
      </c>
      <c r="U25" s="73">
        <f>J22*35</f>
        <v>665</v>
      </c>
      <c r="V25" s="73">
        <f>J22*35</f>
        <v>665</v>
      </c>
      <c r="W25" s="73">
        <f>J22*40</f>
        <v>760</v>
      </c>
      <c r="X25" s="73">
        <f>J22*44</f>
        <v>836</v>
      </c>
      <c r="AB25" s="193">
        <f t="shared" si="7"/>
        <v>0</v>
      </c>
      <c r="AC25" s="194"/>
      <c r="AD25" s="308" t="s">
        <v>224</v>
      </c>
      <c r="AE25" s="308"/>
      <c r="AF25" s="131">
        <v>0</v>
      </c>
      <c r="AG25" s="73">
        <f>AF25*参数调整!$F$18</f>
        <v>0</v>
      </c>
      <c r="AI25" s="325"/>
      <c r="AJ25" s="303"/>
      <c r="AK25" s="331"/>
      <c r="AL25" s="128" t="s">
        <v>253</v>
      </c>
      <c r="AM25" s="131">
        <v>0</v>
      </c>
      <c r="AN25" s="128">
        <f>AM25*参数调整!$H$23</f>
        <v>0</v>
      </c>
      <c r="AO25" s="134"/>
      <c r="AP25" s="134"/>
    </row>
    <row r="26" spans="1:42" ht="13.8" customHeight="1">
      <c r="AB26" s="193">
        <f t="shared" si="7"/>
        <v>0</v>
      </c>
      <c r="AC26" s="194"/>
      <c r="AD26" s="308" t="s">
        <v>225</v>
      </c>
      <c r="AE26" s="308"/>
      <c r="AF26" s="131">
        <v>0</v>
      </c>
      <c r="AG26" s="73">
        <f>AF26*参数调整!$F$17</f>
        <v>0</v>
      </c>
      <c r="AI26" s="325"/>
      <c r="AJ26" s="329"/>
      <c r="AK26" s="330"/>
      <c r="AL26" s="128" t="s">
        <v>254</v>
      </c>
      <c r="AM26" s="131">
        <v>0</v>
      </c>
      <c r="AN26" s="128">
        <f>AM26*参数调整!$J$23</f>
        <v>0</v>
      </c>
      <c r="AO26" s="134"/>
      <c r="AP26" s="134"/>
    </row>
    <row r="27" spans="1:42" ht="13.8" customHeight="1">
      <c r="AB27" s="193">
        <f t="shared" si="7"/>
        <v>0</v>
      </c>
      <c r="AC27" s="194"/>
      <c r="AD27" s="308" t="s">
        <v>226</v>
      </c>
      <c r="AE27" s="308"/>
      <c r="AF27" s="308"/>
      <c r="AG27" s="73">
        <f>SUM(Y3:Y14)</f>
        <v>38903.86</v>
      </c>
      <c r="AI27" s="325"/>
      <c r="AJ27" s="294" t="s">
        <v>255</v>
      </c>
      <c r="AK27" s="295"/>
      <c r="AL27" s="296"/>
      <c r="AM27" s="132">
        <f>AM19</f>
        <v>9</v>
      </c>
      <c r="AN27" s="128">
        <f>AM27*参数调整!$J$17*(1+参数调整!$B$12+参数调整!$B$13+参数调整!$B$14+参数调整!$B$15+参数调整!$B$16)</f>
        <v>48455.999999999993</v>
      </c>
      <c r="AO27" s="134"/>
      <c r="AP27" s="134"/>
    </row>
    <row r="28" spans="1:42" ht="13.8" customHeight="1">
      <c r="J28" s="1"/>
      <c r="P28" s="1"/>
      <c r="Q28" s="73" t="s">
        <v>310</v>
      </c>
      <c r="R28" s="73" t="s">
        <v>322</v>
      </c>
      <c r="S28" s="73" t="s">
        <v>311</v>
      </c>
      <c r="T28" s="73" t="s">
        <v>312</v>
      </c>
      <c r="U28" s="73" t="s">
        <v>313</v>
      </c>
      <c r="V28" s="73" t="s">
        <v>314</v>
      </c>
      <c r="W28" s="73" t="s">
        <v>191</v>
      </c>
      <c r="X28" s="73" t="s">
        <v>274</v>
      </c>
      <c r="Y28" s="73" t="s">
        <v>315</v>
      </c>
      <c r="Z28" s="1"/>
      <c r="AB28" s="193">
        <f t="shared" si="7"/>
        <v>0</v>
      </c>
      <c r="AC28" s="194"/>
      <c r="AD28" s="308" t="s">
        <v>227</v>
      </c>
      <c r="AE28" s="308"/>
      <c r="AF28" s="308"/>
      <c r="AG28" s="73">
        <f>G18</f>
        <v>48007.205999999991</v>
      </c>
      <c r="AI28" s="325"/>
      <c r="AJ28" s="297" t="s">
        <v>256</v>
      </c>
      <c r="AK28" s="316" t="s">
        <v>257</v>
      </c>
      <c r="AL28" s="334" t="s">
        <v>176</v>
      </c>
      <c r="AM28" s="332">
        <v>0</v>
      </c>
      <c r="AN28" s="297">
        <f>AM28*参数调整!$B$30*参数调整!F11</f>
        <v>0</v>
      </c>
      <c r="AO28" s="134"/>
      <c r="AP28" s="134"/>
    </row>
    <row r="29" spans="1:42" ht="13.8" customHeight="1">
      <c r="J29" s="73" t="str">
        <f t="shared" ref="J29:J40" si="8">J3</f>
        <v>S</v>
      </c>
      <c r="K29" s="73">
        <f>第五季度!W3-第六季度!Q3+第六季度!R3</f>
        <v>70</v>
      </c>
      <c r="L29" s="73"/>
      <c r="M29" s="73"/>
      <c r="N29" s="73"/>
      <c r="O29" s="73"/>
      <c r="P29" s="73"/>
      <c r="Q29" s="198">
        <v>955</v>
      </c>
      <c r="R29" s="73">
        <f>IF(J29="S",K29*100/(SUM(第五季度!$R$18:$X$18)-$Q$29),IF(J29="B",K29*100/(SUM(第五季度!$R$19:$X$19)-$Q$30),IF(J29="Q",K29*100/(SUM(第五季度!$R$20:$X$20)-$Q$31),K29*100/(SUM(第五季度!$R$21:$X$21)-$Q$32))))</f>
        <v>1.9331676332504832</v>
      </c>
      <c r="S29" s="73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-2.8181372510169833E-3</v>
      </c>
      <c r="T29" s="131">
        <v>0.34</v>
      </c>
      <c r="U29" s="73">
        <f>R29+S29-T29</f>
        <v>1.5903494959994662</v>
      </c>
      <c r="V29" s="73">
        <f>IF(J29="S",Z3*参数调整!$H$11/($X$29*$J$18),IF(J29="B",Z3*参数调整!$H$12/($X$30*$J$18),IF(J29="Q",Z3*参数调整!$H$13/($X$31*$J$18),Z3*参数调整!$H$14/($X$32*$J$18))))</f>
        <v>0.38196293927506031</v>
      </c>
      <c r="W29" s="131">
        <v>18981.450144177892</v>
      </c>
      <c r="X29" s="1">
        <f>W29+第四季度!W29*0.53653684*0.46055126+第五季度!W29*0.53653684</f>
        <v>29729.372619168378</v>
      </c>
      <c r="Y29" s="73">
        <f>U29+V29</f>
        <v>1.9723124352745265</v>
      </c>
      <c r="Z29" s="91">
        <v>18981.450144177892</v>
      </c>
      <c r="AD29" s="308" t="s">
        <v>228</v>
      </c>
      <c r="AE29" s="308"/>
      <c r="AF29" s="308"/>
      <c r="AG29" s="98">
        <f>AG3+AG4*(1-参数调整!$B$18)-SUM(AG5:AG28)</f>
        <v>-41209.495999999992</v>
      </c>
      <c r="AH29" s="98">
        <f>AG29/(1-参数调整!B23)</f>
        <v>-42484.016494845353</v>
      </c>
      <c r="AI29" s="325"/>
      <c r="AJ29" s="298"/>
      <c r="AK29" s="317"/>
      <c r="AL29" s="335"/>
      <c r="AM29" s="333"/>
      <c r="AN29" s="299"/>
      <c r="AO29" s="134"/>
      <c r="AP29" s="134"/>
    </row>
    <row r="30" spans="1:42" ht="13.8" customHeight="1">
      <c r="J30" s="73" t="str">
        <f t="shared" si="8"/>
        <v>B</v>
      </c>
      <c r="K30" s="73">
        <f>第五季度!W4-第六季度!Q4+第六季度!R4</f>
        <v>129</v>
      </c>
      <c r="L30" s="73"/>
      <c r="M30" s="73"/>
      <c r="N30" s="73"/>
      <c r="O30" s="73"/>
      <c r="P30" s="73"/>
      <c r="Q30" s="198">
        <v>964</v>
      </c>
      <c r="R30" s="73">
        <f>IF(J30="S",K30*100/(SUM(第五季度!$R$18:$X$18)-$Q$29),IF(J30="B",K30*100/(SUM(第五季度!$R$19:$X$19)-$Q$30),IF(J30="Q",K30*100/(SUM(第五季度!$R$20:$X$20)-$Q$31),IF(第一季度!$R$22=0,K30*100/(SUM(第五季度!$R$21:$X$21)-$Q$32)))))</f>
        <v>2.8692170818505338</v>
      </c>
      <c r="S30" s="73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0.22771352882185508</v>
      </c>
      <c r="T30" s="131">
        <v>0</v>
      </c>
      <c r="U30" s="73">
        <f t="shared" ref="U30:U40" si="9">R30+S30-T30</f>
        <v>3.0969306106723891</v>
      </c>
      <c r="V30" s="73">
        <f>IF(J30="S",Z4*参数调整!$H$11/($X$29*$J$18),IF(J30="B",Z4*参数调整!$H$12/($X$30*$J$18),IF(J30="Q",Z4*参数调整!$H$13/($X$31*$J$18),Z4*参数调整!$H$14/($X$32*$J$18))))</f>
        <v>5.8463368205937748E-2</v>
      </c>
      <c r="W30" s="131">
        <v>27740.751591235174</v>
      </c>
      <c r="X30" s="1">
        <f>W30+第四季度!W30*0.53653684*0.46055126+第五季度!W30*0.53653684</f>
        <v>47204.724585560311</v>
      </c>
      <c r="Y30" s="73">
        <f t="shared" ref="Y30:Y40" si="10">U30+V30</f>
        <v>3.155393978878327</v>
      </c>
      <c r="Z30" s="91">
        <v>27740.751591235174</v>
      </c>
      <c r="AD30" s="294" t="s">
        <v>317</v>
      </c>
      <c r="AE30" s="295"/>
      <c r="AF30" s="296"/>
      <c r="AG30" s="131">
        <v>40599</v>
      </c>
      <c r="AI30" s="325"/>
      <c r="AJ30" s="298"/>
      <c r="AK30" s="317"/>
      <c r="AL30" s="334" t="s">
        <v>177</v>
      </c>
      <c r="AM30" s="332">
        <v>0</v>
      </c>
      <c r="AN30" s="297">
        <f>参数调整!F12*AM30*参数调整!$B$30</f>
        <v>0</v>
      </c>
      <c r="AO30" s="134"/>
      <c r="AP30" s="134"/>
    </row>
    <row r="31" spans="1:42">
      <c r="J31" s="73" t="str">
        <f t="shared" si="8"/>
        <v>B</v>
      </c>
      <c r="K31" s="73">
        <f>第五季度!W5-第六季度!Q5+第六季度!R5</f>
        <v>67</v>
      </c>
      <c r="L31" s="73"/>
      <c r="M31" s="73"/>
      <c r="N31" s="73"/>
      <c r="O31" s="73"/>
      <c r="P31" s="73"/>
      <c r="Q31" s="198">
        <v>1092</v>
      </c>
      <c r="R31" s="73">
        <f>IF(J31="S",K31*100/(SUM(第五季度!$R$18:$X$18)-$Q$29),IF(J31="B",K31*100/(SUM(第五季度!$R$19:$X$19)-$Q$30),IF(J31="Q",K31*100/(SUM(第五季度!$R$20:$X$20)-$Q$31),IF(第一季度!$R$22=0,K31*100/(SUM(第五季度!$R$21:$X$21)-$Q$32)))))</f>
        <v>1.4902135231316727</v>
      </c>
      <c r="S31" s="73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0.1089841589785662</v>
      </c>
      <c r="T31" s="131">
        <v>7.0000000000000007E-2</v>
      </c>
      <c r="U31" s="73">
        <f t="shared" si="9"/>
        <v>1.5291976821102389</v>
      </c>
      <c r="V31" s="73">
        <f>IF(J31="S",Z5*参数调整!$H$11/($X$29*$J$18),IF(J31="B",Z5*参数调整!$H$12/($X$30*$J$18),IF(J31="Q",Z5*参数调整!$H$13/($X$31*$J$18),Z5*参数调整!$H$14/($X$32*$J$18))))</f>
        <v>0.40423872820171119</v>
      </c>
      <c r="W31" s="131">
        <v>14672.132501218679</v>
      </c>
      <c r="X31" s="1">
        <f>W31+第四季度!W31*0.53653684*0.46055126+第五季度!W31*0.53653684</f>
        <v>23390.997492694831</v>
      </c>
      <c r="Y31" s="73">
        <f t="shared" si="10"/>
        <v>1.9334364103119501</v>
      </c>
      <c r="Z31" s="91">
        <v>14672.132501218679</v>
      </c>
      <c r="AD31" s="294" t="s">
        <v>228</v>
      </c>
      <c r="AE31" s="295"/>
      <c r="AF31" s="296"/>
      <c r="AG31" s="98">
        <f>AG30*(1-参数调整!B23)+AG29</f>
        <v>-1828.4659999999931</v>
      </c>
      <c r="AI31" s="325"/>
      <c r="AJ31" s="298"/>
      <c r="AK31" s="317"/>
      <c r="AL31" s="335"/>
      <c r="AM31" s="333"/>
      <c r="AN31" s="299"/>
      <c r="AO31" s="134"/>
      <c r="AP31" s="134"/>
    </row>
    <row r="32" spans="1:42">
      <c r="J32" s="73" t="str">
        <f t="shared" si="8"/>
        <v>B</v>
      </c>
      <c r="K32" s="73">
        <f>第五季度!W6-第六季度!Q6+第六季度!R6</f>
        <v>118</v>
      </c>
      <c r="L32" s="73"/>
      <c r="M32" s="73"/>
      <c r="N32" s="73"/>
      <c r="O32" s="73"/>
      <c r="P32" s="73"/>
      <c r="Q32" s="198">
        <v>1542</v>
      </c>
      <c r="R32" s="73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2.6245551601423487</v>
      </c>
      <c r="S32" s="73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0.11468213127611052</v>
      </c>
      <c r="T32" s="131">
        <v>0</v>
      </c>
      <c r="U32" s="73">
        <f t="shared" si="9"/>
        <v>2.7392372914184593</v>
      </c>
      <c r="V32" s="73">
        <f>IF(J32="S",Z6*参数调整!$H$11/($X$29*$J$18),IF(J32="B",Z6*参数调整!$H$12/($X$30*$J$18),IF(J32="Q",Z6*参数调整!$H$13/($X$31*$J$18),Z6*参数调整!$H$14/($X$32*$J$18))))</f>
        <v>0</v>
      </c>
      <c r="W32" s="131">
        <v>1200</v>
      </c>
      <c r="X32" s="1">
        <f>W32+第四季度!W32*0.53653684*0.46055126+第五季度!W32*0.53653684</f>
        <v>2788.9400062350123</v>
      </c>
      <c r="Y32" s="73">
        <f t="shared" si="10"/>
        <v>2.7392372914184593</v>
      </c>
      <c r="Z32" s="91">
        <v>0</v>
      </c>
      <c r="AI32" s="325"/>
      <c r="AJ32" s="298"/>
      <c r="AK32" s="317"/>
      <c r="AL32" s="334" t="s">
        <v>178</v>
      </c>
      <c r="AM32" s="332">
        <v>1</v>
      </c>
      <c r="AN32" s="297">
        <f>参数调整!F13*AM32*参数调整!$B$30</f>
        <v>180</v>
      </c>
      <c r="AO32" s="134"/>
      <c r="AP32" s="134"/>
    </row>
    <row r="33" spans="1:42">
      <c r="A33" s="73" t="s">
        <v>312</v>
      </c>
      <c r="B33" s="73" t="s">
        <v>191</v>
      </c>
      <c r="J33" s="73" t="str">
        <f t="shared" si="8"/>
        <v>Q</v>
      </c>
      <c r="K33" s="73">
        <f>第五季度!W7-第六季度!Q7+第六季度!R7</f>
        <v>61</v>
      </c>
      <c r="L33" s="73"/>
      <c r="M33" s="73"/>
      <c r="N33" s="73"/>
      <c r="O33" s="73"/>
      <c r="P33" s="73"/>
      <c r="R33" s="73">
        <f>IF(J33="S",K33*100/(SUM(第五季度!$R$18:$X$18)-$Q$29),IF(J33="B",K33*100/(SUM(第五季度!$R$19:$X$19)-$Q$30),IF(J33="Q",K33*100/(SUM(第五季度!$R$20:$X$20)-$Q$31),IF(第一季度!$R$22=0,K33*100/(SUM(第五季度!$R$21:$X$21)-$Q$32)))))</f>
        <v>1.1789717819868573</v>
      </c>
      <c r="S33" s="73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-2.6092144982711618E-2</v>
      </c>
      <c r="T33" s="131">
        <v>0</v>
      </c>
      <c r="U33" s="73">
        <f t="shared" si="9"/>
        <v>1.1528796370041456</v>
      </c>
      <c r="V33" s="73">
        <f>IF(J33="S",Z7*参数调整!$H$11/($X$29*$J$18),IF(J33="B",Z7*参数调整!$H$12/($X$30*$J$18),IF(J33="Q",Z7*参数调整!$H$13/($X$31*$J$18),Z7*参数调整!$H$14/($X$32*$J$18))))</f>
        <v>0</v>
      </c>
      <c r="W33" s="1"/>
      <c r="X33" s="1"/>
      <c r="Y33" s="73">
        <f t="shared" si="10"/>
        <v>1.1528796370041456</v>
      </c>
      <c r="Z33" s="1"/>
      <c r="AI33" s="325"/>
      <c r="AJ33" s="298"/>
      <c r="AK33" s="317"/>
      <c r="AL33" s="335"/>
      <c r="AM33" s="333"/>
      <c r="AN33" s="299"/>
      <c r="AO33" s="134"/>
      <c r="AP33" s="134"/>
    </row>
    <row r="34" spans="1:42">
      <c r="A34" s="131">
        <v>9.2999999999999999E-2</v>
      </c>
      <c r="B34" s="73">
        <f>((AA3*参数调整!H11/A34)-第三季度!W29*$J$18*0.536537*0.46055126-第四季度!W29*$J$18*0.536537)/$J$18</f>
        <v>114507.35327918583</v>
      </c>
      <c r="J34" s="73" t="str">
        <f t="shared" si="8"/>
        <v>Q</v>
      </c>
      <c r="K34" s="73">
        <f>第五季度!W8-第六季度!Q8+第六季度!R8</f>
        <v>122</v>
      </c>
      <c r="L34" s="73"/>
      <c r="M34" s="73"/>
      <c r="N34" s="73"/>
      <c r="O34" s="73"/>
      <c r="P34" s="73"/>
      <c r="R34" s="73">
        <f>IF(J34="S",K34*100/(SUM(第五季度!$R$18:$X$18)-$Q$29),IF(J34="B",K34*100/(SUM(第五季度!$R$19:$X$19)-$Q$30),IF(J34="Q",K34*100/(SUM(第五季度!$R$20:$X$20)-$Q$31),IF(第一季度!$R$22=0,K34*100/(SUM(第五季度!$R$21:$X$21)-$Q$32)))))</f>
        <v>2.3579435639737145</v>
      </c>
      <c r="S34" s="73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9.6639583010082741E-3</v>
      </c>
      <c r="T34" s="131">
        <v>0.24</v>
      </c>
      <c r="U34" s="73">
        <f t="shared" si="9"/>
        <v>2.1276075222747224</v>
      </c>
      <c r="V34" s="73">
        <f>IF(J34="S",Z8*参数调整!$H$11/($X$29*$J$18),IF(J34="B",Z8*参数调整!$H$12/($X$30*$J$18),IF(J34="Q",Z8*参数调整!$H$13/($X$31*$J$18),Z8*参数调整!$H$14/($X$32*$J$18))))</f>
        <v>0.57749763752842875</v>
      </c>
      <c r="W34" s="1"/>
      <c r="X34" s="1"/>
      <c r="Y34" s="73">
        <f t="shared" si="10"/>
        <v>2.7051051598031512</v>
      </c>
      <c r="Z34" s="1"/>
      <c r="AI34" s="325"/>
      <c r="AJ34" s="298"/>
      <c r="AK34" s="317"/>
      <c r="AL34" s="334" t="s">
        <v>193</v>
      </c>
      <c r="AM34" s="332">
        <v>0</v>
      </c>
      <c r="AN34" s="297">
        <f>参数调整!F14*AM34*参数调整!$B$30</f>
        <v>0</v>
      </c>
      <c r="AO34" s="134"/>
      <c r="AP34" s="134"/>
    </row>
    <row r="35" spans="1:42">
      <c r="A35" s="131">
        <v>2.2100000000000002E-2</v>
      </c>
      <c r="B35" s="73">
        <f>((AA4*参数调整!H12/A35)-第三季度!W30*$J$18*0.536537*0.46055126-第四季度!W30*$J$18*0.536537)/$J$18</f>
        <v>977097.93589503004</v>
      </c>
      <c r="J35" s="73" t="str">
        <f t="shared" si="8"/>
        <v>Q</v>
      </c>
      <c r="K35" s="73">
        <f>第五季度!W9-第六季度!Q9+第六季度!R9</f>
        <v>102</v>
      </c>
      <c r="L35" s="73"/>
      <c r="M35" s="73"/>
      <c r="N35" s="73"/>
      <c r="O35" s="73"/>
      <c r="P35" s="73"/>
      <c r="R35" s="73">
        <f>IF(J35="S",K35*100/(SUM(第五季度!$R$18:$X$18)-$Q$29),IF(J35="B",K35*100/(SUM(第五季度!$R$19:$X$19)-$Q$30),IF(J35="Q",K35*100/(SUM(第五季度!$R$20:$X$20)-$Q$31),IF(第一季度!$R$22=0,K35*100/(SUM(第五季度!$R$21:$X$21)-$Q$32)))))</f>
        <v>1.9713954387321222</v>
      </c>
      <c r="S35" s="73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-3.8817679181662346E-2</v>
      </c>
      <c r="T35" s="131">
        <v>0</v>
      </c>
      <c r="U35" s="73">
        <f t="shared" si="9"/>
        <v>1.9325777595504599</v>
      </c>
      <c r="V35" s="73">
        <f>IF(J35="S",Z9*参数调整!$H$11/($X$29*$J$18),IF(J35="B",Z9*参数调整!$H$12/($X$30*$J$18),IF(J35="Q",Z9*参数调整!$H$13/($X$31*$J$18),Z9*参数调整!$H$14/($X$32*$J$18))))</f>
        <v>0.10081400983224653</v>
      </c>
      <c r="W35" s="1"/>
      <c r="X35" s="1"/>
      <c r="Y35" s="73">
        <f t="shared" si="10"/>
        <v>2.0333917693827064</v>
      </c>
      <c r="Z35" s="1"/>
      <c r="AI35" s="325"/>
      <c r="AJ35" s="299"/>
      <c r="AK35" s="318"/>
      <c r="AL35" s="335"/>
      <c r="AM35" s="333"/>
      <c r="AN35" s="299"/>
      <c r="AO35" s="128" t="s">
        <v>258</v>
      </c>
      <c r="AP35" s="128" t="s">
        <v>259</v>
      </c>
    </row>
    <row r="36" spans="1:42">
      <c r="A36" s="131">
        <v>0.28920000000000001</v>
      </c>
      <c r="B36" s="73">
        <f>((AA5*参数调整!H13/A36)-第三季度!W31*$J$18*0.536537*0.46055126-第四季度!W31*$J$18*0.536537)/$J$18</f>
        <v>49205.158882872296</v>
      </c>
      <c r="D36" s="304" t="s">
        <v>306</v>
      </c>
      <c r="E36" s="291" t="s">
        <v>302</v>
      </c>
      <c r="J36" s="73" t="str">
        <f t="shared" si="8"/>
        <v>L</v>
      </c>
      <c r="K36" s="73">
        <f>第五季度!W10-第六季度!Q10+第六季度!R10</f>
        <v>197</v>
      </c>
      <c r="L36" s="73"/>
      <c r="M36" s="73"/>
      <c r="N36" s="73"/>
      <c r="O36" s="73"/>
      <c r="P36" s="73"/>
      <c r="R36" s="73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3.3872077028885834</v>
      </c>
      <c r="S36" s="73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1.1405170221250788E-2</v>
      </c>
      <c r="T36" s="131">
        <v>0.06</v>
      </c>
      <c r="U36" s="73">
        <f t="shared" si="9"/>
        <v>3.3386128731098341</v>
      </c>
      <c r="V36" s="73">
        <f>IF(J36="S",Z10*参数调整!$H$11/($X$29*$J$18),IF(J36="B",Z10*参数调整!$H$12/($X$30*$J$18),IF(J36="Q",Z10*参数调整!$H$13/($X$31*$J$18),Z10*参数调整!$H$14/($X$32*$J$18))))</f>
        <v>0.25041247817128109</v>
      </c>
      <c r="W36" s="1"/>
      <c r="X36" s="1"/>
      <c r="Y36" s="73">
        <f t="shared" si="10"/>
        <v>3.5890253512811152</v>
      </c>
      <c r="Z36" s="1"/>
      <c r="AI36" s="326"/>
      <c r="AJ36" s="294" t="s">
        <v>260</v>
      </c>
      <c r="AK36" s="295"/>
      <c r="AL36" s="295"/>
      <c r="AM36" s="296"/>
      <c r="AN36" s="98">
        <f>AN2-SUM(AN5:AN19)+SUM(AN20:AN26)-SUM(AN27:AN35)+AO36*(1-参数调整!B23)+AP36*(1-参数调整!B24)-第三季度!AG4</f>
        <v>23108.850000000013</v>
      </c>
      <c r="AO36" s="131">
        <v>0</v>
      </c>
      <c r="AP36" s="131">
        <v>0</v>
      </c>
    </row>
    <row r="37" spans="1:42">
      <c r="A37" s="131">
        <v>1.37E-2</v>
      </c>
      <c r="B37" s="73">
        <f>((AA6*参数调整!H14/A37)-第三季度!W32*$J$18*0.536537*0.46055126-第四季度!W32*$J$18*0.536537)/$J$18</f>
        <v>49792.05446448287</v>
      </c>
      <c r="D37" s="304"/>
      <c r="E37" s="291"/>
      <c r="J37" s="73">
        <f t="shared" si="8"/>
        <v>0</v>
      </c>
      <c r="K37" s="73">
        <f>第五季度!W11-第六季度!Q11+第六季度!R11</f>
        <v>0</v>
      </c>
      <c r="L37" s="73"/>
      <c r="M37" s="73"/>
      <c r="N37" s="73"/>
      <c r="O37" s="73"/>
      <c r="P37" s="73"/>
      <c r="R37" s="73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73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131">
        <v>0</v>
      </c>
      <c r="U37" s="73">
        <f t="shared" si="9"/>
        <v>0</v>
      </c>
      <c r="V37" s="73">
        <f>IF(J37="S",Z11*参数调整!$H$11/($X$29*$J$18),IF(J37="B",Z11*参数调整!$H$12/($X$30*$J$18),IF(J37="Q",Z11*参数调整!$H$13/($X$31*$J$18),Z11*参数调整!$H$14/($X$32*$J$18))))</f>
        <v>0</v>
      </c>
      <c r="Y37" s="73">
        <f t="shared" si="10"/>
        <v>0</v>
      </c>
      <c r="AI37" s="321" t="s">
        <v>427</v>
      </c>
      <c r="AJ37" s="294" t="s">
        <v>262</v>
      </c>
      <c r="AK37" s="295"/>
      <c r="AL37" s="295"/>
      <c r="AM37" s="296"/>
      <c r="AN37" s="132">
        <f>AO3-AO36</f>
        <v>332402.84999999998</v>
      </c>
      <c r="AO37" s="134"/>
      <c r="AP37" s="134"/>
    </row>
    <row r="38" spans="1:42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134">
        <f>第五季度!G3+第五季度!H3+第五季度!E38-第五季度!B3</f>
        <v>0</v>
      </c>
      <c r="J38" s="73">
        <f t="shared" si="8"/>
        <v>0</v>
      </c>
      <c r="K38" s="73">
        <f>第五季度!W12-第六季度!Q12+第六季度!R12</f>
        <v>0</v>
      </c>
      <c r="L38" s="73"/>
      <c r="M38" s="73"/>
      <c r="N38" s="73"/>
      <c r="O38" s="73"/>
      <c r="P38" s="73"/>
      <c r="R38" s="73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73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131">
        <v>0</v>
      </c>
      <c r="U38" s="73">
        <f t="shared" si="9"/>
        <v>0</v>
      </c>
      <c r="V38" s="73">
        <f>IF(J38="S",Z12*参数调整!$H$11/($X$29*$J$18),IF(J38="B",Z12*参数调整!$H$12/($X$30*$J$18),IF(J38="Q",Z12*参数调整!$H$13/($X$31*$J$18),Z12*参数调整!$H$14/($X$32*$J$18))))</f>
        <v>0</v>
      </c>
      <c r="Y38" s="73">
        <f t="shared" si="10"/>
        <v>0</v>
      </c>
      <c r="AI38" s="322"/>
      <c r="AJ38" s="294" t="s">
        <v>263</v>
      </c>
      <c r="AK38" s="295"/>
      <c r="AL38" s="295"/>
      <c r="AM38" s="296"/>
      <c r="AN38" s="132">
        <f>(G3*D3*E3+G4*D4*E4+G5*D5*1.5*E5+G6*D6*E6+G7*E7*D7+G8*E8*D8+G9*E9*D9+G10*E10*D10+G11*E11*D11+G12*E12*D12+G13*E13*D13*1.5+G14*E14*D14*1.5+G15*E15*D15*1.5+G16*E16*D16*1.5)*(1+参数调整!B6)</f>
        <v>74001.096000000005</v>
      </c>
      <c r="AO38" s="134"/>
      <c r="AP38" s="134"/>
    </row>
    <row r="39" spans="1:42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83</v>
      </c>
      <c r="E39" s="134">
        <f>第五季度!G4+第五季度!H4+第五季度!E39-第五季度!B4</f>
        <v>0</v>
      </c>
      <c r="J39" s="73">
        <f t="shared" si="8"/>
        <v>0</v>
      </c>
      <c r="K39" s="73">
        <f>第五季度!W13-第六季度!Q13+第六季度!R13</f>
        <v>0</v>
      </c>
      <c r="L39" s="73"/>
      <c r="M39" s="73"/>
      <c r="N39" s="73"/>
      <c r="O39" s="73"/>
      <c r="P39" s="73"/>
      <c r="R39" s="73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73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131">
        <v>0</v>
      </c>
      <c r="U39" s="73">
        <f t="shared" si="9"/>
        <v>0</v>
      </c>
      <c r="V39" s="73">
        <f>IF(J39="S",Z13*参数调整!$H$11/($X$29*$J$18),IF(J39="B",Z13*参数调整!$H$12/($X$30*$J$18),IF(J39="Q",Z13*参数调整!$H$13/($X$31*$J$18),Z13*参数调整!$H$14/($X$32*$J$18))))</f>
        <v>0</v>
      </c>
      <c r="Y39" s="73">
        <f t="shared" si="10"/>
        <v>0</v>
      </c>
      <c r="AI39" s="322"/>
      <c r="AJ39" s="294" t="s">
        <v>264</v>
      </c>
      <c r="AK39" s="295"/>
      <c r="AL39" s="295"/>
      <c r="AM39" s="296"/>
      <c r="AN39" s="132">
        <f>H5*D40*(1+参数调整!B6)+H13*D48*(1+参数调整!B6)+H14*D49*(1+参数调整!B6)+H15*D50*(1+参数调整!B6)+H16*D51*(1+参数调整!B6)</f>
        <v>0</v>
      </c>
      <c r="AO39" s="134"/>
      <c r="AP39" s="134"/>
    </row>
    <row r="40" spans="1:42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116</v>
      </c>
      <c r="E40" s="134">
        <f>第五季度!G5+第五季度!H5+第五季度!E40-第五季度!B5</f>
        <v>106</v>
      </c>
      <c r="J40" s="73">
        <f t="shared" si="8"/>
        <v>0</v>
      </c>
      <c r="K40" s="73">
        <f>第五季度!W14-第六季度!Q14+第六季度!R14</f>
        <v>0</v>
      </c>
      <c r="L40" s="73"/>
      <c r="M40" s="73"/>
      <c r="N40" s="73"/>
      <c r="O40" s="73"/>
      <c r="P40" s="73"/>
      <c r="R40" s="73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73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131">
        <v>0</v>
      </c>
      <c r="U40" s="73">
        <f t="shared" si="9"/>
        <v>0</v>
      </c>
      <c r="V40" s="73">
        <f>IF(J40="S",Z14*参数调整!$H$11/($X$29*$J$18),IF(J40="B",Z14*参数调整!$H$12/($X$30*$J$18),IF(J40="Q",Z14*参数调整!$H$13/($X$31*$J$18),Z14*参数调整!$H$14/($X$32*$J$18))))</f>
        <v>0</v>
      </c>
      <c r="Y40" s="73">
        <f t="shared" si="10"/>
        <v>0</v>
      </c>
      <c r="AI40" s="322"/>
      <c r="AJ40" s="294" t="s">
        <v>265</v>
      </c>
      <c r="AK40" s="295"/>
      <c r="AL40" s="295"/>
      <c r="AM40" s="296"/>
      <c r="AN40" s="132">
        <v>10000</v>
      </c>
      <c r="AO40" s="134"/>
      <c r="AP40" s="134"/>
    </row>
    <row r="41" spans="1:42">
      <c r="A41" s="73" t="s">
        <v>304</v>
      </c>
      <c r="B41" s="1"/>
      <c r="C41" s="1"/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8</v>
      </c>
      <c r="E41" s="134">
        <f>第五季度!G6+第五季度!H6+第五季度!E41-第五季度!B6</f>
        <v>0</v>
      </c>
      <c r="AI41" s="322"/>
      <c r="AJ41" s="294" t="s">
        <v>266</v>
      </c>
      <c r="AK41" s="295"/>
      <c r="AL41" s="295"/>
      <c r="AM41" s="296"/>
      <c r="AN41" s="132">
        <f>(AN2+AO3+AP3-AK2)*参数调整!B6/(1+参数调整!B6)-(F3+F4+F5*1.5+F6+F7+F8+F9+F10+F11+F12+F13*1.5+F14*1.5+F15*1.5+F16*1.5+第五季度!AN39)/(1+参数调整!B6)*参数调整!B6</f>
        <v>78013.36905982907</v>
      </c>
      <c r="AO41" s="134"/>
      <c r="AP41" s="134"/>
    </row>
    <row r="42" spans="1:42">
      <c r="A42" s="195">
        <f>ROUNDUP(IF(J3="S",W3*$R$18/SUM($R$18:$X$18),IF(J3="B",W3*$R$19/SUM($R$19:$X$19),IF(J3="Q",W3*$R$20/SUM($R$20:$X$20),W3*$R$21/SUM($R$21:$X$21)))),1)</f>
        <v>7.8999999999999995</v>
      </c>
      <c r="B42" s="141">
        <f>ROUNDUP(IF(J3="S",W3*$S$18/SUM($R$18:$X$18),IF(J3="B",W3*$S$19/SUM($R$19:$X$19),IF(J3="Q",W3*$S$20/SUM($R$20:$X$20),W3*$S$21/SUM($R$21:$X$21)))),1)</f>
        <v>6.1999999999999993</v>
      </c>
      <c r="C42" s="141"/>
      <c r="D42" s="199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17</v>
      </c>
      <c r="E42" s="139">
        <f>第五季度!G7+第五季度!H7+第五季度!E42-第五季度!B7</f>
        <v>0</v>
      </c>
      <c r="F42" s="141"/>
      <c r="G42" s="141">
        <f>ROUNDUP(IF(J3="S",W3*$T$18/SUM($R$18:$X$18),IF(J3="B",W3*$T$19/SUM($R$19:$X$19),IF(J3="Q",W3*$T$20/SUM($R$20:$X$20),W3*$T$21/SUM($R$21:$X$21)))),1)</f>
        <v>6.1999999999999993</v>
      </c>
      <c r="H42" s="141">
        <f>ROUNDUP(IF(J3="S",W3*$U$18/SUM($R$18:$X$18),IF(J3="B",W3*$U$19/SUM($R$19:$X$19),IF(J3="Q",W3*$U$20/SUM($R$20:$X$20),W3*$U$21/SUM($R$21:$X$21)))),1)</f>
        <v>8.2999999999999989</v>
      </c>
      <c r="I42" s="141">
        <f>ROUNDUP(IF(J3="S",W3*$V$18/SUM($R$18:$X$18),IF(J3="B",W3*$V$19/SUM($R$19:$X$19),IF(J3="Q",W3*$V$20/SUM($R$20:$X$20),W3*$V$21/SUM($R$21:$X$21)))),1)</f>
        <v>10</v>
      </c>
      <c r="J42" s="127">
        <f>ROUNDUP(IF(J3="S",W3*$W$18/SUM($R$18:$X$18),IF(J3="B",W3*$W$19/SUM($R$19:$X$19),IF(J3="Q",W3*$W$20/SUM($R$20:$X$20),W3*$W$21/SUM($R$21:$X$21)))),1)</f>
        <v>10.4</v>
      </c>
      <c r="K42" s="141">
        <f>ROUNDUP(IF(J3="S",W3*$X$18/SUM($R$18:$X$18),IF(J3="B",W3*$X$19/SUM($R$19:$X$19),IF(J3="Q",W3*$X$20/SUM($R$20:$X$20),W3*$X$21/SUM($R$21:$X$21)))),1)</f>
        <v>10.4</v>
      </c>
      <c r="Q42" s="107">
        <f>W3-TRUNC(A42)-TRUNC(B42)-TRUNC(G42)-TRUNC(H42)-TRUNC(I42)-TRUNC(J42)-TRUNC(K42)</f>
        <v>2</v>
      </c>
      <c r="AI42" s="322"/>
      <c r="AJ42" s="294" t="s">
        <v>267</v>
      </c>
      <c r="AK42" s="295"/>
      <c r="AL42" s="295"/>
      <c r="AM42" s="296"/>
      <c r="AN42" s="132">
        <f>AN41*(参数调整!$B$7+参数调整!$B$8+参数调整!$B$9)</f>
        <v>9361.6042871794889</v>
      </c>
      <c r="AO42" s="134"/>
      <c r="AP42" s="134"/>
    </row>
    <row r="43" spans="1:42">
      <c r="A43" s="141">
        <f t="shared" ref="A43:A53" si="11">ROUNDUP(IF(J4="S",W4*$R$18/SUM($R$18:$X$18),IF(J4="B",W4*$R$19/SUM($R$19:$X$19),IF(J4="Q",W4*$R$20/SUM($R$20:$X$20),W4*$R$21/SUM($R$21:$X$21)))),1)</f>
        <v>11.299999999999999</v>
      </c>
      <c r="B43" s="195">
        <f t="shared" ref="B43:B53" si="12">ROUNDUP(IF(J4="S",W4*$S$18/SUM($R$18:$X$18),IF(J4="B",W4*$S$19/SUM($R$19:$X$19),IF(J4="Q",W4*$S$20/SUM($R$20:$X$20),W4*$S$21/SUM($R$21:$X$21)))),1)</f>
        <v>11.299999999999999</v>
      </c>
      <c r="C43" s="141"/>
      <c r="D43" s="199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40</v>
      </c>
      <c r="E43" s="139">
        <f>第五季度!G8+第五季度!H8+第五季度!E43-第五季度!B8</f>
        <v>0</v>
      </c>
      <c r="F43" s="141"/>
      <c r="G43" s="195">
        <f t="shared" ref="G43:G53" si="13">ROUNDUP(IF(J4="S",W4*$T$18/SUM($R$18:$X$18),IF(J4="B",W4*$T$19/SUM($R$19:$X$19),IF(J4="Q",W4*$T$20/SUM($R$20:$X$20),W4*$T$21/SUM($R$21:$X$21)))),1)</f>
        <v>13.5</v>
      </c>
      <c r="H43" s="141">
        <f t="shared" ref="H43:H53" si="14">ROUNDUP(IF(J4="S",W4*$U$18/SUM($R$18:$X$18),IF(J4="B",W4*$U$19/SUM($R$19:$X$19),IF(J4="Q",W4*$U$20/SUM($R$20:$X$20),W4*$U$21/SUM($R$21:$X$21)))),1)</f>
        <v>14.1</v>
      </c>
      <c r="I43" s="195">
        <f t="shared" ref="I43:I53" si="15">ROUNDUP(IF(J4="S",W4*$V$18/SUM($R$18:$X$18),IF(J4="B",W4*$V$19/SUM($R$19:$X$19),IF(J4="Q",W4*$V$20/SUM($R$20:$X$20),W4*$V$21/SUM($R$21:$X$21)))),1)</f>
        <v>14.1</v>
      </c>
      <c r="J43" s="140">
        <f t="shared" ref="J43:J53" si="16">ROUNDUP(IF(J4="S",W4*$W$18/SUM($R$18:$X$18),IF(J4="B",W4*$W$19/SUM($R$19:$X$19),IF(J4="Q",W4*$W$20/SUM($R$20:$X$20),W4*$W$21/SUM($R$21:$X$21)))),1)</f>
        <v>19.200000000000003</v>
      </c>
      <c r="K43" s="141">
        <f t="shared" ref="K43:K53" si="17">ROUNDUP(IF(J4="S",W4*$X$18/SUM($R$18:$X$18),IF(J4="B",W4*$X$19/SUM($R$19:$X$19),IF(J4="Q",W4*$X$20/SUM($R$20:$X$20),W4*$X$21/SUM($R$21:$X$21)))),1)</f>
        <v>16.900000000000002</v>
      </c>
      <c r="Q43" s="107">
        <f t="shared" ref="Q43:Q53" si="18">W4-TRUNC(A43)-TRUNC(B43)-TRUNC(G43)-TRUNC(H43)-TRUNC(I43)-TRUNC(J43)-TRUNC(K43)</f>
        <v>2</v>
      </c>
      <c r="AI43" s="322"/>
      <c r="AJ43" s="294" t="s">
        <v>268</v>
      </c>
      <c r="AK43" s="295"/>
      <c r="AL43" s="295"/>
      <c r="AM43" s="296"/>
      <c r="AN43" s="132">
        <v>25812.720000000001</v>
      </c>
      <c r="AO43" s="134"/>
      <c r="AP43" s="134"/>
    </row>
    <row r="44" spans="1:42">
      <c r="A44" s="195">
        <f t="shared" si="11"/>
        <v>7.8999999999999995</v>
      </c>
      <c r="B44" s="195">
        <f t="shared" si="12"/>
        <v>7.8999999999999995</v>
      </c>
      <c r="C44" s="141"/>
      <c r="D44" s="199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139">
        <f>第五季度!G9+第五季度!H9+第五季度!E44-第五季度!B9</f>
        <v>0</v>
      </c>
      <c r="F44" s="141"/>
      <c r="G44" s="141">
        <f t="shared" si="13"/>
        <v>9.5</v>
      </c>
      <c r="H44" s="195">
        <f t="shared" si="14"/>
        <v>9.9</v>
      </c>
      <c r="I44" s="195">
        <f t="shared" si="15"/>
        <v>9.9</v>
      </c>
      <c r="J44" s="140">
        <f t="shared" si="16"/>
        <v>13.4</v>
      </c>
      <c r="K44" s="195">
        <f t="shared" si="17"/>
        <v>11.799999999999999</v>
      </c>
      <c r="Q44" s="107">
        <f t="shared" si="18"/>
        <v>5</v>
      </c>
      <c r="AI44" s="323"/>
      <c r="AJ44" s="294" t="s">
        <v>260</v>
      </c>
      <c r="AK44" s="295"/>
      <c r="AL44" s="295"/>
      <c r="AM44" s="296"/>
      <c r="AN44" s="98">
        <f>AN36+AN37-SUM(AN38:AN43)</f>
        <v>158322.91065299147</v>
      </c>
      <c r="AO44" s="134"/>
      <c r="AP44" s="134"/>
    </row>
    <row r="45" spans="1:42">
      <c r="A45" s="141">
        <f t="shared" si="11"/>
        <v>11.2</v>
      </c>
      <c r="B45" s="141">
        <f t="shared" si="12"/>
        <v>11.2</v>
      </c>
      <c r="C45" s="141"/>
      <c r="D45" s="199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78</v>
      </c>
      <c r="E45" s="139">
        <f>第五季度!G10+第五季度!H10+第五季度!E45-第五季度!B10</f>
        <v>0</v>
      </c>
      <c r="F45" s="141"/>
      <c r="G45" s="141">
        <f t="shared" si="13"/>
        <v>13.4</v>
      </c>
      <c r="H45" s="141">
        <f t="shared" si="14"/>
        <v>14</v>
      </c>
      <c r="I45" s="141">
        <f t="shared" si="15"/>
        <v>14</v>
      </c>
      <c r="J45" s="140">
        <f t="shared" si="16"/>
        <v>19</v>
      </c>
      <c r="K45" s="195">
        <f t="shared" si="17"/>
        <v>16.700000000000003</v>
      </c>
      <c r="Q45" s="107">
        <f t="shared" si="18"/>
        <v>1</v>
      </c>
    </row>
    <row r="46" spans="1:42">
      <c r="A46" s="195">
        <f t="shared" si="11"/>
        <v>6.3</v>
      </c>
      <c r="B46" s="195">
        <f t="shared" si="12"/>
        <v>6.3</v>
      </c>
      <c r="C46" s="141"/>
      <c r="D46" s="199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116</v>
      </c>
      <c r="E46" s="139">
        <f>第五季度!G11+第五季度!H11+第五季度!E46-第五季度!B11</f>
        <v>0</v>
      </c>
      <c r="F46" s="141"/>
      <c r="G46" s="141">
        <f t="shared" si="13"/>
        <v>6.3</v>
      </c>
      <c r="H46" s="141">
        <f t="shared" si="14"/>
        <v>8.5</v>
      </c>
      <c r="I46" s="141">
        <f t="shared" si="15"/>
        <v>7.5</v>
      </c>
      <c r="J46" s="140">
        <f t="shared" si="16"/>
        <v>8.7999999999999989</v>
      </c>
      <c r="K46" s="195">
        <f t="shared" si="17"/>
        <v>8.7999999999999989</v>
      </c>
      <c r="Q46" s="107">
        <f t="shared" si="18"/>
        <v>3</v>
      </c>
    </row>
    <row r="47" spans="1:42">
      <c r="A47" s="195">
        <f t="shared" si="11"/>
        <v>13.799999999999999</v>
      </c>
      <c r="B47" s="195">
        <f t="shared" si="12"/>
        <v>13.799999999999999</v>
      </c>
      <c r="C47" s="141"/>
      <c r="D47" s="199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139">
        <f>第五季度!G12+第五季度!H12+第五季度!E47-第五季度!B12</f>
        <v>0</v>
      </c>
      <c r="F47" s="141"/>
      <c r="G47" s="195">
        <f t="shared" si="13"/>
        <v>13.799999999999999</v>
      </c>
      <c r="H47" s="195">
        <f t="shared" si="14"/>
        <v>18.8</v>
      </c>
      <c r="I47" s="141">
        <f t="shared" si="15"/>
        <v>16.600000000000001</v>
      </c>
      <c r="J47" s="140">
        <f t="shared" si="16"/>
        <v>19.3</v>
      </c>
      <c r="K47" s="141">
        <f t="shared" si="17"/>
        <v>19.3</v>
      </c>
      <c r="Q47" s="107">
        <f t="shared" si="18"/>
        <v>4</v>
      </c>
    </row>
    <row r="48" spans="1:42">
      <c r="A48" s="195">
        <f t="shared" si="11"/>
        <v>9.9</v>
      </c>
      <c r="B48" s="195">
        <f t="shared" si="12"/>
        <v>9.9</v>
      </c>
      <c r="C48" s="141"/>
      <c r="D48" s="199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139">
        <f>第五季度!G13+第五季度!H13+第五季度!E48-第五季度!B13</f>
        <v>316</v>
      </c>
      <c r="F48" s="141"/>
      <c r="G48" s="195">
        <f t="shared" si="13"/>
        <v>9.9</v>
      </c>
      <c r="H48" s="141">
        <f t="shared" si="14"/>
        <v>13.4</v>
      </c>
      <c r="I48" s="141">
        <f t="shared" si="15"/>
        <v>11.799999999999999</v>
      </c>
      <c r="J48" s="127">
        <f t="shared" si="16"/>
        <v>13.799999999999999</v>
      </c>
      <c r="K48" s="195">
        <f t="shared" si="17"/>
        <v>13.799999999999999</v>
      </c>
      <c r="Q48" s="107">
        <f t="shared" si="18"/>
        <v>5</v>
      </c>
    </row>
    <row r="49" spans="1:17">
      <c r="A49" s="141">
        <f t="shared" si="11"/>
        <v>20.100000000000001</v>
      </c>
      <c r="B49" s="141">
        <f t="shared" si="12"/>
        <v>20.100000000000001</v>
      </c>
      <c r="C49" s="141"/>
      <c r="D49" s="199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139">
        <f>第五季度!G14+第五季度!H14+第五季度!E49-第五季度!B14</f>
        <v>0</v>
      </c>
      <c r="F49" s="141"/>
      <c r="G49" s="141">
        <f t="shared" si="13"/>
        <v>20.100000000000001</v>
      </c>
      <c r="H49" s="141">
        <f t="shared" si="14"/>
        <v>23.400000000000002</v>
      </c>
      <c r="I49" s="195">
        <f t="shared" si="15"/>
        <v>23.400000000000002</v>
      </c>
      <c r="J49" s="127">
        <f t="shared" si="16"/>
        <v>26.8</v>
      </c>
      <c r="K49" s="141">
        <f t="shared" si="17"/>
        <v>29.400000000000002</v>
      </c>
      <c r="Q49" s="107">
        <f t="shared" si="18"/>
        <v>2</v>
      </c>
    </row>
    <row r="50" spans="1:17">
      <c r="A50" s="141">
        <f t="shared" si="11"/>
        <v>0</v>
      </c>
      <c r="B50" s="141">
        <f t="shared" si="12"/>
        <v>0</v>
      </c>
      <c r="C50" s="141"/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134">
        <f>第五季度!G15+第五季度!H15+第五季度!E50-第五季度!B15</f>
        <v>106</v>
      </c>
      <c r="F50" s="141"/>
      <c r="G50" s="141">
        <f t="shared" si="13"/>
        <v>0</v>
      </c>
      <c r="H50" s="141">
        <f t="shared" si="14"/>
        <v>0</v>
      </c>
      <c r="I50" s="141">
        <f t="shared" si="15"/>
        <v>0</v>
      </c>
      <c r="J50" s="140">
        <f t="shared" si="16"/>
        <v>0</v>
      </c>
      <c r="K50" s="141">
        <f t="shared" si="17"/>
        <v>0</v>
      </c>
      <c r="Q50" s="107">
        <f t="shared" si="18"/>
        <v>0</v>
      </c>
    </row>
    <row r="51" spans="1:17">
      <c r="A51" s="141">
        <f t="shared" si="11"/>
        <v>0</v>
      </c>
      <c r="B51" s="141">
        <f t="shared" si="12"/>
        <v>0</v>
      </c>
      <c r="C51" s="141"/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134">
        <f>第五季度!G16+第五季度!H16+第五季度!E51-第五季度!B16</f>
        <v>0</v>
      </c>
      <c r="F51" s="141"/>
      <c r="G51" s="141">
        <f t="shared" si="13"/>
        <v>0</v>
      </c>
      <c r="H51" s="141">
        <f t="shared" si="14"/>
        <v>0</v>
      </c>
      <c r="I51" s="141">
        <f t="shared" si="15"/>
        <v>0</v>
      </c>
      <c r="J51" s="140">
        <f t="shared" si="16"/>
        <v>0</v>
      </c>
      <c r="K51" s="141">
        <f t="shared" si="17"/>
        <v>0</v>
      </c>
      <c r="Q51" s="107">
        <f t="shared" si="18"/>
        <v>0</v>
      </c>
    </row>
    <row r="52" spans="1:17">
      <c r="A52" s="141">
        <f t="shared" si="11"/>
        <v>0</v>
      </c>
      <c r="B52" s="141">
        <f t="shared" si="12"/>
        <v>0</v>
      </c>
      <c r="C52" s="141"/>
      <c r="D52" s="139"/>
      <c r="E52" s="139"/>
      <c r="F52" s="141"/>
      <c r="G52" s="141">
        <f t="shared" si="13"/>
        <v>0</v>
      </c>
      <c r="H52" s="141">
        <f t="shared" si="14"/>
        <v>0</v>
      </c>
      <c r="I52" s="141">
        <f t="shared" si="15"/>
        <v>0</v>
      </c>
      <c r="J52" s="140">
        <f t="shared" si="16"/>
        <v>0</v>
      </c>
      <c r="K52" s="141">
        <f t="shared" si="17"/>
        <v>0</v>
      </c>
      <c r="Q52" s="107">
        <f t="shared" si="18"/>
        <v>0</v>
      </c>
    </row>
    <row r="53" spans="1:17">
      <c r="A53" s="141">
        <f t="shared" si="11"/>
        <v>0</v>
      </c>
      <c r="B53" s="141">
        <f t="shared" si="12"/>
        <v>0</v>
      </c>
      <c r="C53" s="141"/>
      <c r="D53" s="139"/>
      <c r="E53" s="139"/>
      <c r="F53" s="141"/>
      <c r="G53" s="141">
        <f t="shared" si="13"/>
        <v>0</v>
      </c>
      <c r="H53" s="141">
        <f t="shared" si="14"/>
        <v>0</v>
      </c>
      <c r="I53" s="141">
        <f t="shared" si="15"/>
        <v>0</v>
      </c>
      <c r="J53" s="140">
        <f t="shared" si="16"/>
        <v>0</v>
      </c>
      <c r="K53" s="141">
        <f t="shared" si="17"/>
        <v>0</v>
      </c>
      <c r="Q53" s="107">
        <f t="shared" si="18"/>
        <v>0</v>
      </c>
    </row>
  </sheetData>
  <mergeCells count="75">
    <mergeCell ref="D36:D37"/>
    <mergeCell ref="E36:E37"/>
    <mergeCell ref="AJ44:AM44"/>
    <mergeCell ref="AD26:AE26"/>
    <mergeCell ref="AD31:AF31"/>
    <mergeCell ref="AJ24:AK26"/>
    <mergeCell ref="AJ27:AL27"/>
    <mergeCell ref="AD27:AF27"/>
    <mergeCell ref="AD28:AF28"/>
    <mergeCell ref="AD29:AF29"/>
    <mergeCell ref="AD30:AF30"/>
    <mergeCell ref="AN34:AN35"/>
    <mergeCell ref="AJ36:AM36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28:AJ35"/>
    <mergeCell ref="AK28:AK35"/>
    <mergeCell ref="AL34:AL35"/>
    <mergeCell ref="AM34:AM35"/>
    <mergeCell ref="AL32:AL33"/>
    <mergeCell ref="AM32:AM33"/>
    <mergeCell ref="AO4:AP4"/>
    <mergeCell ref="AJ5:AJ16"/>
    <mergeCell ref="AK5:AK8"/>
    <mergeCell ref="AO5:AP6"/>
    <mergeCell ref="AK9:AK11"/>
    <mergeCell ref="AK12:AL12"/>
    <mergeCell ref="AK13:AK16"/>
    <mergeCell ref="AL2:AM3"/>
    <mergeCell ref="AN2:AN3"/>
    <mergeCell ref="AI4:AI36"/>
    <mergeCell ref="AJ4:AL4"/>
    <mergeCell ref="AI2:AJ3"/>
    <mergeCell ref="AK2:AK3"/>
    <mergeCell ref="AJ17:AL17"/>
    <mergeCell ref="AJ18:AK19"/>
    <mergeCell ref="AJ20:AK23"/>
    <mergeCell ref="AN28:AN29"/>
    <mergeCell ref="AL30:AL31"/>
    <mergeCell ref="AM30:AM31"/>
    <mergeCell ref="AN30:AN31"/>
    <mergeCell ref="AN32:AN33"/>
    <mergeCell ref="AL28:AL29"/>
    <mergeCell ref="AM28:AM29"/>
    <mergeCell ref="AD11:AD14"/>
    <mergeCell ref="AD15:AE15"/>
    <mergeCell ref="J17:K17"/>
    <mergeCell ref="J18:K20"/>
    <mergeCell ref="AD16:AE16"/>
    <mergeCell ref="AD17:AD22"/>
    <mergeCell ref="J21:K21"/>
    <mergeCell ref="J22:K24"/>
    <mergeCell ref="Q22:Q25"/>
    <mergeCell ref="AD23:AE23"/>
    <mergeCell ref="AD24:AE24"/>
    <mergeCell ref="AD25:AE25"/>
    <mergeCell ref="AD2:AG2"/>
    <mergeCell ref="AD3:AF3"/>
    <mergeCell ref="AD4:AF4"/>
    <mergeCell ref="AD5:AD7"/>
    <mergeCell ref="AD8:AD10"/>
    <mergeCell ref="AG8:AG10"/>
    <mergeCell ref="H1:H2"/>
    <mergeCell ref="A18:B18"/>
    <mergeCell ref="B1:B2"/>
    <mergeCell ref="C1:C2"/>
    <mergeCell ref="D1:D2"/>
    <mergeCell ref="E1:E2"/>
    <mergeCell ref="G1:G2"/>
  </mergeCells>
  <phoneticPr fontId="3" type="noConversion"/>
  <dataValidations count="4">
    <dataValidation type="list" allowBlank="1" showInputMessage="1" showErrorMessage="1" sqref="AE8:AE10" xr:uid="{ADBB8FDC-B08C-48AE-B801-60ED386B8604}">
      <formula1>"租用小厂房,租用中厂房,租用大厂房"</formula1>
    </dataValidation>
    <dataValidation type="list" allowBlank="1" showInputMessage="1" showErrorMessage="1" sqref="AF17:AF24" xr:uid="{D226A4D7-C2BB-4A5B-8C52-138D5324B009}">
      <formula1>"1,0"</formula1>
    </dataValidation>
    <dataValidation type="list" allowBlank="1" showInputMessage="1" showErrorMessage="1" sqref="AE5:AE7" xr:uid="{8BD2BB6D-6D4C-4AFC-910F-1E1DB56F4CC7}">
      <formula1>"购买小厂房,购买中厂房,购买大厂房"</formula1>
    </dataValidation>
    <dataValidation type="list" allowBlank="1" showInputMessage="1" showErrorMessage="1" sqref="AE11:AE14" xr:uid="{31671775-062F-445A-8F10-DCD156A86277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D8AE-BBA9-43F1-8077-9CA32053862D}">
  <sheetPr codeName="Sheet2"/>
  <dimension ref="A1:AB241"/>
  <sheetViews>
    <sheetView topLeftCell="K1" zoomScale="83" zoomScaleNormal="103" workbookViewId="0">
      <selection activeCell="L19" sqref="L19"/>
    </sheetView>
  </sheetViews>
  <sheetFormatPr defaultRowHeight="13.8"/>
  <cols>
    <col min="2" max="2" width="17.5546875" customWidth="1"/>
    <col min="3" max="3" width="14.33203125" customWidth="1"/>
    <col min="4" max="4" width="15.5546875" customWidth="1"/>
    <col min="5" max="5" width="17.5546875" customWidth="1"/>
    <col min="6" max="6" width="13.88671875" bestFit="1" customWidth="1"/>
    <col min="7" max="7" width="14" customWidth="1"/>
    <col min="8" max="8" width="14.44140625" customWidth="1"/>
    <col min="9" max="9" width="13.6640625" customWidth="1"/>
    <col min="10" max="10" width="21.6640625" customWidth="1"/>
    <col min="12" max="12" width="14.77734375" customWidth="1"/>
    <col min="13" max="13" width="11.33203125" bestFit="1" customWidth="1"/>
    <col min="14" max="14" width="16.6640625" bestFit="1" customWidth="1"/>
    <col min="15" max="15" width="15.6640625" customWidth="1"/>
    <col min="16" max="16" width="18.109375" customWidth="1"/>
    <col min="17" max="17" width="14.77734375" customWidth="1"/>
    <col min="18" max="18" width="19.44140625" customWidth="1"/>
    <col min="21" max="21" width="14.6640625" bestFit="1" customWidth="1"/>
    <col min="22" max="22" width="15" bestFit="1" customWidth="1"/>
    <col min="24" max="24" width="15.88671875" customWidth="1"/>
    <col min="26" max="26" width="19.44140625" customWidth="1"/>
    <col min="29" max="29" width="11.44140625" bestFit="1" customWidth="1"/>
    <col min="30" max="30" width="16.6640625" bestFit="1" customWidth="1"/>
  </cols>
  <sheetData>
    <row r="1" spans="1:18" ht="36" thickBot="1">
      <c r="A1" s="360" t="s">
        <v>341</v>
      </c>
      <c r="B1" s="360"/>
      <c r="C1" s="360"/>
      <c r="D1" s="360"/>
      <c r="E1" s="360"/>
      <c r="F1" s="360"/>
      <c r="G1" s="360"/>
      <c r="H1" s="360"/>
      <c r="K1" s="389" t="s">
        <v>340</v>
      </c>
      <c r="L1" s="389"/>
      <c r="M1" s="389"/>
      <c r="N1" s="389"/>
      <c r="O1" s="389"/>
      <c r="P1" s="389"/>
      <c r="Q1" s="389"/>
      <c r="R1" s="389"/>
    </row>
    <row r="2" spans="1:18" ht="27.6">
      <c r="A2" s="167" t="s">
        <v>405</v>
      </c>
      <c r="B2" s="169" t="s">
        <v>409</v>
      </c>
      <c r="C2" s="169" t="s">
        <v>410</v>
      </c>
      <c r="D2" s="169" t="s">
        <v>411</v>
      </c>
      <c r="E2" s="174" t="s">
        <v>358</v>
      </c>
      <c r="F2" s="175"/>
      <c r="G2" s="362">
        <f>F19</f>
        <v>70794.150791497057</v>
      </c>
      <c r="H2" s="363"/>
      <c r="K2" s="189" t="s">
        <v>405</v>
      </c>
      <c r="L2" s="188" t="s">
        <v>409</v>
      </c>
      <c r="M2" s="188" t="s">
        <v>410</v>
      </c>
      <c r="N2" s="188" t="s">
        <v>411</v>
      </c>
      <c r="O2" s="185" t="s">
        <v>358</v>
      </c>
      <c r="P2" s="185"/>
      <c r="Q2" s="387">
        <f>P19</f>
        <v>122329.19809739184</v>
      </c>
      <c r="R2" s="388"/>
    </row>
    <row r="3" spans="1:18">
      <c r="A3" s="167" t="s">
        <v>404</v>
      </c>
      <c r="B3" s="166">
        <f>第一季度!B3</f>
        <v>270</v>
      </c>
      <c r="C3" s="166">
        <f>SUMIF(第二季度!$L$3:$L$14,1,第二季度!$Q$3:$Q$14)</f>
        <v>45</v>
      </c>
      <c r="D3" s="167">
        <f>B3*第一季度!D3-C3*第一季度!D3/0.75</f>
        <v>7980</v>
      </c>
      <c r="E3" s="364" t="s">
        <v>374</v>
      </c>
      <c r="F3" s="170" t="s">
        <v>390</v>
      </c>
      <c r="G3" s="166">
        <f>第一季度!AN2-第一季度!AK2</f>
        <v>89926.2</v>
      </c>
      <c r="H3" s="176">
        <f>G3/(1+参数调整!$B$6)</f>
        <v>76860</v>
      </c>
      <c r="K3" s="189" t="s">
        <v>404</v>
      </c>
      <c r="L3" s="189">
        <f>第二季度!B3</f>
        <v>404</v>
      </c>
      <c r="M3" s="189">
        <f>SUMIF(第三季度!$L$3:$L$14,1,第三季度!$Q$3:$Q$14)+第二季度!F38</f>
        <v>34</v>
      </c>
      <c r="N3" s="189">
        <f>L3*第一季度!D38-M3*第二季度!D3/0.9</f>
        <v>14652.666666666666</v>
      </c>
      <c r="O3" s="390" t="s">
        <v>374</v>
      </c>
      <c r="P3" s="185" t="s">
        <v>390</v>
      </c>
      <c r="Q3" s="187">
        <f>第二季度!AN2-第二季度!AK2</f>
        <v>159822</v>
      </c>
      <c r="R3" s="185">
        <f>Q3/(1+参数调整!$B$6)</f>
        <v>136600</v>
      </c>
    </row>
    <row r="4" spans="1:18">
      <c r="A4" s="167" t="s">
        <v>408</v>
      </c>
      <c r="B4" s="166">
        <f>第一季度!B4</f>
        <v>60</v>
      </c>
      <c r="C4" s="166">
        <f>SUMIF(第二季度!$L$3:$L$14,2,第二季度!$Q$3:$Q$14)</f>
        <v>11</v>
      </c>
      <c r="D4" s="167">
        <f>B4*第一季度!D4-C4*第一季度!D4/0.75</f>
        <v>3626.666666666667</v>
      </c>
      <c r="E4" s="364"/>
      <c r="F4" s="170" t="s">
        <v>386</v>
      </c>
      <c r="G4" s="166">
        <f>第一季度!AO3</f>
        <v>78156</v>
      </c>
      <c r="H4" s="176">
        <f>G4/(1+参数调整!$B$6)</f>
        <v>66800</v>
      </c>
      <c r="K4" s="189" t="s">
        <v>408</v>
      </c>
      <c r="L4" s="189">
        <f>第二季度!B4</f>
        <v>46</v>
      </c>
      <c r="M4" s="189">
        <f>SUMIF(第三季度!$L$3:$L$14,2,第三季度!$Q$3:$Q$14)+第二季度!F39</f>
        <v>0</v>
      </c>
      <c r="N4" s="189">
        <f>L4*第一季度!D39-M4*第二季度!D4/0.9</f>
        <v>3680</v>
      </c>
      <c r="O4" s="391"/>
      <c r="P4" s="185" t="s">
        <v>386</v>
      </c>
      <c r="Q4" s="187">
        <f>第二季度!AO3</f>
        <v>132853.5</v>
      </c>
      <c r="R4" s="185">
        <f>Q4/(1+参数调整!$B$6)</f>
        <v>113550</v>
      </c>
    </row>
    <row r="5" spans="1:18">
      <c r="A5" s="167" t="s">
        <v>344</v>
      </c>
      <c r="B5" s="166">
        <f>第一季度!B5</f>
        <v>0</v>
      </c>
      <c r="C5" s="166">
        <f>SUMIF(第二季度!$L$3:$L$14,3,第二季度!$Q$3:$Q$14)</f>
        <v>0</v>
      </c>
      <c r="D5" s="167">
        <f>B5*第一季度!D5-C5*第一季度!D5/0.75</f>
        <v>0</v>
      </c>
      <c r="E5" s="364"/>
      <c r="F5" s="170" t="s">
        <v>387</v>
      </c>
      <c r="G5" s="167">
        <f>第一季度!AP3</f>
        <v>0</v>
      </c>
      <c r="H5" s="177">
        <f>G5/(1+参数调整!$B$6)</f>
        <v>0</v>
      </c>
      <c r="K5" s="189" t="s">
        <v>344</v>
      </c>
      <c r="L5" s="189">
        <f>第二季度!B5</f>
        <v>0</v>
      </c>
      <c r="M5" s="189">
        <f>SUMIF(第三季度!$L$3:$L$14,3,第三季度!$Q$3:$Q$14)+第二季度!F40</f>
        <v>0</v>
      </c>
      <c r="N5" s="189">
        <f>L5*第一季度!D40-M5*第二季度!D5/0.9</f>
        <v>0</v>
      </c>
      <c r="O5" s="391"/>
      <c r="P5" s="185" t="s">
        <v>387</v>
      </c>
      <c r="Q5" s="187">
        <f>第二季度!AP3</f>
        <v>55984.5</v>
      </c>
      <c r="R5" s="185">
        <f>Q5/(1+参数调整!$B$6)</f>
        <v>47850</v>
      </c>
    </row>
    <row r="6" spans="1:18">
      <c r="A6" s="167" t="s">
        <v>152</v>
      </c>
      <c r="B6" s="166">
        <f>第一季度!B6</f>
        <v>330</v>
      </c>
      <c r="C6" s="166">
        <f>SUMIF(第二季度!$M$3:$M$14,1,第二季度!$Q$3:$Q$14)</f>
        <v>56</v>
      </c>
      <c r="D6" s="167">
        <f>B6*第一季度!D6-C6*第一季度!D6/0.75</f>
        <v>2425.6666666666665</v>
      </c>
      <c r="E6" s="364"/>
      <c r="F6" s="170" t="s">
        <v>388</v>
      </c>
      <c r="G6" s="167"/>
      <c r="H6" s="177">
        <f>G6/(1+参数调整!$B$6)</f>
        <v>0</v>
      </c>
      <c r="K6" s="189" t="s">
        <v>152</v>
      </c>
      <c r="L6" s="189">
        <f>第二季度!B6</f>
        <v>412</v>
      </c>
      <c r="M6" s="189">
        <f>SUMIF(第三季度!$M$3:$M$14,1,第三季度!$Q$3:$Q$14)+第二季度!F41</f>
        <v>34</v>
      </c>
      <c r="N6" s="189">
        <f>L6*第一季度!D41-M6*第二季度!D6/0.9</f>
        <v>3653.4444444444443</v>
      </c>
      <c r="O6" s="391"/>
      <c r="P6" s="185" t="s">
        <v>388</v>
      </c>
      <c r="Q6" s="185"/>
      <c r="R6" s="185">
        <f>Q6/(1+参数调整!$B$6)</f>
        <v>0</v>
      </c>
    </row>
    <row r="7" spans="1:18">
      <c r="A7" s="167" t="s">
        <v>153</v>
      </c>
      <c r="B7" s="166">
        <f>第一季度!B7</f>
        <v>0</v>
      </c>
      <c r="C7" s="166">
        <f>SUMIF(第二季度!$M$3:$M$14,2,第二季度!$Q$3:$Q$14)</f>
        <v>0</v>
      </c>
      <c r="D7" s="167">
        <f>B7*第一季度!D7-C7*第一季度!D7/0.75</f>
        <v>0</v>
      </c>
      <c r="E7" s="364"/>
      <c r="F7" s="170" t="s">
        <v>389</v>
      </c>
      <c r="G7" s="167"/>
      <c r="H7" s="177">
        <f>G7/(1+参数调整!$B$6)</f>
        <v>0</v>
      </c>
      <c r="K7" s="189" t="s">
        <v>153</v>
      </c>
      <c r="L7" s="189">
        <f>第二季度!B7</f>
        <v>38</v>
      </c>
      <c r="M7" s="189">
        <f>SUMIF(第三季度!$M$3:$M$14,2,第三季度!$Q$3:$Q$14)+第二季度!F42</f>
        <v>0</v>
      </c>
      <c r="N7" s="189">
        <f>L7*第一季度!D42-M7*第二季度!D7/0.9</f>
        <v>760</v>
      </c>
      <c r="O7" s="392"/>
      <c r="P7" s="185" t="s">
        <v>389</v>
      </c>
      <c r="Q7" s="185"/>
      <c r="R7" s="185">
        <f>Q7/(1+参数调整!$B$6)</f>
        <v>0</v>
      </c>
    </row>
    <row r="8" spans="1:18">
      <c r="A8" s="167" t="s">
        <v>154</v>
      </c>
      <c r="B8" s="166">
        <f>第一季度!B8</f>
        <v>0</v>
      </c>
      <c r="C8" s="166">
        <f>SUMIF(第二季度!$M$3:$M$14,3,第二季度!$Q$3:$Q$14)</f>
        <v>0</v>
      </c>
      <c r="D8" s="167">
        <f>B8*第一季度!D8-C8*第一季度!D8/0.75</f>
        <v>0</v>
      </c>
      <c r="E8" s="364" t="s">
        <v>375</v>
      </c>
      <c r="F8" s="367"/>
      <c r="G8" s="367"/>
      <c r="H8" s="178">
        <f>G2</f>
        <v>70794.150791497057</v>
      </c>
      <c r="K8" s="189" t="s">
        <v>154</v>
      </c>
      <c r="L8" s="189">
        <f>第二季度!B8</f>
        <v>0</v>
      </c>
      <c r="M8" s="189">
        <f>SUMIF(第三季度!$M$3:$M$14,3,第三季度!$Q$3:$Q$14)+第二季度!F43</f>
        <v>0</v>
      </c>
      <c r="N8" s="189">
        <f>L8*第一季度!D43-M8*第二季度!D8/0.9</f>
        <v>0</v>
      </c>
      <c r="O8" s="384" t="s">
        <v>375</v>
      </c>
      <c r="P8" s="385"/>
      <c r="Q8" s="386"/>
      <c r="R8" s="186">
        <f>Q2</f>
        <v>122329.19809739184</v>
      </c>
    </row>
    <row r="9" spans="1:18">
      <c r="A9" s="167" t="s">
        <v>155</v>
      </c>
      <c r="B9" s="166">
        <f>第一季度!B9</f>
        <v>60</v>
      </c>
      <c r="C9" s="166">
        <f>SUMIF(第二季度!$N$3:$N$14,1,第二季度!$Q$3:$Q$14)</f>
        <v>10</v>
      </c>
      <c r="D9" s="167">
        <f>B9*第一季度!D9-C9*第一季度!D9/0.75</f>
        <v>2333.3333333333335</v>
      </c>
      <c r="E9" s="364" t="s">
        <v>376</v>
      </c>
      <c r="F9" s="367"/>
      <c r="G9" s="367"/>
      <c r="H9" s="176">
        <f>第一季度!AN42</f>
        <v>1854.4620000000014</v>
      </c>
      <c r="K9" s="189" t="s">
        <v>155</v>
      </c>
      <c r="L9" s="189">
        <f>第二季度!B9</f>
        <v>126</v>
      </c>
      <c r="M9" s="189">
        <f>SUMIF(第三季度!$N$3:$N$14,1,第三季度!$Q$3:$Q$14)+第二季度!F44</f>
        <v>9</v>
      </c>
      <c r="N9" s="189">
        <f>L9*第一季度!D44-M9*第二季度!D9/0.9</f>
        <v>5790</v>
      </c>
      <c r="O9" s="384" t="s">
        <v>376</v>
      </c>
      <c r="P9" s="385"/>
      <c r="Q9" s="386"/>
      <c r="R9" s="187">
        <f>第二季度!AN42</f>
        <v>4707.2734800000017</v>
      </c>
    </row>
    <row r="10" spans="1:18">
      <c r="A10" s="167" t="s">
        <v>156</v>
      </c>
      <c r="B10" s="166">
        <f>第一季度!B10</f>
        <v>210</v>
      </c>
      <c r="C10" s="166">
        <f>SUMIF(第二季度!$N$3:$N$14,2,第二季度!$Q$3:$Q$14)</f>
        <v>35</v>
      </c>
      <c r="D10" s="167">
        <f>B10*第一季度!D10-C10*第一季度!D10/0.75</f>
        <v>12413.333333333334</v>
      </c>
      <c r="E10" s="364" t="s">
        <v>377</v>
      </c>
      <c r="F10" s="367"/>
      <c r="G10" s="367"/>
      <c r="H10" s="176">
        <f>SUM(第一季度!AG16:AG21)+第一季度!AG26+第一季度!AN27</f>
        <v>165484</v>
      </c>
      <c r="K10" s="189" t="s">
        <v>156</v>
      </c>
      <c r="L10" s="189">
        <f>第二季度!B10</f>
        <v>246</v>
      </c>
      <c r="M10" s="189">
        <f>SUMIF(第三季度!$N$3:$N$14,2,第三季度!$Q$3:$Q$14)+第二季度!F45</f>
        <v>21</v>
      </c>
      <c r="N10" s="189">
        <f>L10*第一季度!D45-M10*第二季度!D10/0.9</f>
        <v>18017.5</v>
      </c>
      <c r="O10" s="384" t="s">
        <v>377</v>
      </c>
      <c r="P10" s="385"/>
      <c r="Q10" s="386"/>
      <c r="R10" s="187">
        <f>SUM(第二季度!AG17:AG22)+第二季度!AG27+第二季度!AN27</f>
        <v>185890</v>
      </c>
    </row>
    <row r="11" spans="1:18">
      <c r="A11" s="167" t="s">
        <v>157</v>
      </c>
      <c r="B11" s="166">
        <f>第一季度!B11</f>
        <v>60</v>
      </c>
      <c r="C11" s="166">
        <f>SUMIF(第二季度!$N$3:$N$14,3,第二季度!$Q$3:$Q$14)</f>
        <v>11</v>
      </c>
      <c r="D11" s="167">
        <f>B11*第一季度!D11-C11*第一季度!D11/0.75</f>
        <v>4986.666666666667</v>
      </c>
      <c r="E11" s="364" t="s">
        <v>378</v>
      </c>
      <c r="F11" s="367"/>
      <c r="G11" s="367"/>
      <c r="H11" s="179">
        <f>参数调整!B3+SUM(第一季度!AG24:AG25)+SUM(第一季度!AG14:AG15)+SUM(第一季度!AG22:AG23)+第一季度!AN17+SUM(第一季度!AN18:AN19)+参数调整!B2</f>
        <v>184460</v>
      </c>
      <c r="K11" s="189" t="s">
        <v>157</v>
      </c>
      <c r="L11" s="189">
        <f>第二季度!B11</f>
        <v>78</v>
      </c>
      <c r="M11" s="189">
        <f>SUMIF(第三季度!$N$3:$N$14,3,第三季度!$Q$3:$Q$14)+第二季度!F46</f>
        <v>4</v>
      </c>
      <c r="N11" s="189">
        <f>L11*第一季度!D46-M11*第二季度!D11/0.9</f>
        <v>8068.8888888888887</v>
      </c>
      <c r="O11" s="384" t="s">
        <v>378</v>
      </c>
      <c r="P11" s="385"/>
      <c r="Q11" s="386"/>
      <c r="R11" s="150">
        <f>参数调整!B3+SUM(第二季度!AG25:AG26)+SUM(第二季度!AG15:AG16)+SUM(第二季度!AG23:AG24)+第二季度!AN17+SUM(第二季度!AN18:AN19)</f>
        <v>152460</v>
      </c>
    </row>
    <row r="12" spans="1:18">
      <c r="A12" s="167" t="s">
        <v>158</v>
      </c>
      <c r="B12" s="166">
        <f>第一季度!B12</f>
        <v>0</v>
      </c>
      <c r="C12" s="166">
        <f>SUMIF(第二季度!$N$3:$N$14,4,第二季度!$Q$3:$Q$14)</f>
        <v>0</v>
      </c>
      <c r="D12" s="167">
        <f>B12*第一季度!D12-C12*第一季度!D12/0.75</f>
        <v>0</v>
      </c>
      <c r="E12" s="364" t="s">
        <v>379</v>
      </c>
      <c r="F12" s="367"/>
      <c r="G12" s="367"/>
      <c r="H12" s="176">
        <f>第一季度!AG29*参数调整!B18+第一季度!AO36*参数调整!B23</f>
        <v>10000</v>
      </c>
      <c r="K12" s="189" t="s">
        <v>158</v>
      </c>
      <c r="L12" s="189">
        <f>第二季度!B12</f>
        <v>0</v>
      </c>
      <c r="M12" s="189">
        <f>SUMIF(第三季度!$N$3:$N$14,4,第三季度!$Q$3:$Q$14)+第二季度!F47</f>
        <v>0</v>
      </c>
      <c r="N12" s="189">
        <f>L12*第一季度!D47-M12*第二季度!D12/0.9</f>
        <v>0</v>
      </c>
      <c r="O12" s="384" t="s">
        <v>379</v>
      </c>
      <c r="P12" s="385"/>
      <c r="Q12" s="386"/>
      <c r="R12" s="187">
        <f>第二季度!AG4*参数调整!B18+第二季度!AO36*参数调整!B23+参数调整!B24*第二季度!AP36</f>
        <v>4808.0345000000007</v>
      </c>
    </row>
    <row r="13" spans="1:18">
      <c r="A13" s="167" t="s">
        <v>159</v>
      </c>
      <c r="B13" s="166">
        <f>第一季度!B13</f>
        <v>120</v>
      </c>
      <c r="C13" s="166">
        <f>SUMIF(第二季度!$O$3:$O$14,1,第二季度!$Q$3:$Q$14)+SUMIF(第二季度!$P$3:$P$14,1,第二季度!$Q$3:$Q$14)</f>
        <v>21</v>
      </c>
      <c r="D13" s="167">
        <f>B13*第一季度!D13-C13*第一季度!D13/0.75</f>
        <v>4600</v>
      </c>
      <c r="E13" s="364" t="s">
        <v>380</v>
      </c>
      <c r="F13" s="367"/>
      <c r="G13" s="367"/>
      <c r="H13" s="180">
        <f>SUM(H3:H7)-SUM(H8:H12)</f>
        <v>-288932.61279149703</v>
      </c>
      <c r="K13" s="189" t="s">
        <v>159</v>
      </c>
      <c r="L13" s="189">
        <f>第二季度!B13</f>
        <v>168</v>
      </c>
      <c r="M13" s="189">
        <f>SUMIF(第三季度!$O$3:$O$14,1,第三季度!$Q$3:$Q$14)+SUMIF(第三季度!$P$3:$P$14,1,第三季度!$Q$3:$Q$14)+第二季度!F48</f>
        <v>9</v>
      </c>
      <c r="N13" s="189">
        <f>L13*第一季度!D48-M13*第二季度!D13/0.9</f>
        <v>7920</v>
      </c>
      <c r="O13" s="384" t="s">
        <v>380</v>
      </c>
      <c r="P13" s="385"/>
      <c r="Q13" s="386"/>
      <c r="R13" s="186">
        <f>SUM(R3:R7)-SUM(R8:R12)</f>
        <v>-172194.50607739185</v>
      </c>
    </row>
    <row r="14" spans="1:18" ht="13.8" customHeight="1">
      <c r="A14" s="167" t="s">
        <v>160</v>
      </c>
      <c r="B14" s="166">
        <f>第一季度!B14</f>
        <v>0</v>
      </c>
      <c r="C14" s="166">
        <f>SUMIF(第二季度!$O$3:$O$14,2,第二季度!$Q$3:$Q$14)+SUMIF(第二季度!$P$3:$P$14,2,第二季度!$Q$3:$Q$14)</f>
        <v>0</v>
      </c>
      <c r="D14" s="167">
        <f>B14*第一季度!D14-C14*第一季度!D14/0.75</f>
        <v>0</v>
      </c>
      <c r="E14" s="364" t="s">
        <v>381</v>
      </c>
      <c r="F14" s="367"/>
      <c r="G14" s="367"/>
      <c r="H14" s="181">
        <v>0</v>
      </c>
      <c r="K14" s="189" t="s">
        <v>160</v>
      </c>
      <c r="L14" s="189">
        <f>第二季度!B14</f>
        <v>0</v>
      </c>
      <c r="M14" s="189">
        <f>SUMIF(第三季度!$O$3:$O$14,2,第三季度!$Q$3:$Q$14)+SUMIF(第三季度!$P$3:$P$14,2,第三季度!$Q$3:$Q$14)+第二季度!F49</f>
        <v>0</v>
      </c>
      <c r="N14" s="189">
        <f>L14*第一季度!D49-M14*第二季度!D14/0.9</f>
        <v>0</v>
      </c>
      <c r="O14" s="384" t="s">
        <v>381</v>
      </c>
      <c r="P14" s="385"/>
      <c r="Q14" s="386"/>
      <c r="R14" s="184">
        <f>SUM(第二季度!AN20:AN26)</f>
        <v>0</v>
      </c>
    </row>
    <row r="15" spans="1:18">
      <c r="A15" s="167" t="s">
        <v>161</v>
      </c>
      <c r="B15" s="166">
        <f>第一季度!B15</f>
        <v>0</v>
      </c>
      <c r="C15" s="166">
        <f>SUMIF(第二季度!$O$3:$O$14,3,第二季度!$Q$3:$Q$14)+SUMIF(第二季度!$P$3:$P$14,3,第二季度!$Q$3:$Q$14)</f>
        <v>0</v>
      </c>
      <c r="D15" s="167">
        <f>B15*第一季度!D15-C15*第一季度!D15/0.75</f>
        <v>0</v>
      </c>
      <c r="E15" s="364" t="s">
        <v>382</v>
      </c>
      <c r="F15" s="367"/>
      <c r="G15" s="367"/>
      <c r="H15" s="182">
        <f>SUM(第一季度!AN28:AN35)</f>
        <v>0</v>
      </c>
      <c r="K15" s="189" t="s">
        <v>161</v>
      </c>
      <c r="L15" s="189">
        <f>第二季度!B15</f>
        <v>0</v>
      </c>
      <c r="M15" s="189">
        <f>SUMIF(第三季度!$O$3:$O$14,3,第三季度!$Q$3:$Q$14)+SUMIF(第三季度!$P$3:$P$14,3,第三季度!$Q$3:$Q$14)+第二季度!F50</f>
        <v>0</v>
      </c>
      <c r="N15" s="189">
        <f>L15*第一季度!D50-M15*第二季度!D15/0.9</f>
        <v>0</v>
      </c>
      <c r="O15" s="384" t="s">
        <v>382</v>
      </c>
      <c r="P15" s="385"/>
      <c r="Q15" s="386"/>
      <c r="R15" s="184">
        <f>SUM(第二季度!AN28:AN35)</f>
        <v>0</v>
      </c>
    </row>
    <row r="16" spans="1:18">
      <c r="A16" s="167" t="s">
        <v>162</v>
      </c>
      <c r="B16" s="166">
        <f>第一季度!B16</f>
        <v>0</v>
      </c>
      <c r="C16" s="166">
        <f>SUMIF(第二季度!$O$3:$O$14,4,第二季度!$Q$3:$Q$14)+SUMIF(第二季度!$P$3:$P$14,4,第二季度!$Q$3:$Q$14)</f>
        <v>0</v>
      </c>
      <c r="D16" s="167">
        <f>B16*第一季度!D16-C16*第一季度!D16/0.75</f>
        <v>0</v>
      </c>
      <c r="E16" s="364" t="s">
        <v>383</v>
      </c>
      <c r="F16" s="367"/>
      <c r="G16" s="367"/>
      <c r="H16" s="180">
        <f>H13+H14-H15</f>
        <v>-288932.61279149703</v>
      </c>
      <c r="K16" s="189" t="s">
        <v>162</v>
      </c>
      <c r="L16" s="189">
        <f>第二季度!B16</f>
        <v>0</v>
      </c>
      <c r="M16" s="189">
        <f>SUMIF(第三季度!$O$3:$O$14,4,第三季度!$Q$3:$Q$14)+SUMIF(第三季度!$P$3:$P$14,4,第三季度!$Q$3:$Q$14)+第二季度!F51</f>
        <v>0</v>
      </c>
      <c r="N16" s="189">
        <f>L16*第一季度!D51-M16*第二季度!D16/0.9</f>
        <v>0</v>
      </c>
      <c r="O16" s="384" t="s">
        <v>383</v>
      </c>
      <c r="P16" s="385"/>
      <c r="Q16" s="386"/>
      <c r="R16" s="186">
        <f>R13+R14-R15</f>
        <v>-172194.50607739185</v>
      </c>
    </row>
    <row r="17" spans="1:18">
      <c r="A17" s="361" t="s">
        <v>425</v>
      </c>
      <c r="B17" s="361"/>
      <c r="C17" s="361"/>
      <c r="D17" s="171">
        <f>SUM(D3:D16)</f>
        <v>38365.666666666664</v>
      </c>
      <c r="E17" s="364" t="s">
        <v>384</v>
      </c>
      <c r="F17" s="367"/>
      <c r="G17" s="367"/>
      <c r="H17" s="176">
        <f>IF(H16&lt;0,0,H16*参数调整!B4)</f>
        <v>0</v>
      </c>
      <c r="K17" s="359" t="s">
        <v>425</v>
      </c>
      <c r="L17" s="359"/>
      <c r="M17" s="359"/>
      <c r="N17" s="126">
        <f>SUM(N3:N16)+SUMPRODUCT(B3:B16,第一季度!D3:D16)-所得税计算工具表!D17</f>
        <v>73931.833333333343</v>
      </c>
      <c r="O17" s="384" t="s">
        <v>384</v>
      </c>
      <c r="P17" s="385"/>
      <c r="Q17" s="386"/>
      <c r="R17" s="187">
        <f>IF(R16&lt;0,0,R16*参数调整!B4)</f>
        <v>0</v>
      </c>
    </row>
    <row r="18" spans="1:18" ht="28.2" thickBot="1">
      <c r="A18" s="169" t="s">
        <v>415</v>
      </c>
      <c r="B18" s="169" t="s">
        <v>414</v>
      </c>
      <c r="C18" s="169" t="s">
        <v>417</v>
      </c>
      <c r="D18" s="169" t="s">
        <v>418</v>
      </c>
      <c r="E18" s="368" t="s">
        <v>385</v>
      </c>
      <c r="F18" s="369"/>
      <c r="G18" s="369"/>
      <c r="H18" s="183">
        <f>H16-H17</f>
        <v>-288932.61279149703</v>
      </c>
      <c r="K18" s="188" t="s">
        <v>415</v>
      </c>
      <c r="L18" s="188" t="s">
        <v>414</v>
      </c>
      <c r="M18" s="188" t="s">
        <v>417</v>
      </c>
      <c r="N18" s="188" t="s">
        <v>418</v>
      </c>
      <c r="O18" s="384" t="s">
        <v>385</v>
      </c>
      <c r="P18" s="385"/>
      <c r="Q18" s="386"/>
      <c r="R18" s="186">
        <f>R16-R17</f>
        <v>-172194.50607739185</v>
      </c>
    </row>
    <row r="19" spans="1:18" ht="20.399999999999999" customHeight="1">
      <c r="A19" s="166">
        <f>SUM(第一季度!T3:T14)</f>
        <v>0</v>
      </c>
      <c r="B19" s="111">
        <v>0</v>
      </c>
      <c r="C19" s="166">
        <v>0</v>
      </c>
      <c r="D19" s="166">
        <f>IF(A19=0,0,C19/A19)</f>
        <v>0</v>
      </c>
      <c r="E19" s="365" t="s">
        <v>358</v>
      </c>
      <c r="F19" s="366">
        <f>D17+E24+D24+H24+H29</f>
        <v>70794.150791497057</v>
      </c>
      <c r="G19" s="366"/>
      <c r="H19" s="366"/>
      <c r="K19" s="189">
        <f>SUM(第二季度!U3:U14)</f>
        <v>450</v>
      </c>
      <c r="L19" s="84">
        <v>31</v>
      </c>
      <c r="M19" s="189">
        <f>K19-L19</f>
        <v>419</v>
      </c>
      <c r="N19" s="189">
        <f>IF(K19=0,0,M19/K19)</f>
        <v>0.93111111111111111</v>
      </c>
      <c r="O19" s="304" t="s">
        <v>358</v>
      </c>
      <c r="P19" s="358">
        <f>N17+O24+N24+R24+R29</f>
        <v>122329.19809739184</v>
      </c>
      <c r="Q19" s="358"/>
      <c r="R19" s="358"/>
    </row>
    <row r="20" spans="1:18">
      <c r="A20" s="166">
        <f>SUM(第一季度!S3:S14)</f>
        <v>0</v>
      </c>
      <c r="B20" s="111">
        <v>0</v>
      </c>
      <c r="C20" s="166">
        <v>0</v>
      </c>
      <c r="D20" s="166">
        <f>IF(A20=0,0,C20/A20)</f>
        <v>0</v>
      </c>
      <c r="E20" s="365"/>
      <c r="F20" s="366"/>
      <c r="G20" s="366"/>
      <c r="H20" s="366"/>
      <c r="K20" s="189">
        <f>SUM(第二季度!T3:T14)</f>
        <v>0</v>
      </c>
      <c r="L20" s="84">
        <v>0</v>
      </c>
      <c r="M20" s="189">
        <f>K20-L20</f>
        <v>0</v>
      </c>
      <c r="N20" s="189">
        <f>IF(K20=0,0,M20/K20)</f>
        <v>0</v>
      </c>
      <c r="O20" s="304"/>
      <c r="P20" s="358"/>
      <c r="Q20" s="358"/>
      <c r="R20" s="358"/>
    </row>
    <row r="21" spans="1:18">
      <c r="A21" s="166">
        <f>SUM(第一季度!R3:R14)</f>
        <v>0</v>
      </c>
      <c r="B21" s="111">
        <v>0</v>
      </c>
      <c r="C21" s="166">
        <v>0</v>
      </c>
      <c r="D21" s="166">
        <f>IF(A21=0,0,C21/A21)</f>
        <v>0</v>
      </c>
      <c r="E21" s="365"/>
      <c r="F21" s="366"/>
      <c r="G21" s="366"/>
      <c r="H21" s="366"/>
      <c r="K21" s="189">
        <f>SUM(第二季度!S3:S14)</f>
        <v>0</v>
      </c>
      <c r="L21" s="84">
        <v>0</v>
      </c>
      <c r="M21" s="189">
        <f>K21-L21</f>
        <v>0</v>
      </c>
      <c r="N21" s="189">
        <f>IF(K21=0,0,M21/K21)</f>
        <v>0</v>
      </c>
      <c r="O21" s="304"/>
      <c r="P21" s="358"/>
      <c r="Q21" s="358"/>
      <c r="R21" s="358"/>
    </row>
    <row r="22" spans="1:18">
      <c r="A22" s="166">
        <f>SUM(第一季度!Q3:Q14)</f>
        <v>330</v>
      </c>
      <c r="B22" s="111">
        <v>96</v>
      </c>
      <c r="C22" s="166">
        <f>A22-B22</f>
        <v>234</v>
      </c>
      <c r="D22" s="166">
        <f>IF(A22=0,0,C22/A22)</f>
        <v>0.70909090909090911</v>
      </c>
      <c r="E22" s="365"/>
      <c r="F22" s="366"/>
      <c r="G22" s="366"/>
      <c r="H22" s="366"/>
      <c r="K22" s="189">
        <f>SUM(第二季度!R3:R14)</f>
        <v>0</v>
      </c>
      <c r="L22" s="84">
        <v>0</v>
      </c>
      <c r="M22" s="189">
        <f>K22-L22</f>
        <v>0</v>
      </c>
      <c r="N22" s="189">
        <f>IF(K22=0,0,M22/K22)</f>
        <v>0</v>
      </c>
      <c r="O22" s="304"/>
      <c r="P22" s="358"/>
      <c r="Q22" s="358"/>
      <c r="R22" s="358"/>
    </row>
    <row r="23" spans="1:18">
      <c r="A23" s="169" t="s">
        <v>372</v>
      </c>
      <c r="B23" s="169" t="s">
        <v>343</v>
      </c>
      <c r="C23" s="169" t="s">
        <v>413</v>
      </c>
      <c r="D23" s="172" t="s">
        <v>416</v>
      </c>
      <c r="E23" s="172" t="s">
        <v>412</v>
      </c>
      <c r="F23" s="169" t="s">
        <v>421</v>
      </c>
      <c r="G23" s="169" t="s">
        <v>420</v>
      </c>
      <c r="H23" s="171" t="s">
        <v>422</v>
      </c>
      <c r="K23" s="188" t="s">
        <v>372</v>
      </c>
      <c r="L23" s="188" t="s">
        <v>343</v>
      </c>
      <c r="M23" s="188" t="s">
        <v>413</v>
      </c>
      <c r="N23" s="190" t="s">
        <v>416</v>
      </c>
      <c r="O23" s="190" t="s">
        <v>412</v>
      </c>
      <c r="P23" s="188" t="s">
        <v>421</v>
      </c>
      <c r="Q23" s="188" t="s">
        <v>420</v>
      </c>
      <c r="R23" s="126" t="s">
        <v>422</v>
      </c>
    </row>
    <row r="24" spans="1:18">
      <c r="A24" s="167" t="s">
        <v>98</v>
      </c>
      <c r="B24" s="111">
        <v>0</v>
      </c>
      <c r="C24" s="166">
        <f>B24*参数调整!F33</f>
        <v>0</v>
      </c>
      <c r="D24" s="361">
        <f>C27*D22+C26*C21+C25*C20+C24*C19</f>
        <v>5318.181818181818</v>
      </c>
      <c r="E24" s="361">
        <f>C19*参数调整!F32+C20*参数调整!G32+C21*参数调整!H32+C22*参数调整!I32</f>
        <v>7020</v>
      </c>
      <c r="F24" s="111">
        <v>0</v>
      </c>
      <c r="G24" s="167">
        <f>F24*参数调整!$J$18*(1+SUM(参数调整!$B$12:$B$16))</f>
        <v>0</v>
      </c>
      <c r="H24" s="361">
        <f>D19*G24+D20*G25+D21*G26+D22*G27</f>
        <v>17179.854545454546</v>
      </c>
      <c r="K24" s="189" t="s">
        <v>98</v>
      </c>
      <c r="L24" s="84">
        <v>1</v>
      </c>
      <c r="M24" s="189">
        <f>L24*参数调整!F33</f>
        <v>3000</v>
      </c>
      <c r="N24" s="359">
        <f>M27*N22+M26*N21+M25*N20+M24*N19+SUM(C24:C27)-D24</f>
        <v>4975.1515151515159</v>
      </c>
      <c r="O24" s="359">
        <f>B19*参数调整!$F$32+B20*参数调整!$G$32+B21*参数调整!$H$32+B22*参数调整!$I$32+M19*参数调整!$F$32+M20*参数调整!$G$32+M21*参数调整!$H$32+M22*参数调整!$I$32</f>
        <v>7070</v>
      </c>
      <c r="P24" s="84">
        <v>5</v>
      </c>
      <c r="Q24" s="189">
        <f>P24*参数调整!$J$18*(1+SUM(参数调整!$B$12:$B$16))</f>
        <v>24228</v>
      </c>
      <c r="R24" s="359">
        <f>N19*Q24+N20*Q25+N21*Q26+N22*Q27+SUM(G24:G27)-H24</f>
        <v>29607.105454545454</v>
      </c>
    </row>
    <row r="25" spans="1:18">
      <c r="A25" s="167" t="s">
        <v>99</v>
      </c>
      <c r="B25" s="111">
        <v>0</v>
      </c>
      <c r="C25" s="166">
        <f>B25*参数调整!G33</f>
        <v>0</v>
      </c>
      <c r="D25" s="361"/>
      <c r="E25" s="361"/>
      <c r="F25" s="111"/>
      <c r="G25" s="167">
        <f>F25*参数调整!$J$18*(1+SUM(参数调整!$B$12:$B$16))</f>
        <v>0</v>
      </c>
      <c r="H25" s="361"/>
      <c r="K25" s="189" t="s">
        <v>99</v>
      </c>
      <c r="L25" s="84">
        <v>0</v>
      </c>
      <c r="M25" s="189">
        <f>L25*参数调整!G33</f>
        <v>0</v>
      </c>
      <c r="N25" s="359"/>
      <c r="O25" s="359"/>
      <c r="P25" s="84">
        <v>0</v>
      </c>
      <c r="Q25" s="189">
        <f>P25*参数调整!$J$18*(1+SUM(参数调整!$B$12:$B$16))</f>
        <v>0</v>
      </c>
      <c r="R25" s="359"/>
    </row>
    <row r="26" spans="1:18">
      <c r="A26" s="167" t="s">
        <v>212</v>
      </c>
      <c r="B26" s="111">
        <v>0</v>
      </c>
      <c r="C26" s="166">
        <f>B26*参数调整!H33</f>
        <v>0</v>
      </c>
      <c r="D26" s="361"/>
      <c r="E26" s="361"/>
      <c r="F26" s="111"/>
      <c r="G26" s="167">
        <f>F26*参数调整!$J$18*(1+SUM(参数调整!$B$12:$B$16))</f>
        <v>0</v>
      </c>
      <c r="H26" s="361"/>
      <c r="K26" s="189" t="s">
        <v>212</v>
      </c>
      <c r="L26" s="84">
        <v>0</v>
      </c>
      <c r="M26" s="189">
        <f>L26*参数调整!H33</f>
        <v>0</v>
      </c>
      <c r="N26" s="359"/>
      <c r="O26" s="359"/>
      <c r="P26" s="84">
        <v>0</v>
      </c>
      <c r="Q26" s="189">
        <f>P26*参数调整!$J$18*(1+SUM(参数调整!$B$12:$B$16))</f>
        <v>0</v>
      </c>
      <c r="R26" s="359"/>
    </row>
    <row r="27" spans="1:18">
      <c r="A27" s="167" t="s">
        <v>211</v>
      </c>
      <c r="B27" s="111">
        <v>5</v>
      </c>
      <c r="C27" s="166">
        <f>B27*参数调整!I33</f>
        <v>7500</v>
      </c>
      <c r="D27" s="361"/>
      <c r="E27" s="361"/>
      <c r="F27" s="111">
        <v>5</v>
      </c>
      <c r="G27" s="167">
        <f>F27*参数调整!$J$18*(1+SUM(参数调整!$B$12:$B$16))</f>
        <v>24228</v>
      </c>
      <c r="H27" s="361"/>
      <c r="K27" s="189" t="s">
        <v>211</v>
      </c>
      <c r="L27" s="84">
        <v>0</v>
      </c>
      <c r="M27" s="189">
        <f>L27*参数调整!I33</f>
        <v>0</v>
      </c>
      <c r="N27" s="359"/>
      <c r="O27" s="359"/>
      <c r="P27" s="84">
        <v>0</v>
      </c>
      <c r="Q27" s="189">
        <f>P27*参数调整!$J$18*(1+SUM(参数调整!$B$12:$B$16))</f>
        <v>0</v>
      </c>
      <c r="R27" s="359"/>
    </row>
    <row r="28" spans="1:18" ht="27.6">
      <c r="A28" s="167" t="s">
        <v>371</v>
      </c>
      <c r="B28" s="169" t="s">
        <v>343</v>
      </c>
      <c r="C28" s="173" t="s">
        <v>419</v>
      </c>
      <c r="D28" s="169" t="s">
        <v>423</v>
      </c>
      <c r="E28" s="169" t="s">
        <v>414</v>
      </c>
      <c r="F28" s="169" t="s">
        <v>417</v>
      </c>
      <c r="G28" s="169" t="s">
        <v>418</v>
      </c>
      <c r="H28" s="172" t="s">
        <v>424</v>
      </c>
      <c r="K28" s="189" t="s">
        <v>371</v>
      </c>
      <c r="L28" s="188" t="s">
        <v>343</v>
      </c>
      <c r="M28" s="188" t="s">
        <v>419</v>
      </c>
      <c r="N28" s="188" t="s">
        <v>423</v>
      </c>
      <c r="O28" s="188" t="s">
        <v>414</v>
      </c>
      <c r="P28" s="188" t="s">
        <v>417</v>
      </c>
      <c r="Q28" s="188" t="s">
        <v>418</v>
      </c>
      <c r="R28" s="190" t="s">
        <v>424</v>
      </c>
    </row>
    <row r="29" spans="1:18">
      <c r="A29" s="166" t="s">
        <v>362</v>
      </c>
      <c r="B29" s="111">
        <v>1</v>
      </c>
      <c r="C29" s="166">
        <f>B29*参数调整!J24</f>
        <v>5000</v>
      </c>
      <c r="D29" s="111">
        <v>67</v>
      </c>
      <c r="E29" s="111">
        <v>28</v>
      </c>
      <c r="F29" s="166">
        <f>D29-E29</f>
        <v>39</v>
      </c>
      <c r="G29" s="166">
        <f>IF(D29=0,0,F29/D29)</f>
        <v>0.58208955223880599</v>
      </c>
      <c r="H29" s="361">
        <f>C29*G29+C30*G30+C31*G31</f>
        <v>2910.4477611940301</v>
      </c>
      <c r="K29" s="189" t="s">
        <v>362</v>
      </c>
      <c r="L29" s="84">
        <v>1</v>
      </c>
      <c r="M29" s="189">
        <f>L29*参数调整!J24</f>
        <v>5000</v>
      </c>
      <c r="N29" s="84">
        <v>450</v>
      </c>
      <c r="O29" s="84">
        <v>31</v>
      </c>
      <c r="P29" s="189">
        <f>N29-O29</f>
        <v>419</v>
      </c>
      <c r="Q29" s="189">
        <f>IF(N29=0,0,P29/N29)</f>
        <v>0.93111111111111111</v>
      </c>
      <c r="R29" s="359">
        <f>M29*Q29+M30*Q30+M31*Q31+SUM(C29:C31)-H29</f>
        <v>6745.1077943615246</v>
      </c>
    </row>
    <row r="30" spans="1:18">
      <c r="A30" s="167" t="s">
        <v>361</v>
      </c>
      <c r="B30" s="111"/>
      <c r="C30" s="166">
        <f>B30*参数调整!H24</f>
        <v>0</v>
      </c>
      <c r="D30" s="111"/>
      <c r="E30" s="111"/>
      <c r="F30" s="166">
        <f>D30-E30</f>
        <v>0</v>
      </c>
      <c r="G30" s="166">
        <f>IF(D30=0,0,F30/D30)</f>
        <v>0</v>
      </c>
      <c r="H30" s="361"/>
      <c r="K30" s="189" t="s">
        <v>361</v>
      </c>
      <c r="L30" s="84"/>
      <c r="M30" s="189">
        <f>L30*参数调整!H24</f>
        <v>0</v>
      </c>
      <c r="N30" s="84"/>
      <c r="O30" s="84"/>
      <c r="P30" s="189">
        <f>N30-O30</f>
        <v>0</v>
      </c>
      <c r="Q30" s="189">
        <f>IF(N30=0,0,P30/N30)</f>
        <v>0</v>
      </c>
      <c r="R30" s="359"/>
    </row>
    <row r="31" spans="1:18">
      <c r="A31" s="167" t="s">
        <v>243</v>
      </c>
      <c r="B31" s="111"/>
      <c r="C31" s="166">
        <f>B31*参数调整!F24</f>
        <v>0</v>
      </c>
      <c r="D31" s="111"/>
      <c r="E31" s="111"/>
      <c r="F31" s="166">
        <f>D31-E31</f>
        <v>0</v>
      </c>
      <c r="G31" s="166">
        <f>IF(D31=0,0,F31/D31)</f>
        <v>0</v>
      </c>
      <c r="H31" s="361"/>
      <c r="K31" s="189" t="s">
        <v>243</v>
      </c>
      <c r="L31" s="84"/>
      <c r="M31" s="189">
        <f>L31*参数调整!F24</f>
        <v>0</v>
      </c>
      <c r="N31" s="84"/>
      <c r="O31" s="84"/>
      <c r="P31" s="189">
        <f>N31-O31</f>
        <v>0</v>
      </c>
      <c r="Q31" s="189">
        <f>IF(N31=0,0,P31/N31)</f>
        <v>0</v>
      </c>
      <c r="R31" s="359"/>
    </row>
    <row r="51" spans="3:5" ht="13.8" customHeight="1"/>
    <row r="52" spans="3:5" ht="13.8" customHeight="1"/>
    <row r="61" spans="3:5" ht="13.8" customHeight="1">
      <c r="C61" s="168"/>
      <c r="D61" s="168"/>
      <c r="E61" s="168"/>
    </row>
    <row r="62" spans="3:5" ht="13.8" customHeight="1">
      <c r="C62" s="168"/>
      <c r="D62" s="168"/>
      <c r="E62" s="168"/>
    </row>
    <row r="63" spans="3:5" ht="13.8" customHeight="1">
      <c r="C63" s="168"/>
      <c r="D63" s="168"/>
      <c r="E63" s="168"/>
    </row>
    <row r="64" spans="3:5" ht="13.8" customHeight="1">
      <c r="C64" s="168"/>
      <c r="D64" s="168"/>
      <c r="E64" s="168"/>
    </row>
    <row r="79" spans="6:16"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</row>
    <row r="89" spans="6:16">
      <c r="M89" s="152"/>
      <c r="N89" s="152"/>
      <c r="O89" s="152"/>
      <c r="P89" s="152"/>
    </row>
    <row r="90" spans="6:16"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</row>
    <row r="91" spans="6:16">
      <c r="K91" s="152"/>
      <c r="L91" s="152"/>
      <c r="M91" s="152"/>
      <c r="N91" s="152"/>
      <c r="O91" s="152"/>
      <c r="P91" s="152"/>
    </row>
    <row r="92" spans="6:16">
      <c r="M92" s="152"/>
      <c r="N92" s="152"/>
      <c r="O92" s="152"/>
      <c r="P92" s="152"/>
    </row>
    <row r="93" spans="6:16">
      <c r="M93" s="152"/>
      <c r="N93" s="152"/>
      <c r="O93" s="152"/>
      <c r="P93" s="152"/>
    </row>
    <row r="94" spans="6:16">
      <c r="M94" s="152"/>
      <c r="N94" s="152"/>
      <c r="O94" s="152"/>
      <c r="P94" s="152"/>
    </row>
    <row r="101" spans="9:12">
      <c r="I101" s="152"/>
      <c r="J101" s="152"/>
      <c r="K101" s="152"/>
      <c r="L101" s="152"/>
    </row>
    <row r="102" spans="9:12">
      <c r="I102" s="152"/>
      <c r="J102" s="152"/>
      <c r="K102" s="152"/>
      <c r="L102" s="152"/>
    </row>
    <row r="103" spans="9:12">
      <c r="I103" s="152"/>
      <c r="J103" s="152"/>
      <c r="K103" s="152"/>
      <c r="L103" s="152"/>
    </row>
    <row r="104" spans="9:12">
      <c r="I104" s="152"/>
      <c r="J104" s="152"/>
      <c r="K104" s="152"/>
      <c r="L104" s="152"/>
    </row>
    <row r="135" spans="1:16">
      <c r="B135" s="153"/>
      <c r="C135" s="165" t="s">
        <v>404</v>
      </c>
      <c r="D135" t="s">
        <v>408</v>
      </c>
      <c r="E135" t="s">
        <v>344</v>
      </c>
      <c r="F135" t="s">
        <v>152</v>
      </c>
      <c r="G135" t="s">
        <v>153</v>
      </c>
      <c r="H135" t="s">
        <v>154</v>
      </c>
      <c r="I135" t="s">
        <v>155</v>
      </c>
      <c r="J135" t="s">
        <v>156</v>
      </c>
      <c r="K135" t="s">
        <v>157</v>
      </c>
      <c r="L135" t="s">
        <v>158</v>
      </c>
      <c r="M135" t="s">
        <v>159</v>
      </c>
      <c r="N135" t="s">
        <v>160</v>
      </c>
      <c r="O135" t="s">
        <v>161</v>
      </c>
      <c r="P135" t="s">
        <v>162</v>
      </c>
    </row>
    <row r="136" spans="1:16">
      <c r="A136" s="153" t="str">
        <f>第一季度!J3</f>
        <v>S</v>
      </c>
      <c r="B136" s="153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16">
      <c r="A137" s="153" t="str">
        <f>第一季度!J4</f>
        <v>B</v>
      </c>
      <c r="B137" s="153">
        <f>第一季度!K4</f>
        <v>1111</v>
      </c>
      <c r="C137">
        <f t="shared" ref="C137:C147" si="0">IF(MID(B137,1,1)="1",1,0)</f>
        <v>1</v>
      </c>
      <c r="D137">
        <f t="shared" ref="D137:D147" si="1">IF(MID(B137,1,1)="2",1,0)</f>
        <v>0</v>
      </c>
      <c r="E137">
        <f t="shared" ref="E137:E147" si="2">IF(MID(B137,1,1)="3",1,0)</f>
        <v>0</v>
      </c>
      <c r="F137">
        <f t="shared" ref="F137:F147" si="3">IF(MID(B137,2,1)="1",1,0)</f>
        <v>1</v>
      </c>
      <c r="G137">
        <f t="shared" ref="G137:G147" si="4">IF(MID(B137,2,1)="2",1,0)</f>
        <v>0</v>
      </c>
      <c r="H137">
        <f>IF(MID(B137,2,1)="3",1,0)</f>
        <v>0</v>
      </c>
      <c r="I137">
        <f t="shared" ref="I137:I147" si="5">IF(MID(B137,3,1)="1",1,0)</f>
        <v>1</v>
      </c>
    </row>
    <row r="138" spans="1:16">
      <c r="A138" s="153" t="str">
        <f>第一季度!J5</f>
        <v>B</v>
      </c>
      <c r="B138" s="153">
        <f>第一季度!K5</f>
        <v>1121</v>
      </c>
      <c r="C138">
        <f t="shared" si="0"/>
        <v>1</v>
      </c>
      <c r="D138">
        <f t="shared" si="1"/>
        <v>0</v>
      </c>
      <c r="E138">
        <f t="shared" si="2"/>
        <v>0</v>
      </c>
      <c r="F138">
        <f t="shared" si="3"/>
        <v>1</v>
      </c>
      <c r="G138">
        <f t="shared" si="4"/>
        <v>0</v>
      </c>
      <c r="H138">
        <f t="shared" ref="H138:H147" si="6">IF(MID(B138,2,1)="3",1,0)</f>
        <v>0</v>
      </c>
      <c r="I138">
        <f t="shared" si="5"/>
        <v>0</v>
      </c>
    </row>
    <row r="139" spans="1:16">
      <c r="A139" s="153" t="str">
        <f>第一季度!J6</f>
        <v>B</v>
      </c>
      <c r="B139" s="153">
        <f>第一季度!K6</f>
        <v>113</v>
      </c>
      <c r="C139">
        <f t="shared" si="0"/>
        <v>1</v>
      </c>
      <c r="D139">
        <f t="shared" si="1"/>
        <v>0</v>
      </c>
      <c r="E139">
        <f t="shared" si="2"/>
        <v>0</v>
      </c>
      <c r="F139">
        <f t="shared" si="3"/>
        <v>1</v>
      </c>
      <c r="G139">
        <f t="shared" si="4"/>
        <v>0</v>
      </c>
      <c r="H139">
        <f t="shared" si="6"/>
        <v>0</v>
      </c>
      <c r="I139">
        <f t="shared" si="5"/>
        <v>0</v>
      </c>
    </row>
    <row r="140" spans="1:16">
      <c r="A140" s="153" t="str">
        <f>第一季度!J7</f>
        <v>Q</v>
      </c>
      <c r="B140" s="153">
        <f>第一季度!K7</f>
        <v>212</v>
      </c>
      <c r="C140">
        <f t="shared" si="0"/>
        <v>0</v>
      </c>
      <c r="D140">
        <f t="shared" si="1"/>
        <v>1</v>
      </c>
      <c r="E140">
        <f t="shared" si="2"/>
        <v>0</v>
      </c>
      <c r="F140">
        <f t="shared" si="3"/>
        <v>1</v>
      </c>
      <c r="G140">
        <f t="shared" si="4"/>
        <v>0</v>
      </c>
      <c r="H140">
        <f t="shared" si="6"/>
        <v>0</v>
      </c>
      <c r="I140">
        <f t="shared" si="5"/>
        <v>0</v>
      </c>
    </row>
    <row r="141" spans="1:16">
      <c r="A141" s="153" t="str">
        <f>第一季度!J8</f>
        <v>Q</v>
      </c>
      <c r="B141" s="153">
        <f>第一季度!K8</f>
        <v>1121</v>
      </c>
      <c r="C141">
        <f t="shared" si="0"/>
        <v>1</v>
      </c>
      <c r="D141">
        <f t="shared" si="1"/>
        <v>0</v>
      </c>
      <c r="E141">
        <f t="shared" si="2"/>
        <v>0</v>
      </c>
      <c r="F141">
        <f t="shared" si="3"/>
        <v>1</v>
      </c>
      <c r="G141">
        <f t="shared" si="4"/>
        <v>0</v>
      </c>
      <c r="H141">
        <f t="shared" si="6"/>
        <v>0</v>
      </c>
      <c r="I141">
        <f t="shared" si="5"/>
        <v>0</v>
      </c>
    </row>
    <row r="142" spans="1:16">
      <c r="A142" s="153" t="str">
        <f>第一季度!J9</f>
        <v>Q</v>
      </c>
      <c r="B142" s="153">
        <f>第一季度!K9</f>
        <v>112</v>
      </c>
      <c r="C142">
        <f t="shared" si="0"/>
        <v>1</v>
      </c>
      <c r="D142">
        <f t="shared" si="1"/>
        <v>0</v>
      </c>
      <c r="E142">
        <f t="shared" si="2"/>
        <v>0</v>
      </c>
      <c r="F142">
        <f t="shared" si="3"/>
        <v>1</v>
      </c>
      <c r="G142">
        <f t="shared" si="4"/>
        <v>0</v>
      </c>
      <c r="H142">
        <f t="shared" si="6"/>
        <v>0</v>
      </c>
      <c r="I142">
        <f t="shared" si="5"/>
        <v>0</v>
      </c>
    </row>
    <row r="143" spans="1:16">
      <c r="A143" s="153" t="str">
        <f>第一季度!J10</f>
        <v>L</v>
      </c>
      <c r="B143" s="153">
        <f>第一季度!K10</f>
        <v>121</v>
      </c>
      <c r="C143">
        <f t="shared" si="0"/>
        <v>1</v>
      </c>
      <c r="D143">
        <f t="shared" si="1"/>
        <v>0</v>
      </c>
      <c r="E143">
        <f t="shared" si="2"/>
        <v>0</v>
      </c>
      <c r="F143">
        <f t="shared" si="3"/>
        <v>0</v>
      </c>
      <c r="G143">
        <f t="shared" si="4"/>
        <v>1</v>
      </c>
      <c r="H143">
        <f t="shared" si="6"/>
        <v>0</v>
      </c>
      <c r="I143">
        <f t="shared" si="5"/>
        <v>1</v>
      </c>
    </row>
    <row r="144" spans="1:16">
      <c r="A144" s="153">
        <f>第一季度!J11</f>
        <v>0</v>
      </c>
      <c r="B144" s="153">
        <f>第一季度!K11</f>
        <v>0</v>
      </c>
      <c r="C144">
        <f t="shared" si="0"/>
        <v>0</v>
      </c>
      <c r="D144">
        <f t="shared" si="1"/>
        <v>0</v>
      </c>
      <c r="E144">
        <f t="shared" si="2"/>
        <v>0</v>
      </c>
      <c r="F144">
        <f t="shared" si="3"/>
        <v>0</v>
      </c>
      <c r="G144">
        <f t="shared" si="4"/>
        <v>0</v>
      </c>
      <c r="H144">
        <f t="shared" si="6"/>
        <v>0</v>
      </c>
      <c r="I144">
        <f t="shared" si="5"/>
        <v>0</v>
      </c>
    </row>
    <row r="145" spans="1:9">
      <c r="A145" s="153">
        <f>第一季度!J12</f>
        <v>0</v>
      </c>
      <c r="B145" s="153">
        <f>第一季度!K12</f>
        <v>0</v>
      </c>
      <c r="C145">
        <f t="shared" si="0"/>
        <v>0</v>
      </c>
      <c r="D145">
        <f t="shared" si="1"/>
        <v>0</v>
      </c>
      <c r="E145">
        <f t="shared" si="2"/>
        <v>0</v>
      </c>
      <c r="F145">
        <f t="shared" si="3"/>
        <v>0</v>
      </c>
      <c r="G145">
        <f t="shared" si="4"/>
        <v>0</v>
      </c>
      <c r="H145">
        <f t="shared" si="6"/>
        <v>0</v>
      </c>
      <c r="I145">
        <f t="shared" si="5"/>
        <v>0</v>
      </c>
    </row>
    <row r="146" spans="1:9">
      <c r="A146" s="153">
        <f>第一季度!J13</f>
        <v>0</v>
      </c>
      <c r="B146" s="153">
        <f>第一季度!K13</f>
        <v>0</v>
      </c>
      <c r="C146">
        <f t="shared" si="0"/>
        <v>0</v>
      </c>
      <c r="D146">
        <f t="shared" si="1"/>
        <v>0</v>
      </c>
      <c r="E146">
        <f t="shared" si="2"/>
        <v>0</v>
      </c>
      <c r="F146">
        <f t="shared" si="3"/>
        <v>0</v>
      </c>
      <c r="G146">
        <f t="shared" si="4"/>
        <v>0</v>
      </c>
      <c r="H146">
        <f t="shared" si="6"/>
        <v>0</v>
      </c>
      <c r="I146">
        <f t="shared" si="5"/>
        <v>0</v>
      </c>
    </row>
    <row r="147" spans="1:9">
      <c r="A147" s="153">
        <f>第一季度!J14</f>
        <v>0</v>
      </c>
      <c r="B147" s="153">
        <f>第一季度!K14</f>
        <v>0</v>
      </c>
      <c r="C147">
        <f t="shared" si="0"/>
        <v>0</v>
      </c>
      <c r="D147">
        <f t="shared" si="1"/>
        <v>0</v>
      </c>
      <c r="E147">
        <f t="shared" si="2"/>
        <v>0</v>
      </c>
      <c r="F147">
        <f t="shared" si="3"/>
        <v>0</v>
      </c>
      <c r="G147">
        <f t="shared" si="4"/>
        <v>0</v>
      </c>
      <c r="H147">
        <f t="shared" si="6"/>
        <v>0</v>
      </c>
      <c r="I147">
        <f t="shared" si="5"/>
        <v>0</v>
      </c>
    </row>
    <row r="168" spans="4:28" ht="35.4">
      <c r="D168" s="382" t="s">
        <v>340</v>
      </c>
      <c r="E168" s="381"/>
      <c r="F168" s="381"/>
      <c r="G168" s="381"/>
      <c r="H168" s="381"/>
      <c r="I168" s="381"/>
      <c r="M168" s="381" t="s">
        <v>339</v>
      </c>
      <c r="N168" s="381"/>
      <c r="O168" s="381"/>
      <c r="P168" s="381"/>
      <c r="Q168" s="381"/>
      <c r="R168" s="381"/>
      <c r="W168" s="377" t="s">
        <v>342</v>
      </c>
      <c r="X168" s="377"/>
      <c r="Y168" s="377"/>
      <c r="Z168" s="377"/>
      <c r="AA168" s="377"/>
      <c r="AB168" s="377"/>
    </row>
    <row r="169" spans="4:28">
      <c r="D169" s="296"/>
      <c r="E169" s="308"/>
      <c r="F169" s="308"/>
      <c r="G169" s="308"/>
      <c r="H169" s="135" t="s">
        <v>343</v>
      </c>
      <c r="I169" s="135" t="s">
        <v>373</v>
      </c>
      <c r="M169" s="308"/>
      <c r="N169" s="308"/>
      <c r="O169" s="308"/>
      <c r="P169" s="308"/>
      <c r="Q169" s="135" t="s">
        <v>343</v>
      </c>
      <c r="R169" s="135" t="s">
        <v>373</v>
      </c>
      <c r="W169" s="374"/>
      <c r="X169" s="374"/>
      <c r="Y169" s="374"/>
      <c r="Z169" s="374"/>
      <c r="AA169" s="121" t="s">
        <v>343</v>
      </c>
      <c r="AB169" s="121" t="s">
        <v>373</v>
      </c>
    </row>
    <row r="170" spans="4:28">
      <c r="D170" s="383" t="s">
        <v>364</v>
      </c>
      <c r="E170" s="308" t="s">
        <v>365</v>
      </c>
      <c r="F170" s="308" t="s">
        <v>371</v>
      </c>
      <c r="G170" s="135" t="s">
        <v>362</v>
      </c>
      <c r="H170" s="137"/>
      <c r="I170" s="103">
        <v>0</v>
      </c>
      <c r="M170" s="372" t="s">
        <v>364</v>
      </c>
      <c r="N170" s="308" t="s">
        <v>365</v>
      </c>
      <c r="O170" s="308" t="s">
        <v>371</v>
      </c>
      <c r="P170" s="135" t="s">
        <v>362</v>
      </c>
      <c r="Q170" s="137"/>
      <c r="R170" s="103">
        <v>0</v>
      </c>
      <c r="W170" s="372" t="s">
        <v>364</v>
      </c>
      <c r="X170" s="374" t="s">
        <v>365</v>
      </c>
      <c r="Y170" s="374" t="s">
        <v>371</v>
      </c>
      <c r="Z170" s="121" t="s">
        <v>362</v>
      </c>
      <c r="AA170" s="137"/>
      <c r="AB170" s="144">
        <v>0</v>
      </c>
    </row>
    <row r="171" spans="4:28">
      <c r="D171" s="383"/>
      <c r="E171" s="308"/>
      <c r="F171" s="308"/>
      <c r="G171" s="135" t="s">
        <v>361</v>
      </c>
      <c r="H171" s="137"/>
      <c r="I171" s="103">
        <v>0</v>
      </c>
      <c r="M171" s="372"/>
      <c r="N171" s="308"/>
      <c r="O171" s="308"/>
      <c r="P171" s="135" t="s">
        <v>361</v>
      </c>
      <c r="Q171" s="137"/>
      <c r="R171" s="103">
        <v>0</v>
      </c>
      <c r="W171" s="372"/>
      <c r="X171" s="374"/>
      <c r="Y171" s="374"/>
      <c r="Z171" s="121" t="s">
        <v>361</v>
      </c>
      <c r="AA171" s="137"/>
      <c r="AB171" s="144">
        <v>0</v>
      </c>
    </row>
    <row r="172" spans="4:28">
      <c r="D172" s="383"/>
      <c r="E172" s="308"/>
      <c r="F172" s="308"/>
      <c r="G172" s="135" t="s">
        <v>360</v>
      </c>
      <c r="H172" s="137"/>
      <c r="I172" s="103">
        <v>0</v>
      </c>
      <c r="M172" s="372"/>
      <c r="N172" s="308"/>
      <c r="O172" s="308"/>
      <c r="P172" s="135" t="s">
        <v>360</v>
      </c>
      <c r="Q172" s="137"/>
      <c r="R172" s="103">
        <v>0</v>
      </c>
      <c r="W172" s="372"/>
      <c r="X172" s="374"/>
      <c r="Y172" s="374"/>
      <c r="Z172" s="121" t="s">
        <v>360</v>
      </c>
      <c r="AA172" s="137"/>
      <c r="AB172" s="144">
        <v>0</v>
      </c>
    </row>
    <row r="173" spans="4:28">
      <c r="D173" s="383"/>
      <c r="E173" s="308"/>
      <c r="F173" s="308" t="s">
        <v>372</v>
      </c>
      <c r="G173" s="135" t="s">
        <v>98</v>
      </c>
      <c r="H173" s="143"/>
      <c r="I173" s="103">
        <v>0</v>
      </c>
      <c r="M173" s="372"/>
      <c r="N173" s="308"/>
      <c r="O173" s="308" t="s">
        <v>372</v>
      </c>
      <c r="P173" s="135" t="s">
        <v>98</v>
      </c>
      <c r="Q173" s="143"/>
      <c r="R173" s="103">
        <v>0</v>
      </c>
      <c r="W173" s="372"/>
      <c r="X173" s="374"/>
      <c r="Y173" s="374" t="s">
        <v>372</v>
      </c>
      <c r="Z173" s="121" t="s">
        <v>98</v>
      </c>
      <c r="AA173" s="143"/>
      <c r="AB173" s="144">
        <v>0</v>
      </c>
    </row>
    <row r="174" spans="4:28">
      <c r="D174" s="383"/>
      <c r="E174" s="308"/>
      <c r="F174" s="308"/>
      <c r="G174" s="135" t="s">
        <v>99</v>
      </c>
      <c r="H174" s="137"/>
      <c r="I174" s="103">
        <v>0</v>
      </c>
      <c r="M174" s="372"/>
      <c r="N174" s="308"/>
      <c r="O174" s="308"/>
      <c r="P174" s="135" t="s">
        <v>99</v>
      </c>
      <c r="Q174" s="137"/>
      <c r="R174" s="103">
        <v>0</v>
      </c>
      <c r="W174" s="372"/>
      <c r="X174" s="374"/>
      <c r="Y174" s="374"/>
      <c r="Z174" s="121" t="s">
        <v>99</v>
      </c>
      <c r="AA174" s="137"/>
      <c r="AB174" s="144">
        <v>0</v>
      </c>
    </row>
    <row r="175" spans="4:28">
      <c r="D175" s="383"/>
      <c r="E175" s="308"/>
      <c r="F175" s="308"/>
      <c r="G175" s="135" t="s">
        <v>100</v>
      </c>
      <c r="H175" s="137"/>
      <c r="I175" s="103">
        <v>0</v>
      </c>
      <c r="M175" s="372"/>
      <c r="N175" s="308"/>
      <c r="O175" s="308"/>
      <c r="P175" s="135" t="s">
        <v>100</v>
      </c>
      <c r="Q175" s="137"/>
      <c r="R175" s="103">
        <v>0</v>
      </c>
      <c r="W175" s="372"/>
      <c r="X175" s="374"/>
      <c r="Y175" s="374"/>
      <c r="Z175" s="121" t="s">
        <v>100</v>
      </c>
      <c r="AA175" s="137"/>
      <c r="AB175" s="144">
        <v>0</v>
      </c>
    </row>
    <row r="176" spans="4:28">
      <c r="D176" s="383"/>
      <c r="E176" s="308"/>
      <c r="F176" s="308"/>
      <c r="G176" s="135" t="s">
        <v>101</v>
      </c>
      <c r="H176" s="137"/>
      <c r="I176" s="103">
        <v>0</v>
      </c>
      <c r="M176" s="372"/>
      <c r="N176" s="308"/>
      <c r="O176" s="308"/>
      <c r="P176" s="135" t="s">
        <v>101</v>
      </c>
      <c r="Q176" s="137"/>
      <c r="R176" s="103">
        <v>0</v>
      </c>
      <c r="W176" s="372"/>
      <c r="X176" s="374"/>
      <c r="Y176" s="374"/>
      <c r="Z176" s="121" t="s">
        <v>101</v>
      </c>
      <c r="AA176" s="137"/>
      <c r="AB176" s="144">
        <v>0</v>
      </c>
    </row>
    <row r="177" spans="4:28">
      <c r="D177" s="383"/>
      <c r="E177" s="308" t="s">
        <v>366</v>
      </c>
      <c r="F177" s="308" t="s">
        <v>371</v>
      </c>
      <c r="G177" s="135" t="s">
        <v>362</v>
      </c>
      <c r="H177" s="137"/>
      <c r="I177" s="103">
        <f>H177*参数调整!$J$23*参数调整!$B$28</f>
        <v>0</v>
      </c>
      <c r="M177" s="372"/>
      <c r="N177" s="308" t="s">
        <v>366</v>
      </c>
      <c r="O177" s="308" t="s">
        <v>371</v>
      </c>
      <c r="P177" s="135" t="s">
        <v>362</v>
      </c>
      <c r="Q177" s="137"/>
      <c r="R177" s="103">
        <f>Q177*参数调整!$J$23*参数调整!$B$28</f>
        <v>0</v>
      </c>
      <c r="W177" s="372"/>
      <c r="X177" s="374" t="s">
        <v>366</v>
      </c>
      <c r="Y177" s="374" t="s">
        <v>371</v>
      </c>
      <c r="Z177" s="121" t="s">
        <v>362</v>
      </c>
      <c r="AA177" s="137"/>
      <c r="AB177" s="144">
        <f>AA177*参数调整!$J$23*参数调整!$B$28</f>
        <v>0</v>
      </c>
    </row>
    <row r="178" spans="4:28">
      <c r="D178" s="383"/>
      <c r="E178" s="308"/>
      <c r="F178" s="308"/>
      <c r="G178" s="135" t="s">
        <v>361</v>
      </c>
      <c r="H178" s="137"/>
      <c r="I178" s="103">
        <f>H178*参数调整!$H$23*参数调整!$B$28</f>
        <v>0</v>
      </c>
      <c r="M178" s="372"/>
      <c r="N178" s="308"/>
      <c r="O178" s="308"/>
      <c r="P178" s="135" t="s">
        <v>361</v>
      </c>
      <c r="Q178" s="137"/>
      <c r="R178" s="103">
        <f>Q178*参数调整!$H$23*参数调整!$B$28</f>
        <v>0</v>
      </c>
      <c r="W178" s="372"/>
      <c r="X178" s="374"/>
      <c r="Y178" s="374"/>
      <c r="Z178" s="121" t="s">
        <v>361</v>
      </c>
      <c r="AA178" s="137"/>
      <c r="AB178" s="144">
        <f>AA178*参数调整!$H$23*参数调整!$B$28</f>
        <v>0</v>
      </c>
    </row>
    <row r="179" spans="4:28">
      <c r="D179" s="383"/>
      <c r="E179" s="308"/>
      <c r="F179" s="308"/>
      <c r="G179" s="135" t="s">
        <v>360</v>
      </c>
      <c r="H179" s="137"/>
      <c r="I179" s="103">
        <f>H179*参数调整!$F$23*参数调整!$B$28</f>
        <v>0</v>
      </c>
      <c r="M179" s="372"/>
      <c r="N179" s="308"/>
      <c r="O179" s="308"/>
      <c r="P179" s="135" t="s">
        <v>360</v>
      </c>
      <c r="Q179" s="137"/>
      <c r="R179" s="103">
        <f>Q179*参数调整!$F$23*参数调整!$B$28</f>
        <v>0</v>
      </c>
      <c r="W179" s="372"/>
      <c r="X179" s="374"/>
      <c r="Y179" s="374"/>
      <c r="Z179" s="121" t="s">
        <v>360</v>
      </c>
      <c r="AA179" s="137"/>
      <c r="AB179" s="144">
        <f>AA179*参数调整!$F$23*参数调整!$B$28</f>
        <v>0</v>
      </c>
    </row>
    <row r="180" spans="4:28">
      <c r="D180" s="383"/>
      <c r="E180" s="308"/>
      <c r="F180" s="308" t="s">
        <v>372</v>
      </c>
      <c r="G180" s="135" t="s">
        <v>98</v>
      </c>
      <c r="H180" s="137">
        <v>0</v>
      </c>
      <c r="I180" s="103">
        <f>H180*参数调整!$F$29*参数调整!$B$29</f>
        <v>0</v>
      </c>
      <c r="M180" s="372"/>
      <c r="N180" s="308"/>
      <c r="O180" s="308" t="s">
        <v>372</v>
      </c>
      <c r="P180" s="135" t="s">
        <v>98</v>
      </c>
      <c r="Q180" s="137"/>
      <c r="R180" s="103">
        <f>Q180*参数调整!$F$29*参数调整!$B$29</f>
        <v>0</v>
      </c>
      <c r="W180" s="372"/>
      <c r="X180" s="374"/>
      <c r="Y180" s="374" t="s">
        <v>372</v>
      </c>
      <c r="Z180" s="121" t="s">
        <v>98</v>
      </c>
      <c r="AA180" s="137"/>
      <c r="AB180" s="144">
        <f>AA180*参数调整!$F$29*参数调整!$B$29</f>
        <v>0</v>
      </c>
    </row>
    <row r="181" spans="4:28">
      <c r="D181" s="383"/>
      <c r="E181" s="308"/>
      <c r="F181" s="308"/>
      <c r="G181" s="135" t="s">
        <v>99</v>
      </c>
      <c r="H181" s="137"/>
      <c r="I181" s="103">
        <f>H181*参数调整!$G$29*参数调整!$B$29</f>
        <v>0</v>
      </c>
      <c r="M181" s="372"/>
      <c r="N181" s="308"/>
      <c r="O181" s="308"/>
      <c r="P181" s="135" t="s">
        <v>99</v>
      </c>
      <c r="Q181" s="137"/>
      <c r="R181" s="103">
        <f>Q181*参数调整!$G$29*参数调整!$B$29</f>
        <v>0</v>
      </c>
      <c r="W181" s="372"/>
      <c r="X181" s="374"/>
      <c r="Y181" s="374"/>
      <c r="Z181" s="121" t="s">
        <v>99</v>
      </c>
      <c r="AA181" s="137"/>
      <c r="AB181" s="144">
        <f>AA181*参数调整!$G$29*参数调整!$B$29</f>
        <v>0</v>
      </c>
    </row>
    <row r="182" spans="4:28">
      <c r="D182" s="383"/>
      <c r="E182" s="308"/>
      <c r="F182" s="308"/>
      <c r="G182" s="135" t="s">
        <v>100</v>
      </c>
      <c r="H182" s="137"/>
      <c r="I182" s="103">
        <f>H182*参数调整!$H$29*参数调整!$B$29</f>
        <v>0</v>
      </c>
      <c r="M182" s="372"/>
      <c r="N182" s="308"/>
      <c r="O182" s="308"/>
      <c r="P182" s="135" t="s">
        <v>100</v>
      </c>
      <c r="Q182" s="137"/>
      <c r="R182" s="103">
        <f>Q182*参数调整!$H$29*参数调整!$B$29</f>
        <v>0</v>
      </c>
      <c r="W182" s="372"/>
      <c r="X182" s="374"/>
      <c r="Y182" s="374"/>
      <c r="Z182" s="121" t="s">
        <v>100</v>
      </c>
      <c r="AA182" s="137"/>
      <c r="AB182" s="144">
        <f>AA182*参数调整!$H$29*参数调整!$B$29</f>
        <v>0</v>
      </c>
    </row>
    <row r="183" spans="4:28">
      <c r="D183" s="383"/>
      <c r="E183" s="308"/>
      <c r="F183" s="308"/>
      <c r="G183" s="135" t="s">
        <v>101</v>
      </c>
      <c r="H183" s="137"/>
      <c r="I183" s="103">
        <f>H183*参数调整!$I$29*参数调整!$B$29</f>
        <v>0</v>
      </c>
      <c r="M183" s="372"/>
      <c r="N183" s="308"/>
      <c r="O183" s="308"/>
      <c r="P183" s="135" t="s">
        <v>101</v>
      </c>
      <c r="Q183" s="137"/>
      <c r="R183" s="103">
        <f>Q183*参数调整!$I$29*参数调整!$B$29</f>
        <v>0</v>
      </c>
      <c r="W183" s="372"/>
      <c r="X183" s="374"/>
      <c r="Y183" s="374"/>
      <c r="Z183" s="121" t="s">
        <v>101</v>
      </c>
      <c r="AA183" s="137"/>
      <c r="AB183" s="144">
        <f>AA183*参数调整!$I$29*参数调整!$B$29</f>
        <v>0</v>
      </c>
    </row>
    <row r="184" spans="4:28">
      <c r="D184" s="383"/>
      <c r="E184" s="308" t="s">
        <v>367</v>
      </c>
      <c r="F184" s="308" t="s">
        <v>371</v>
      </c>
      <c r="G184" s="135" t="s">
        <v>362</v>
      </c>
      <c r="H184" s="137"/>
      <c r="I184" s="103">
        <f>H184*参数调整!$J$23*参数调整!$B$28*(1-参数调整!$B$28)</f>
        <v>0</v>
      </c>
      <c r="M184" s="372"/>
      <c r="N184" s="308" t="s">
        <v>367</v>
      </c>
      <c r="O184" s="308" t="s">
        <v>371</v>
      </c>
      <c r="P184" s="135" t="s">
        <v>362</v>
      </c>
      <c r="Q184" s="137"/>
      <c r="R184" s="103">
        <f>Q184*参数调整!$J$23*参数调整!$B$28*(1-参数调整!$B$28)</f>
        <v>0</v>
      </c>
      <c r="W184" s="372"/>
      <c r="X184" s="374" t="s">
        <v>367</v>
      </c>
      <c r="Y184" s="374" t="s">
        <v>371</v>
      </c>
      <c r="Z184" s="121" t="s">
        <v>362</v>
      </c>
      <c r="AA184" s="137"/>
      <c r="AB184" s="144">
        <f>AA184*参数调整!$J$23*参数调整!$B$28*(1-参数调整!$B$28)</f>
        <v>0</v>
      </c>
    </row>
    <row r="185" spans="4:28">
      <c r="D185" s="383"/>
      <c r="E185" s="308"/>
      <c r="F185" s="308"/>
      <c r="G185" s="135" t="s">
        <v>361</v>
      </c>
      <c r="H185" s="137"/>
      <c r="I185" s="103">
        <f>H185*参数调整!$H$23*参数调整!$B$28*(1-参数调整!$B$28)</f>
        <v>0</v>
      </c>
      <c r="M185" s="372"/>
      <c r="N185" s="308"/>
      <c r="O185" s="308"/>
      <c r="P185" s="135" t="s">
        <v>361</v>
      </c>
      <c r="Q185" s="137"/>
      <c r="R185" s="103">
        <f>Q185*参数调整!$H$23*参数调整!$B$28*(1-参数调整!$B$28)</f>
        <v>0</v>
      </c>
      <c r="W185" s="372"/>
      <c r="X185" s="374"/>
      <c r="Y185" s="374"/>
      <c r="Z185" s="121" t="s">
        <v>361</v>
      </c>
      <c r="AA185" s="137"/>
      <c r="AB185" s="144">
        <f>AA185*参数调整!$H$23*参数调整!$B$28*(1-参数调整!$B$28)</f>
        <v>0</v>
      </c>
    </row>
    <row r="186" spans="4:28">
      <c r="D186" s="383"/>
      <c r="E186" s="308"/>
      <c r="F186" s="308"/>
      <c r="G186" s="135" t="s">
        <v>360</v>
      </c>
      <c r="H186" s="137"/>
      <c r="I186" s="103">
        <f>H186*参数调整!$F$23*参数调整!$B$28*(1-参数调整!$B$28)</f>
        <v>0</v>
      </c>
      <c r="M186" s="372"/>
      <c r="N186" s="308"/>
      <c r="O186" s="308"/>
      <c r="P186" s="135" t="s">
        <v>360</v>
      </c>
      <c r="Q186" s="137"/>
      <c r="R186" s="103">
        <f>Q186*参数调整!$F$23*参数调整!$B$28*(1-参数调整!$B$28)</f>
        <v>0</v>
      </c>
      <c r="W186" s="372"/>
      <c r="X186" s="374"/>
      <c r="Y186" s="374"/>
      <c r="Z186" s="121" t="s">
        <v>360</v>
      </c>
      <c r="AA186" s="137"/>
      <c r="AB186" s="144">
        <f>AA186*参数调整!$F$23*参数调整!$B$28*(1-参数调整!$B$28)</f>
        <v>0</v>
      </c>
    </row>
    <row r="187" spans="4:28">
      <c r="D187" s="383"/>
      <c r="E187" s="308"/>
      <c r="F187" s="308" t="s">
        <v>372</v>
      </c>
      <c r="G187" s="135" t="s">
        <v>98</v>
      </c>
      <c r="H187" s="137">
        <v>0</v>
      </c>
      <c r="I187" s="103">
        <f>H187*参数调整!$F$29*参数调整!$B$29*(1-参数调整!$B$29)</f>
        <v>0</v>
      </c>
      <c r="M187" s="372"/>
      <c r="N187" s="308"/>
      <c r="O187" s="308" t="s">
        <v>372</v>
      </c>
      <c r="P187" s="135" t="s">
        <v>98</v>
      </c>
      <c r="Q187" s="137">
        <v>2</v>
      </c>
      <c r="R187" s="103">
        <f>Q187*参数调整!$F$29*参数调整!$B$29*(1-参数调整!$B$29)</f>
        <v>11400</v>
      </c>
      <c r="W187" s="372"/>
      <c r="X187" s="374"/>
      <c r="Y187" s="374" t="s">
        <v>372</v>
      </c>
      <c r="Z187" s="121" t="s">
        <v>98</v>
      </c>
      <c r="AA187" s="137">
        <v>0</v>
      </c>
      <c r="AB187" s="144">
        <f>AA187*参数调整!$F$29*参数调整!$B$29*(1-参数调整!$B$29)</f>
        <v>0</v>
      </c>
    </row>
    <row r="188" spans="4:28">
      <c r="D188" s="383"/>
      <c r="E188" s="308"/>
      <c r="F188" s="308"/>
      <c r="G188" s="135" t="s">
        <v>99</v>
      </c>
      <c r="H188" s="137"/>
      <c r="I188" s="103">
        <f>H188*参数调整!$G$29*参数调整!$B$29*(1-参数调整!$B$29)</f>
        <v>0</v>
      </c>
      <c r="M188" s="372"/>
      <c r="N188" s="308"/>
      <c r="O188" s="308"/>
      <c r="P188" s="135" t="s">
        <v>99</v>
      </c>
      <c r="Q188" s="137"/>
      <c r="R188" s="103">
        <f>Q188*参数调整!$G$29*参数调整!$B$29*(1-参数调整!$B$29)</f>
        <v>0</v>
      </c>
      <c r="W188" s="372"/>
      <c r="X188" s="374"/>
      <c r="Y188" s="374"/>
      <c r="Z188" s="121" t="s">
        <v>99</v>
      </c>
      <c r="AA188" s="137"/>
      <c r="AB188" s="144">
        <f>AA188*参数调整!$G$29*参数调整!$B$29*(1-参数调整!$B$29)</f>
        <v>0</v>
      </c>
    </row>
    <row r="189" spans="4:28">
      <c r="D189" s="383"/>
      <c r="E189" s="308"/>
      <c r="F189" s="308"/>
      <c r="G189" s="135" t="s">
        <v>100</v>
      </c>
      <c r="H189" s="137"/>
      <c r="I189" s="103">
        <f>H189*参数调整!$H$29*参数调整!$B$29*(1-参数调整!$B$29)</f>
        <v>0</v>
      </c>
      <c r="M189" s="372"/>
      <c r="N189" s="308"/>
      <c r="O189" s="308"/>
      <c r="P189" s="135" t="s">
        <v>100</v>
      </c>
      <c r="Q189" s="137"/>
      <c r="R189" s="103">
        <f>Q189*参数调整!$H$29*参数调整!$B$29*(1-参数调整!$B$29)</f>
        <v>0</v>
      </c>
      <c r="W189" s="372"/>
      <c r="X189" s="374"/>
      <c r="Y189" s="374"/>
      <c r="Z189" s="121" t="s">
        <v>100</v>
      </c>
      <c r="AA189" s="137"/>
      <c r="AB189" s="144">
        <f>AA189*参数调整!$H$29*参数调整!$B$29*(1-参数调整!$B$29)</f>
        <v>0</v>
      </c>
    </row>
    <row r="190" spans="4:28">
      <c r="D190" s="383"/>
      <c r="E190" s="308"/>
      <c r="F190" s="308"/>
      <c r="G190" s="135" t="s">
        <v>101</v>
      </c>
      <c r="H190" s="137"/>
      <c r="I190" s="103">
        <f>H190*参数调整!$I$29*参数调整!$B$29*(1-参数调整!$B$29)</f>
        <v>0</v>
      </c>
      <c r="M190" s="372"/>
      <c r="N190" s="308"/>
      <c r="O190" s="308"/>
      <c r="P190" s="135" t="s">
        <v>101</v>
      </c>
      <c r="Q190" s="137"/>
      <c r="R190" s="103">
        <f>Q190*参数调整!$I$29*参数调整!$B$29*(1-参数调整!$B$29)</f>
        <v>0</v>
      </c>
      <c r="W190" s="372"/>
      <c r="X190" s="374"/>
      <c r="Y190" s="374"/>
      <c r="Z190" s="121" t="s">
        <v>101</v>
      </c>
      <c r="AA190" s="137"/>
      <c r="AB190" s="144">
        <f>AA190*参数调整!$I$29*参数调整!$B$29*(1-参数调整!$B$29)</f>
        <v>0</v>
      </c>
    </row>
    <row r="191" spans="4:28">
      <c r="D191" s="383"/>
      <c r="E191" s="308" t="s">
        <v>369</v>
      </c>
      <c r="F191" s="308" t="s">
        <v>371</v>
      </c>
      <c r="G191" s="135" t="s">
        <v>362</v>
      </c>
      <c r="H191" s="137"/>
      <c r="I191" s="103">
        <f>H191*参数调整!$J$23*参数调整!$B$28*POWER((1-参数调整!$B$28),2)</f>
        <v>0</v>
      </c>
      <c r="M191" s="372"/>
      <c r="N191" s="308" t="s">
        <v>369</v>
      </c>
      <c r="O191" s="308" t="s">
        <v>371</v>
      </c>
      <c r="P191" s="135" t="s">
        <v>362</v>
      </c>
      <c r="Q191" s="137"/>
      <c r="R191" s="103">
        <f>Q191*参数调整!$J$23*参数调整!$B$28*POWER((1-参数调整!$B$28),2)</f>
        <v>0</v>
      </c>
      <c r="W191" s="372"/>
      <c r="X191" s="374" t="s">
        <v>369</v>
      </c>
      <c r="Y191" s="374" t="s">
        <v>371</v>
      </c>
      <c r="Z191" s="121" t="s">
        <v>362</v>
      </c>
      <c r="AA191" s="137"/>
      <c r="AB191" s="144">
        <f>AA191*参数调整!$J$23*参数调整!$B$28*POWER((1-参数调整!$B$28),2)</f>
        <v>0</v>
      </c>
    </row>
    <row r="192" spans="4:28">
      <c r="D192" s="383"/>
      <c r="E192" s="308"/>
      <c r="F192" s="308"/>
      <c r="G192" s="135" t="s">
        <v>361</v>
      </c>
      <c r="H192" s="137"/>
      <c r="I192" s="103">
        <f>H192*参数调整!$H$23*参数调整!$B$28*POWER((1-参数调整!$B$28),2)</f>
        <v>0</v>
      </c>
      <c r="M192" s="372"/>
      <c r="N192" s="308"/>
      <c r="O192" s="308"/>
      <c r="P192" s="135" t="s">
        <v>361</v>
      </c>
      <c r="Q192" s="137"/>
      <c r="R192" s="103">
        <f>Q192*参数调整!$H$23*参数调整!$B$28*POWER((1-参数调整!$B$28),2)</f>
        <v>0</v>
      </c>
      <c r="W192" s="372"/>
      <c r="X192" s="374"/>
      <c r="Y192" s="374"/>
      <c r="Z192" s="121" t="s">
        <v>361</v>
      </c>
      <c r="AA192" s="137"/>
      <c r="AB192" s="144">
        <f>AA192*参数调整!$H$23*参数调整!$B$28*POWER((1-参数调整!$B$28),2)</f>
        <v>0</v>
      </c>
    </row>
    <row r="193" spans="4:28">
      <c r="D193" s="383"/>
      <c r="E193" s="308"/>
      <c r="F193" s="308"/>
      <c r="G193" s="135" t="s">
        <v>360</v>
      </c>
      <c r="H193" s="137"/>
      <c r="I193" s="103">
        <f>H193*参数调整!$F$23*参数调整!$B$28*POWER((1-参数调整!$B$28),2)</f>
        <v>0</v>
      </c>
      <c r="M193" s="372"/>
      <c r="N193" s="308"/>
      <c r="O193" s="308"/>
      <c r="P193" s="135" t="s">
        <v>360</v>
      </c>
      <c r="Q193" s="137"/>
      <c r="R193" s="103">
        <f>Q193*参数调整!$F$23*参数调整!$B$28*POWER((1-参数调整!$B$28),2)</f>
        <v>0</v>
      </c>
      <c r="W193" s="372"/>
      <c r="X193" s="374"/>
      <c r="Y193" s="374"/>
      <c r="Z193" s="121" t="s">
        <v>360</v>
      </c>
      <c r="AA193" s="137"/>
      <c r="AB193" s="144">
        <f>AA193*参数调整!$F$23*参数调整!$B$28*POWER((1-参数调整!$B$28),2)</f>
        <v>0</v>
      </c>
    </row>
    <row r="194" spans="4:28">
      <c r="D194" s="383"/>
      <c r="E194" s="308"/>
      <c r="F194" s="308" t="s">
        <v>372</v>
      </c>
      <c r="G194" s="135" t="s">
        <v>98</v>
      </c>
      <c r="H194" s="137"/>
      <c r="I194" s="103">
        <f>H194*参数调整!$F$29*参数调整!$B$29*POWER((1-参数调整!$B$29),2)</f>
        <v>0</v>
      </c>
      <c r="M194" s="372"/>
      <c r="N194" s="308"/>
      <c r="O194" s="308" t="s">
        <v>372</v>
      </c>
      <c r="P194" s="135" t="s">
        <v>98</v>
      </c>
      <c r="Q194" s="137"/>
      <c r="R194" s="103">
        <f>Q194*参数调整!$F$29*参数调整!$B$29*POWER((1-参数调整!$B$29),2)</f>
        <v>0</v>
      </c>
      <c r="W194" s="372"/>
      <c r="X194" s="374"/>
      <c r="Y194" s="374" t="s">
        <v>372</v>
      </c>
      <c r="Z194" s="121" t="s">
        <v>98</v>
      </c>
      <c r="AA194" s="137"/>
      <c r="AB194" s="144">
        <f>AA194*参数调整!$F$29*参数调整!$B$29*POWER((1-参数调整!$B$29),2)</f>
        <v>0</v>
      </c>
    </row>
    <row r="195" spans="4:28">
      <c r="D195" s="383"/>
      <c r="E195" s="308"/>
      <c r="F195" s="308"/>
      <c r="G195" s="135" t="s">
        <v>99</v>
      </c>
      <c r="H195" s="137"/>
      <c r="I195" s="103">
        <f>H195*参数调整!$G$29*参数调整!$B$29*POWER((1-参数调整!$B$29),2)</f>
        <v>0</v>
      </c>
      <c r="M195" s="372"/>
      <c r="N195" s="308"/>
      <c r="O195" s="308"/>
      <c r="P195" s="135" t="s">
        <v>99</v>
      </c>
      <c r="Q195" s="137"/>
      <c r="R195" s="103">
        <f>Q195*参数调整!$G$29*参数调整!$B$29*POWER((1-参数调整!$B$29),2)</f>
        <v>0</v>
      </c>
      <c r="W195" s="372"/>
      <c r="X195" s="374"/>
      <c r="Y195" s="374"/>
      <c r="Z195" s="121" t="s">
        <v>99</v>
      </c>
      <c r="AA195" s="137"/>
      <c r="AB195" s="144">
        <f>AA195*参数调整!$G$29*参数调整!$B$29*POWER((1-参数调整!$B$29),2)</f>
        <v>0</v>
      </c>
    </row>
    <row r="196" spans="4:28">
      <c r="D196" s="383"/>
      <c r="E196" s="308"/>
      <c r="F196" s="308"/>
      <c r="G196" s="135" t="s">
        <v>100</v>
      </c>
      <c r="H196" s="137"/>
      <c r="I196" s="103">
        <f>H196*参数调整!$H$29*参数调整!$B$29*POWER((1-参数调整!$B$29),2)</f>
        <v>0</v>
      </c>
      <c r="M196" s="372"/>
      <c r="N196" s="308"/>
      <c r="O196" s="308"/>
      <c r="P196" s="135" t="s">
        <v>100</v>
      </c>
      <c r="Q196" s="137"/>
      <c r="R196" s="103">
        <f>Q196*参数调整!$H$29*参数调整!$B$29*POWER((1-参数调整!$B$29),2)</f>
        <v>0</v>
      </c>
      <c r="W196" s="372"/>
      <c r="X196" s="374"/>
      <c r="Y196" s="374"/>
      <c r="Z196" s="121" t="s">
        <v>100</v>
      </c>
      <c r="AA196" s="137"/>
      <c r="AB196" s="144">
        <f>AA196*参数调整!$H$29*参数调整!$B$29*POWER((1-参数调整!$B$29),2)</f>
        <v>0</v>
      </c>
    </row>
    <row r="197" spans="4:28">
      <c r="D197" s="383"/>
      <c r="E197" s="308"/>
      <c r="F197" s="308"/>
      <c r="G197" s="135" t="s">
        <v>101</v>
      </c>
      <c r="H197" s="137"/>
      <c r="I197" s="103">
        <f>H197*参数调整!$I$29*参数调整!$B$29*POWER((1-参数调整!$B$29),2)</f>
        <v>0</v>
      </c>
      <c r="M197" s="372"/>
      <c r="N197" s="308"/>
      <c r="O197" s="308"/>
      <c r="P197" s="135" t="s">
        <v>101</v>
      </c>
      <c r="Q197" s="137"/>
      <c r="R197" s="103">
        <f>Q197*参数调整!$I$29*参数调整!$B$29*POWER((1-参数调整!$B$29),2)</f>
        <v>0</v>
      </c>
      <c r="W197" s="372"/>
      <c r="X197" s="374"/>
      <c r="Y197" s="374"/>
      <c r="Z197" s="121" t="s">
        <v>101</v>
      </c>
      <c r="AA197" s="137"/>
      <c r="AB197" s="144">
        <f>AA197*参数调整!$I$29*参数调整!$B$29*POWER((1-参数调整!$B$29),2)</f>
        <v>0</v>
      </c>
    </row>
    <row r="198" spans="4:28">
      <c r="D198" s="383"/>
      <c r="E198" s="308" t="s">
        <v>368</v>
      </c>
      <c r="F198" s="308" t="s">
        <v>371</v>
      </c>
      <c r="G198" s="135" t="s">
        <v>362</v>
      </c>
      <c r="H198" s="137"/>
      <c r="I198" s="103">
        <f>H198*参数调整!$J$23*参数调整!$B$28*POWER((1-参数调整!$B$28),3)</f>
        <v>0</v>
      </c>
      <c r="M198" s="372"/>
      <c r="N198" s="308" t="s">
        <v>368</v>
      </c>
      <c r="O198" s="308" t="s">
        <v>371</v>
      </c>
      <c r="P198" s="135" t="s">
        <v>362</v>
      </c>
      <c r="Q198" s="137"/>
      <c r="R198" s="103">
        <f>Q198*参数调整!$J$23*参数调整!$B$28*POWER((1-参数调整!$B$28),3)</f>
        <v>0</v>
      </c>
      <c r="W198" s="372"/>
      <c r="X198" s="374" t="s">
        <v>368</v>
      </c>
      <c r="Y198" s="374" t="s">
        <v>371</v>
      </c>
      <c r="Z198" s="121" t="s">
        <v>362</v>
      </c>
      <c r="AA198" s="137"/>
      <c r="AB198" s="144">
        <f>AA198*参数调整!$J$23*参数调整!$B$28*POWER((1-参数调整!$B$28),3)</f>
        <v>0</v>
      </c>
    </row>
    <row r="199" spans="4:28">
      <c r="D199" s="372"/>
      <c r="E199" s="308"/>
      <c r="F199" s="308"/>
      <c r="G199" s="135" t="s">
        <v>361</v>
      </c>
      <c r="H199" s="137"/>
      <c r="I199" s="103">
        <f>H199*参数调整!$H$23*参数调整!$B$28*POWER((1-参数调整!$B$28),3)</f>
        <v>0</v>
      </c>
      <c r="M199" s="372"/>
      <c r="N199" s="308"/>
      <c r="O199" s="308"/>
      <c r="P199" s="135" t="s">
        <v>361</v>
      </c>
      <c r="Q199" s="137"/>
      <c r="R199" s="103">
        <f>Q199*参数调整!$H$23*参数调整!$B$28*POWER((1-参数调整!$B$28),3)</f>
        <v>0</v>
      </c>
      <c r="W199" s="372"/>
      <c r="X199" s="374"/>
      <c r="Y199" s="374"/>
      <c r="Z199" s="121" t="s">
        <v>361</v>
      </c>
      <c r="AA199" s="137"/>
      <c r="AB199" s="144">
        <f>AA199*参数调整!$H$23*参数调整!$B$28*POWER((1-参数调整!$B$28),3)</f>
        <v>0</v>
      </c>
    </row>
    <row r="200" spans="4:28">
      <c r="D200" s="372"/>
      <c r="E200" s="308"/>
      <c r="F200" s="308"/>
      <c r="G200" s="135" t="s">
        <v>360</v>
      </c>
      <c r="H200" s="137"/>
      <c r="I200" s="103">
        <f>H200*参数调整!$F$23*参数调整!$B$28*POWER((1-参数调整!$B$28),3)</f>
        <v>0</v>
      </c>
      <c r="M200" s="372"/>
      <c r="N200" s="308"/>
      <c r="O200" s="308"/>
      <c r="P200" s="135" t="s">
        <v>360</v>
      </c>
      <c r="Q200" s="137"/>
      <c r="R200" s="103">
        <f>Q200*参数调整!$F$23*参数调整!$B$28*POWER((1-参数调整!$B$28),3)</f>
        <v>0</v>
      </c>
      <c r="W200" s="372"/>
      <c r="X200" s="374"/>
      <c r="Y200" s="374"/>
      <c r="Z200" s="121" t="s">
        <v>360</v>
      </c>
      <c r="AA200" s="137"/>
      <c r="AB200" s="144">
        <f>AA200*参数调整!$F$23*参数调整!$B$28*POWER((1-参数调整!$B$28),3)</f>
        <v>0</v>
      </c>
    </row>
    <row r="201" spans="4:28">
      <c r="D201" s="372"/>
      <c r="E201" s="308"/>
      <c r="F201" s="308" t="s">
        <v>372</v>
      </c>
      <c r="G201" s="135" t="s">
        <v>98</v>
      </c>
      <c r="H201" s="137"/>
      <c r="I201" s="103">
        <f>H201*参数调整!$F$29*参数调整!$B$29*POWER((1-参数调整!$B$29),3)</f>
        <v>0</v>
      </c>
      <c r="M201" s="372"/>
      <c r="N201" s="308"/>
      <c r="O201" s="308" t="s">
        <v>372</v>
      </c>
      <c r="P201" s="135" t="s">
        <v>98</v>
      </c>
      <c r="Q201" s="137"/>
      <c r="R201" s="103">
        <f>Q201*参数调整!$F$29*参数调整!$B$29*POWER((1-参数调整!$B$29),3)</f>
        <v>0</v>
      </c>
      <c r="W201" s="372"/>
      <c r="X201" s="374"/>
      <c r="Y201" s="374" t="s">
        <v>372</v>
      </c>
      <c r="Z201" s="121" t="s">
        <v>98</v>
      </c>
      <c r="AA201" s="137"/>
      <c r="AB201" s="144">
        <f>AA201*参数调整!$F$29*参数调整!$B$29*POWER((1-参数调整!$B$29),3)</f>
        <v>0</v>
      </c>
    </row>
    <row r="202" spans="4:28">
      <c r="D202" s="372"/>
      <c r="E202" s="308"/>
      <c r="F202" s="308"/>
      <c r="G202" s="135" t="s">
        <v>99</v>
      </c>
      <c r="H202" s="137"/>
      <c r="I202" s="103">
        <f>H202*参数调整!$G$29*参数调整!$B$29*POWER((1-参数调整!$B$29),3)</f>
        <v>0</v>
      </c>
      <c r="M202" s="372"/>
      <c r="N202" s="308"/>
      <c r="O202" s="308"/>
      <c r="P202" s="135" t="s">
        <v>99</v>
      </c>
      <c r="Q202" s="137"/>
      <c r="R202" s="103">
        <f>Q202*参数调整!$G$29*参数调整!$B$29*POWER((1-参数调整!$B$29),3)</f>
        <v>0</v>
      </c>
      <c r="W202" s="372"/>
      <c r="X202" s="374"/>
      <c r="Y202" s="374"/>
      <c r="Z202" s="121" t="s">
        <v>99</v>
      </c>
      <c r="AA202" s="137"/>
      <c r="AB202" s="144">
        <f>AA202*参数调整!$G$29*参数调整!$B$29*POWER((1-参数调整!$B$29),3)</f>
        <v>0</v>
      </c>
    </row>
    <row r="203" spans="4:28">
      <c r="D203" s="372"/>
      <c r="E203" s="308"/>
      <c r="F203" s="308"/>
      <c r="G203" s="135" t="s">
        <v>100</v>
      </c>
      <c r="H203" s="137"/>
      <c r="I203" s="103">
        <f>H203*参数调整!$H$29*参数调整!$B$29*POWER((1-参数调整!$B$29),3)</f>
        <v>0</v>
      </c>
      <c r="M203" s="372"/>
      <c r="N203" s="308"/>
      <c r="O203" s="308"/>
      <c r="P203" s="135" t="s">
        <v>100</v>
      </c>
      <c r="Q203" s="137"/>
      <c r="R203" s="103">
        <f>Q203*参数调整!$H$29*参数调整!$B$29*POWER((1-参数调整!$B$29),3)</f>
        <v>0</v>
      </c>
      <c r="W203" s="372"/>
      <c r="X203" s="374"/>
      <c r="Y203" s="374"/>
      <c r="Z203" s="121" t="s">
        <v>100</v>
      </c>
      <c r="AA203" s="137"/>
      <c r="AB203" s="144">
        <f>AA203*参数调整!$H$29*参数调整!$B$29*POWER((1-参数调整!$B$29),3)</f>
        <v>0</v>
      </c>
    </row>
    <row r="204" spans="4:28">
      <c r="D204" s="372"/>
      <c r="E204" s="308"/>
      <c r="F204" s="308"/>
      <c r="G204" s="135" t="s">
        <v>101</v>
      </c>
      <c r="H204" s="137"/>
      <c r="I204" s="103">
        <f>H204*参数调整!$I$29*参数调整!$B$29*POWER((1-参数调整!$B$29),3)</f>
        <v>0</v>
      </c>
      <c r="M204" s="372"/>
      <c r="N204" s="308"/>
      <c r="O204" s="308"/>
      <c r="P204" s="135" t="s">
        <v>101</v>
      </c>
      <c r="Q204" s="137"/>
      <c r="R204" s="103">
        <f>Q204*参数调整!$I$29*参数调整!$B$29*POWER((1-参数调整!$B$29),3)</f>
        <v>0</v>
      </c>
      <c r="W204" s="372"/>
      <c r="X204" s="374"/>
      <c r="Y204" s="374"/>
      <c r="Z204" s="121" t="s">
        <v>101</v>
      </c>
      <c r="AA204" s="137"/>
      <c r="AB204" s="144">
        <f>AA204*参数调整!$I$29*参数调整!$B$29*POWER((1-参数调整!$B$29),3)</f>
        <v>0</v>
      </c>
    </row>
    <row r="205" spans="4:28">
      <c r="D205" s="372"/>
      <c r="E205" s="308" t="s">
        <v>370</v>
      </c>
      <c r="F205" s="308" t="s">
        <v>371</v>
      </c>
      <c r="G205" s="135" t="s">
        <v>362</v>
      </c>
      <c r="H205" s="137"/>
      <c r="I205" s="103">
        <f>H205*参数调整!$J$23*参数调整!$B$28*POWER((1-参数调整!$B$28),4)</f>
        <v>0</v>
      </c>
      <c r="M205" s="372"/>
      <c r="N205" s="308" t="s">
        <v>370</v>
      </c>
      <c r="O205" s="308" t="s">
        <v>371</v>
      </c>
      <c r="P205" s="135" t="s">
        <v>362</v>
      </c>
      <c r="Q205" s="137"/>
      <c r="R205" s="103">
        <f>Q205*参数调整!$J$23*参数调整!$B$28*POWER((1-参数调整!$B$28),4)</f>
        <v>0</v>
      </c>
      <c r="W205" s="372"/>
      <c r="X205" s="374" t="s">
        <v>370</v>
      </c>
      <c r="Y205" s="374" t="s">
        <v>371</v>
      </c>
      <c r="Z205" s="121" t="s">
        <v>362</v>
      </c>
      <c r="AA205" s="137"/>
      <c r="AB205" s="144">
        <f>AA205*参数调整!$J$23*参数调整!$B$28*POWER((1-参数调整!$B$28),4)</f>
        <v>0</v>
      </c>
    </row>
    <row r="206" spans="4:28">
      <c r="D206" s="372"/>
      <c r="E206" s="308"/>
      <c r="F206" s="308"/>
      <c r="G206" s="135" t="s">
        <v>361</v>
      </c>
      <c r="H206" s="137"/>
      <c r="I206" s="103">
        <f>H206*参数调整!$H$23*参数调整!$B$28*POWER((1-参数调整!$B$28),4)</f>
        <v>0</v>
      </c>
      <c r="M206" s="372"/>
      <c r="N206" s="308"/>
      <c r="O206" s="308"/>
      <c r="P206" s="135" t="s">
        <v>361</v>
      </c>
      <c r="Q206" s="137"/>
      <c r="R206" s="103">
        <f>Q206*参数调整!$H$23*参数调整!$B$28*POWER((1-参数调整!$B$28),4)</f>
        <v>0</v>
      </c>
      <c r="W206" s="372"/>
      <c r="X206" s="374"/>
      <c r="Y206" s="374"/>
      <c r="Z206" s="121" t="s">
        <v>361</v>
      </c>
      <c r="AA206" s="137"/>
      <c r="AB206" s="144">
        <f>AA206*参数调整!$H$23*参数调整!$B$28*POWER((1-参数调整!$B$28),4)</f>
        <v>0</v>
      </c>
    </row>
    <row r="207" spans="4:28">
      <c r="D207" s="372"/>
      <c r="E207" s="308"/>
      <c r="F207" s="308"/>
      <c r="G207" s="135" t="s">
        <v>360</v>
      </c>
      <c r="H207" s="137"/>
      <c r="I207" s="103">
        <f>H207*参数调整!$F$23*参数调整!$B$28*POWER((1-参数调整!$B$28),4)</f>
        <v>0</v>
      </c>
      <c r="M207" s="372"/>
      <c r="N207" s="308"/>
      <c r="O207" s="308"/>
      <c r="P207" s="135" t="s">
        <v>360</v>
      </c>
      <c r="Q207" s="137"/>
      <c r="R207" s="103">
        <f>Q207*参数调整!$F$23*参数调整!$B$28*POWER((1-参数调整!$B$28),4)</f>
        <v>0</v>
      </c>
      <c r="W207" s="372"/>
      <c r="X207" s="374"/>
      <c r="Y207" s="374"/>
      <c r="Z207" s="121" t="s">
        <v>360</v>
      </c>
      <c r="AA207" s="137"/>
      <c r="AB207" s="144">
        <f>AA207*参数调整!$F$23*参数调整!$B$28*POWER((1-参数调整!$B$28),4)</f>
        <v>0</v>
      </c>
    </row>
    <row r="208" spans="4:28">
      <c r="D208" s="372"/>
      <c r="E208" s="308"/>
      <c r="F208" s="308" t="s">
        <v>372</v>
      </c>
      <c r="G208" s="135" t="s">
        <v>98</v>
      </c>
      <c r="H208" s="137"/>
      <c r="I208" s="103">
        <f>H208*参数调整!$F$29*参数调整!$B$29*POWER((1-参数调整!$B$29),4)</f>
        <v>0</v>
      </c>
      <c r="M208" s="372"/>
      <c r="N208" s="308"/>
      <c r="O208" s="308" t="s">
        <v>372</v>
      </c>
      <c r="P208" s="135" t="s">
        <v>98</v>
      </c>
      <c r="Q208" s="137"/>
      <c r="R208" s="103">
        <f>Q208*参数调整!$F$29*参数调整!$B$29*POWER((1-参数调整!$B$29),4)</f>
        <v>0</v>
      </c>
      <c r="W208" s="372"/>
      <c r="X208" s="374"/>
      <c r="Y208" s="374" t="s">
        <v>372</v>
      </c>
      <c r="Z208" s="121" t="s">
        <v>98</v>
      </c>
      <c r="AA208" s="137"/>
      <c r="AB208" s="144">
        <f>AA208*参数调整!$F$29*参数调整!$B$29*POWER((1-参数调整!$B$29),4)</f>
        <v>0</v>
      </c>
    </row>
    <row r="209" spans="4:28">
      <c r="D209" s="372"/>
      <c r="E209" s="308"/>
      <c r="F209" s="308"/>
      <c r="G209" s="135" t="s">
        <v>99</v>
      </c>
      <c r="H209" s="137"/>
      <c r="I209" s="103">
        <f>H209*参数调整!$G$29*参数调整!$B$29*POWER((1-参数调整!$B$29),4)</f>
        <v>0</v>
      </c>
      <c r="M209" s="372"/>
      <c r="N209" s="308"/>
      <c r="O209" s="308"/>
      <c r="P209" s="135" t="s">
        <v>99</v>
      </c>
      <c r="Q209" s="137"/>
      <c r="R209" s="103">
        <f>Q209*参数调整!$G$29*参数调整!$B$29*POWER((1-参数调整!$B$29),4)</f>
        <v>0</v>
      </c>
      <c r="W209" s="372"/>
      <c r="X209" s="374"/>
      <c r="Y209" s="374"/>
      <c r="Z209" s="121" t="s">
        <v>99</v>
      </c>
      <c r="AA209" s="137"/>
      <c r="AB209" s="144">
        <f>AA209*参数调整!$G$29*参数调整!$B$29*POWER((1-参数调整!$B$29),4)</f>
        <v>0</v>
      </c>
    </row>
    <row r="210" spans="4:28">
      <c r="D210" s="372"/>
      <c r="E210" s="308"/>
      <c r="F210" s="308"/>
      <c r="G210" s="135" t="s">
        <v>100</v>
      </c>
      <c r="H210" s="137"/>
      <c r="I210" s="103">
        <f>H210*参数调整!$H$29*参数调整!$B$29*POWER((1-参数调整!$B$29),4)</f>
        <v>0</v>
      </c>
      <c r="M210" s="372"/>
      <c r="N210" s="308"/>
      <c r="O210" s="308"/>
      <c r="P210" s="135" t="s">
        <v>100</v>
      </c>
      <c r="Q210" s="137"/>
      <c r="R210" s="103">
        <f>Q210*参数调整!$H$29*参数调整!$B$29*POWER((1-参数调整!$B$29),4)</f>
        <v>0</v>
      </c>
      <c r="W210" s="372"/>
      <c r="X210" s="374"/>
      <c r="Y210" s="374"/>
      <c r="Z210" s="121" t="s">
        <v>100</v>
      </c>
      <c r="AA210" s="137"/>
      <c r="AB210" s="144">
        <f>AA210*参数调整!$H$29*参数调整!$B$29*POWER((1-参数调整!$B$29),4)</f>
        <v>0</v>
      </c>
    </row>
    <row r="211" spans="4:28">
      <c r="D211" s="372"/>
      <c r="E211" s="308"/>
      <c r="F211" s="308"/>
      <c r="G211" s="135" t="s">
        <v>101</v>
      </c>
      <c r="H211" s="137"/>
      <c r="I211" s="103">
        <f>H211*参数调整!$I$29*参数调整!$B$29*POWER((1-参数调整!$B$29),4)</f>
        <v>0</v>
      </c>
      <c r="M211" s="372"/>
      <c r="N211" s="308"/>
      <c r="O211" s="308"/>
      <c r="P211" s="135" t="s">
        <v>101</v>
      </c>
      <c r="Q211" s="137"/>
      <c r="R211" s="103">
        <f>Q211*参数调整!$I$29*参数调整!$B$29*POWER((1-参数调整!$B$29),4)</f>
        <v>0</v>
      </c>
      <c r="W211" s="372"/>
      <c r="X211" s="374"/>
      <c r="Y211" s="374"/>
      <c r="Z211" s="121" t="s">
        <v>101</v>
      </c>
      <c r="AA211" s="137"/>
      <c r="AB211" s="144">
        <f>AA211*参数调整!$I$29*参数调整!$B$29*POWER((1-参数调整!$B$29),4)</f>
        <v>0</v>
      </c>
    </row>
    <row r="212" spans="4:28">
      <c r="D212" s="308" t="s">
        <v>363</v>
      </c>
      <c r="E212" s="308" t="s">
        <v>239</v>
      </c>
      <c r="F212" s="308" t="s">
        <v>101</v>
      </c>
      <c r="G212" s="308"/>
      <c r="H212" s="136">
        <f>第二季度!AM5</f>
        <v>0</v>
      </c>
      <c r="I212" s="135">
        <f>H212*参数调整!$I$32</f>
        <v>0</v>
      </c>
      <c r="M212" s="308" t="s">
        <v>363</v>
      </c>
      <c r="N212" s="308" t="s">
        <v>239</v>
      </c>
      <c r="O212" s="308" t="s">
        <v>101</v>
      </c>
      <c r="P212" s="308"/>
      <c r="Q212" s="136">
        <f>第三季度!AM5</f>
        <v>0</v>
      </c>
      <c r="R212" s="135">
        <f>Q212*参数调整!$I$32</f>
        <v>0</v>
      </c>
      <c r="W212" s="374" t="s">
        <v>363</v>
      </c>
      <c r="X212" s="374" t="s">
        <v>239</v>
      </c>
      <c r="Y212" s="374" t="s">
        <v>101</v>
      </c>
      <c r="Z212" s="374"/>
      <c r="AA212" s="136">
        <f>第四季度!AM5</f>
        <v>360</v>
      </c>
      <c r="AB212" s="121">
        <f>AA212*参数调整!$I$32</f>
        <v>10800</v>
      </c>
    </row>
    <row r="213" spans="4:28">
      <c r="D213" s="308"/>
      <c r="E213" s="308"/>
      <c r="F213" s="308" t="s">
        <v>269</v>
      </c>
      <c r="G213" s="308"/>
      <c r="H213" s="136">
        <f>第二季度!AM6</f>
        <v>450</v>
      </c>
      <c r="I213" s="135">
        <f>H213*参数调整!$F$32</f>
        <v>4500</v>
      </c>
      <c r="M213" s="308"/>
      <c r="N213" s="308"/>
      <c r="O213" s="308" t="s">
        <v>269</v>
      </c>
      <c r="P213" s="308"/>
      <c r="Q213" s="136">
        <f>第三季度!AM6</f>
        <v>810</v>
      </c>
      <c r="R213" s="135">
        <f>Q213*参数调整!$F$32</f>
        <v>8100</v>
      </c>
      <c r="W213" s="374"/>
      <c r="X213" s="374"/>
      <c r="Y213" s="374" t="s">
        <v>269</v>
      </c>
      <c r="Z213" s="374"/>
      <c r="AA213" s="136">
        <f>第四季度!AM6</f>
        <v>900</v>
      </c>
      <c r="AB213" s="121">
        <f>AA213*参数调整!$F$32</f>
        <v>9000</v>
      </c>
    </row>
    <row r="214" spans="4:28">
      <c r="D214" s="308"/>
      <c r="E214" s="308"/>
      <c r="F214" s="308" t="s">
        <v>100</v>
      </c>
      <c r="G214" s="308"/>
      <c r="H214" s="136">
        <f>第二季度!AM7</f>
        <v>0</v>
      </c>
      <c r="I214" s="135">
        <f>H214*参数调整!$H$32</f>
        <v>0</v>
      </c>
      <c r="M214" s="308"/>
      <c r="N214" s="308"/>
      <c r="O214" s="308" t="s">
        <v>100</v>
      </c>
      <c r="P214" s="308"/>
      <c r="Q214" s="136">
        <f>第三季度!AM7</f>
        <v>0</v>
      </c>
      <c r="R214" s="135">
        <f>Q214*参数调整!$H$32</f>
        <v>0</v>
      </c>
      <c r="W214" s="374"/>
      <c r="X214" s="374"/>
      <c r="Y214" s="374" t="s">
        <v>100</v>
      </c>
      <c r="Z214" s="374"/>
      <c r="AA214" s="136">
        <f>第四季度!AM7</f>
        <v>0</v>
      </c>
      <c r="AB214" s="121">
        <f>AA214*参数调整!$H$32</f>
        <v>0</v>
      </c>
    </row>
    <row r="215" spans="4:28">
      <c r="D215" s="308"/>
      <c r="E215" s="308"/>
      <c r="F215" s="308" t="s">
        <v>270</v>
      </c>
      <c r="G215" s="308"/>
      <c r="H215" s="136">
        <f>第二季度!AM8</f>
        <v>0</v>
      </c>
      <c r="I215" s="135">
        <f>H215*参数调整!$G$32</f>
        <v>0</v>
      </c>
      <c r="M215" s="308"/>
      <c r="N215" s="308"/>
      <c r="O215" s="308" t="s">
        <v>270</v>
      </c>
      <c r="P215" s="308"/>
      <c r="Q215" s="136">
        <f>第三季度!AM8</f>
        <v>0</v>
      </c>
      <c r="R215" s="135">
        <f>Q215*参数调整!$G$32</f>
        <v>0</v>
      </c>
      <c r="W215" s="374"/>
      <c r="X215" s="374"/>
      <c r="Y215" s="374" t="s">
        <v>270</v>
      </c>
      <c r="Z215" s="374"/>
      <c r="AA215" s="136">
        <f>第四季度!AM8</f>
        <v>0</v>
      </c>
      <c r="AB215" s="121">
        <f>AA215*参数调整!$G$32</f>
        <v>0</v>
      </c>
    </row>
    <row r="216" spans="4:28">
      <c r="D216" s="308"/>
      <c r="E216" s="308" t="s">
        <v>240</v>
      </c>
      <c r="F216" s="308" t="s">
        <v>362</v>
      </c>
      <c r="G216" s="308"/>
      <c r="H216" s="136">
        <f>第二季度!AM9</f>
        <v>1</v>
      </c>
      <c r="I216" s="135">
        <f>H216*参数调整!$J$24</f>
        <v>5000</v>
      </c>
      <c r="M216" s="308"/>
      <c r="N216" s="308" t="s">
        <v>240</v>
      </c>
      <c r="O216" s="308" t="s">
        <v>362</v>
      </c>
      <c r="P216" s="308"/>
      <c r="Q216" s="136">
        <f>第三季度!AM9</f>
        <v>1</v>
      </c>
      <c r="R216" s="135">
        <f>Q216*参数调整!$J$24</f>
        <v>5000</v>
      </c>
      <c r="W216" s="374"/>
      <c r="X216" s="374" t="s">
        <v>240</v>
      </c>
      <c r="Y216" s="374" t="s">
        <v>362</v>
      </c>
      <c r="Z216" s="374"/>
      <c r="AA216" s="136">
        <f>第四季度!AM9</f>
        <v>2</v>
      </c>
      <c r="AB216" s="121">
        <f>AA216*参数调整!$J$24</f>
        <v>10000</v>
      </c>
    </row>
    <row r="217" spans="4:28">
      <c r="D217" s="308"/>
      <c r="E217" s="308"/>
      <c r="F217" s="308" t="s">
        <v>361</v>
      </c>
      <c r="G217" s="308"/>
      <c r="H217" s="136">
        <f>第二季度!AM10</f>
        <v>0</v>
      </c>
      <c r="I217" s="135">
        <f>H217*参数调整!$H$24</f>
        <v>0</v>
      </c>
      <c r="M217" s="308"/>
      <c r="N217" s="308"/>
      <c r="O217" s="308" t="s">
        <v>361</v>
      </c>
      <c r="P217" s="308"/>
      <c r="Q217" s="136">
        <f>第三季度!AM10</f>
        <v>0</v>
      </c>
      <c r="R217" s="135">
        <f>Q217*参数调整!$H$24</f>
        <v>0</v>
      </c>
      <c r="W217" s="374"/>
      <c r="X217" s="374"/>
      <c r="Y217" s="374" t="s">
        <v>361</v>
      </c>
      <c r="Z217" s="374"/>
      <c r="AA217" s="136">
        <f>第四季度!AM10</f>
        <v>0</v>
      </c>
      <c r="AB217" s="121">
        <f>AA217*参数调整!$H$24</f>
        <v>0</v>
      </c>
    </row>
    <row r="218" spans="4:28">
      <c r="D218" s="308"/>
      <c r="E218" s="308"/>
      <c r="F218" s="308" t="s">
        <v>360</v>
      </c>
      <c r="G218" s="308"/>
      <c r="H218" s="136">
        <f>第二季度!AM11</f>
        <v>0</v>
      </c>
      <c r="I218" s="135">
        <f>H218*参数调整!$F$24</f>
        <v>0</v>
      </c>
      <c r="M218" s="308"/>
      <c r="N218" s="308"/>
      <c r="O218" s="308" t="s">
        <v>360</v>
      </c>
      <c r="P218" s="308"/>
      <c r="Q218" s="136">
        <f>第三季度!AM11</f>
        <v>0</v>
      </c>
      <c r="R218" s="135">
        <f>Q218*参数调整!$F$24</f>
        <v>0</v>
      </c>
      <c r="W218" s="374"/>
      <c r="X218" s="374"/>
      <c r="Y218" s="374" t="s">
        <v>360</v>
      </c>
      <c r="Z218" s="374"/>
      <c r="AA218" s="136">
        <f>第四季度!AM11</f>
        <v>0</v>
      </c>
      <c r="AB218" s="121">
        <f>AA218*参数调整!$F$24</f>
        <v>0</v>
      </c>
    </row>
    <row r="219" spans="4:28">
      <c r="D219" s="308"/>
      <c r="E219" s="380" t="s">
        <v>244</v>
      </c>
      <c r="F219" s="380"/>
      <c r="G219" s="380"/>
      <c r="H219" s="136">
        <f>第二季度!AM12</f>
        <v>5</v>
      </c>
      <c r="I219" s="135">
        <f>H219*参数调整!$J$18*(1+参数调整!$B$12+参数调整!$B$13+参数调整!$B$14+参数调整!$B$15+参数调整!$B$16)</f>
        <v>24227.999999999996</v>
      </c>
      <c r="M219" s="308"/>
      <c r="N219" s="380" t="s">
        <v>244</v>
      </c>
      <c r="O219" s="380"/>
      <c r="P219" s="380"/>
      <c r="Q219" s="136">
        <f>第三季度!AM12</f>
        <v>9</v>
      </c>
      <c r="R219" s="135">
        <f>Q219*参数调整!$J$18*(1+参数调整!$B$12+参数调整!$B$13+参数调整!$B$14+参数调整!$B$15+参数调整!$B$16)</f>
        <v>43610.399999999994</v>
      </c>
      <c r="W219" s="374"/>
      <c r="X219" s="376" t="s">
        <v>244</v>
      </c>
      <c r="Y219" s="376"/>
      <c r="Z219" s="376"/>
      <c r="AA219" s="136">
        <f>第四季度!AM12</f>
        <v>14</v>
      </c>
      <c r="AB219" s="121">
        <f>AA219*参数调整!$J$18*(1+参数调整!$B$12+参数调整!$B$13+参数调整!$B$14+参数调整!$B$15+参数调整!$B$16)</f>
        <v>67838.399999999994</v>
      </c>
    </row>
    <row r="220" spans="4:28">
      <c r="D220" s="308"/>
      <c r="E220" s="308" t="s">
        <v>245</v>
      </c>
      <c r="F220" s="308" t="s">
        <v>101</v>
      </c>
      <c r="G220" s="308"/>
      <c r="H220" s="136">
        <f>第二季度!AM13</f>
        <v>0</v>
      </c>
      <c r="I220" s="103">
        <f>H220*参数调整!$I$33</f>
        <v>0</v>
      </c>
      <c r="M220" s="308"/>
      <c r="N220" s="308" t="s">
        <v>245</v>
      </c>
      <c r="O220" s="308" t="s">
        <v>101</v>
      </c>
      <c r="P220" s="308"/>
      <c r="Q220" s="136">
        <f>第三季度!AM13</f>
        <v>0</v>
      </c>
      <c r="R220" s="103">
        <f>Q220*参数调整!$I$33</f>
        <v>0</v>
      </c>
      <c r="W220" s="374"/>
      <c r="X220" s="374" t="s">
        <v>245</v>
      </c>
      <c r="Y220" s="374" t="s">
        <v>101</v>
      </c>
      <c r="Z220" s="374"/>
      <c r="AA220" s="136">
        <f>第四季度!AM13</f>
        <v>2</v>
      </c>
      <c r="AB220" s="144">
        <f>AA220*参数调整!$I$33</f>
        <v>3000</v>
      </c>
    </row>
    <row r="221" spans="4:28">
      <c r="D221" s="308"/>
      <c r="E221" s="308"/>
      <c r="F221" s="308" t="s">
        <v>269</v>
      </c>
      <c r="G221" s="308"/>
      <c r="H221" s="136">
        <f>第二季度!AM14</f>
        <v>1</v>
      </c>
      <c r="I221" s="135">
        <f>H221*参数调整!$F$33</f>
        <v>3000</v>
      </c>
      <c r="M221" s="308"/>
      <c r="N221" s="308"/>
      <c r="O221" s="308" t="s">
        <v>269</v>
      </c>
      <c r="P221" s="308"/>
      <c r="Q221" s="136">
        <f>第三季度!AM14</f>
        <v>2</v>
      </c>
      <c r="R221" s="135">
        <f>Q221*参数调整!$F$33</f>
        <v>6000</v>
      </c>
      <c r="W221" s="374"/>
      <c r="X221" s="374"/>
      <c r="Y221" s="374" t="s">
        <v>269</v>
      </c>
      <c r="Z221" s="374"/>
      <c r="AA221" s="136">
        <f>第四季度!AM14</f>
        <v>2</v>
      </c>
      <c r="AB221" s="121">
        <f>AA221*参数调整!$F$33</f>
        <v>6000</v>
      </c>
    </row>
    <row r="222" spans="4:28">
      <c r="D222" s="308"/>
      <c r="E222" s="308"/>
      <c r="F222" s="308" t="s">
        <v>100</v>
      </c>
      <c r="G222" s="308"/>
      <c r="H222" s="136">
        <f>第二季度!AM15</f>
        <v>0</v>
      </c>
      <c r="I222" s="135">
        <f>H222*参数调整!$H$33</f>
        <v>0</v>
      </c>
      <c r="M222" s="308"/>
      <c r="N222" s="308"/>
      <c r="O222" s="308" t="s">
        <v>100</v>
      </c>
      <c r="P222" s="308"/>
      <c r="Q222" s="136">
        <f>第三季度!AM15</f>
        <v>0</v>
      </c>
      <c r="R222" s="135">
        <f>Q222*参数调整!$H$33</f>
        <v>0</v>
      </c>
      <c r="W222" s="374"/>
      <c r="X222" s="374"/>
      <c r="Y222" s="374" t="s">
        <v>100</v>
      </c>
      <c r="Z222" s="374"/>
      <c r="AA222" s="136">
        <f>第四季度!AM15</f>
        <v>0</v>
      </c>
      <c r="AB222" s="121">
        <f>AA222*参数调整!$H$33</f>
        <v>0</v>
      </c>
    </row>
    <row r="223" spans="4:28">
      <c r="D223" s="308"/>
      <c r="E223" s="308"/>
      <c r="F223" s="308" t="s">
        <v>270</v>
      </c>
      <c r="G223" s="308"/>
      <c r="H223" s="136">
        <f>第二季度!AM16</f>
        <v>0</v>
      </c>
      <c r="I223" s="135">
        <f>H223*参数调整!$G$33</f>
        <v>0</v>
      </c>
      <c r="M223" s="308"/>
      <c r="N223" s="308"/>
      <c r="O223" s="308" t="s">
        <v>270</v>
      </c>
      <c r="P223" s="308"/>
      <c r="Q223" s="136">
        <f>第三季度!AM16</f>
        <v>0</v>
      </c>
      <c r="R223" s="135">
        <f>Q223*参数调整!$G$33</f>
        <v>0</v>
      </c>
      <c r="W223" s="374"/>
      <c r="X223" s="374"/>
      <c r="Y223" s="374" t="s">
        <v>270</v>
      </c>
      <c r="Z223" s="374"/>
      <c r="AA223" s="136">
        <f>第四季度!AM16</f>
        <v>0</v>
      </c>
      <c r="AB223" s="121">
        <f>AA223*参数调整!$G$33</f>
        <v>0</v>
      </c>
    </row>
    <row r="224" spans="4:28">
      <c r="D224" s="372" t="s">
        <v>359</v>
      </c>
      <c r="E224" s="372"/>
      <c r="F224" s="372"/>
      <c r="G224" s="372"/>
      <c r="H224" s="378">
        <f>第二季度!E68</f>
        <v>66963.3</v>
      </c>
      <c r="I224" s="378"/>
      <c r="M224" s="372" t="s">
        <v>359</v>
      </c>
      <c r="N224" s="372"/>
      <c r="O224" s="372"/>
      <c r="P224" s="372"/>
      <c r="Q224" s="378">
        <f>第三季度!E68</f>
        <v>110732</v>
      </c>
      <c r="R224" s="378"/>
      <c r="W224" s="372" t="s">
        <v>359</v>
      </c>
      <c r="X224" s="372"/>
      <c r="Y224" s="372"/>
      <c r="Z224" s="372"/>
      <c r="AA224" s="373">
        <v>124955</v>
      </c>
      <c r="AB224" s="373"/>
    </row>
    <row r="225" spans="13:28">
      <c r="M225" s="308" t="s">
        <v>358</v>
      </c>
      <c r="N225" s="308"/>
      <c r="O225" s="308"/>
      <c r="P225" s="308"/>
      <c r="Q225" s="379">
        <f>SUM(R170:R223)+Q224</f>
        <v>184842.4</v>
      </c>
      <c r="R225" s="337"/>
      <c r="W225" s="374" t="s">
        <v>358</v>
      </c>
      <c r="X225" s="374"/>
      <c r="Y225" s="374"/>
      <c r="Z225" s="374"/>
      <c r="AA225" s="375">
        <f>SUM(AB170:AB223)+AA224</f>
        <v>231593.4</v>
      </c>
      <c r="AB225" s="374"/>
    </row>
    <row r="226" spans="13:28">
      <c r="M226" s="371" t="s">
        <v>374</v>
      </c>
      <c r="N226" s="371"/>
      <c r="O226" s="308" t="s">
        <v>390</v>
      </c>
      <c r="P226" s="308"/>
      <c r="Q226" s="136">
        <f>第三季度!AN2-第三季度!AK2</f>
        <v>314180.10199999996</v>
      </c>
      <c r="R226" s="135">
        <f>Q226/(1+参数调整!$B$6)</f>
        <v>268530.00170940167</v>
      </c>
      <c r="W226" s="371" t="s">
        <v>374</v>
      </c>
      <c r="X226" s="371"/>
      <c r="Y226" s="374" t="s">
        <v>390</v>
      </c>
      <c r="Z226" s="374"/>
      <c r="AA226" s="151">
        <f>第四季度!AN2-第四季度!AK2</f>
        <v>427079.25799999997</v>
      </c>
      <c r="AB226" s="121">
        <f>AA226/(1+参数调整!$B$6)</f>
        <v>365025.00683760684</v>
      </c>
    </row>
    <row r="227" spans="13:28">
      <c r="M227" s="371"/>
      <c r="N227" s="371"/>
      <c r="O227" s="308" t="s">
        <v>386</v>
      </c>
      <c r="P227" s="308"/>
      <c r="Q227" s="147">
        <f>第三季度!AO3</f>
        <v>147782.70000000001</v>
      </c>
      <c r="R227" s="135">
        <f>Q227/(1+参数调整!$B$6)</f>
        <v>126310.00000000001</v>
      </c>
      <c r="W227" s="371"/>
      <c r="X227" s="371"/>
      <c r="Y227" s="374" t="s">
        <v>386</v>
      </c>
      <c r="Z227" s="374"/>
      <c r="AA227" s="147">
        <f>第四季度!AO3</f>
        <v>342856.8</v>
      </c>
      <c r="AB227" s="121">
        <f>AA227/(1+参数调整!$B$6)</f>
        <v>293040</v>
      </c>
    </row>
    <row r="228" spans="13:28">
      <c r="M228" s="371"/>
      <c r="N228" s="371"/>
      <c r="O228" s="308" t="s">
        <v>387</v>
      </c>
      <c r="P228" s="308"/>
      <c r="Q228" s="147">
        <f>第三季度!AP3</f>
        <v>57096</v>
      </c>
      <c r="R228" s="135">
        <f>Q228/(1+参数调整!$B$6)</f>
        <v>48800</v>
      </c>
      <c r="W228" s="371"/>
      <c r="X228" s="371"/>
      <c r="Y228" s="374" t="s">
        <v>387</v>
      </c>
      <c r="Z228" s="374"/>
      <c r="AA228" s="147">
        <f>第四季度!AP3</f>
        <v>113852.7</v>
      </c>
      <c r="AB228" s="121">
        <f>AA228/(1+参数调整!$B$6)</f>
        <v>97310</v>
      </c>
    </row>
    <row r="229" spans="13:28">
      <c r="M229" s="371"/>
      <c r="N229" s="371"/>
      <c r="O229" s="308" t="s">
        <v>388</v>
      </c>
      <c r="P229" s="308"/>
      <c r="Q229" s="135"/>
      <c r="R229" s="135">
        <f>Q229/(1+参数调整!$B$6)</f>
        <v>0</v>
      </c>
      <c r="W229" s="371"/>
      <c r="X229" s="371"/>
      <c r="Y229" s="374" t="s">
        <v>388</v>
      </c>
      <c r="Z229" s="374"/>
      <c r="AA229" s="121"/>
      <c r="AB229" s="121">
        <f>AA229/(1+参数调整!$B$6)</f>
        <v>0</v>
      </c>
    </row>
    <row r="230" spans="13:28">
      <c r="M230" s="371"/>
      <c r="N230" s="371"/>
      <c r="O230" s="308" t="s">
        <v>389</v>
      </c>
      <c r="P230" s="308"/>
      <c r="Q230" s="135"/>
      <c r="R230" s="135">
        <f>Q230/(1+参数调整!$B$6)</f>
        <v>0</v>
      </c>
      <c r="W230" s="371"/>
      <c r="X230" s="371"/>
      <c r="Y230" s="374" t="s">
        <v>389</v>
      </c>
      <c r="Z230" s="374"/>
      <c r="AA230" s="121"/>
      <c r="AB230" s="121">
        <f>AA230/(1+参数调整!$B$6)</f>
        <v>0</v>
      </c>
    </row>
    <row r="231" spans="13:28">
      <c r="M231" s="370" t="s">
        <v>375</v>
      </c>
      <c r="N231" s="370"/>
      <c r="O231" s="370"/>
      <c r="P231" s="370"/>
      <c r="Q231" s="370"/>
      <c r="R231" s="146">
        <f>Q225</f>
        <v>184842.4</v>
      </c>
      <c r="W231" s="370" t="s">
        <v>375</v>
      </c>
      <c r="X231" s="370"/>
      <c r="Y231" s="370"/>
      <c r="Z231" s="370"/>
      <c r="AA231" s="370"/>
      <c r="AB231" s="145">
        <f>AA225</f>
        <v>231593.4</v>
      </c>
    </row>
    <row r="232" spans="13:28">
      <c r="M232" s="370" t="s">
        <v>376</v>
      </c>
      <c r="N232" s="370"/>
      <c r="O232" s="370"/>
      <c r="P232" s="370"/>
      <c r="Q232" s="370"/>
      <c r="R232" s="136">
        <f>第三季度!AN42</f>
        <v>6789.4627548717945</v>
      </c>
      <c r="W232" s="370" t="s">
        <v>376</v>
      </c>
      <c r="X232" s="370"/>
      <c r="Y232" s="370"/>
      <c r="Z232" s="370"/>
      <c r="AA232" s="370"/>
      <c r="AB232" s="121"/>
    </row>
    <row r="233" spans="13:28">
      <c r="M233" s="370" t="s">
        <v>377</v>
      </c>
      <c r="N233" s="370"/>
      <c r="O233" s="370"/>
      <c r="P233" s="370"/>
      <c r="Q233" s="370"/>
      <c r="R233" s="136">
        <f>SUM(第三季度!AG17:AG22)+第三季度!AG27+第三季度!AN27</f>
        <v>107884</v>
      </c>
      <c r="W233" s="370" t="s">
        <v>377</v>
      </c>
      <c r="X233" s="370"/>
      <c r="Y233" s="370"/>
      <c r="Z233" s="370"/>
      <c r="AA233" s="370"/>
      <c r="AB233" s="121"/>
    </row>
    <row r="234" spans="13:28">
      <c r="M234" s="370" t="s">
        <v>378</v>
      </c>
      <c r="N234" s="370"/>
      <c r="O234" s="370"/>
      <c r="P234" s="370"/>
      <c r="Q234" s="370"/>
      <c r="R234" s="149">
        <f>参数调整!B3+SUM(第三季度!AG25:AG26)+SUM(第三季度!AG15:AG16)+SUM(第三季度!AG23:AG24)+第三季度!AN17+SUM(第三季度!AN18:AN19)</f>
        <v>69660</v>
      </c>
      <c r="W234" s="370" t="s">
        <v>378</v>
      </c>
      <c r="X234" s="370"/>
      <c r="Y234" s="370"/>
      <c r="Z234" s="370"/>
      <c r="AA234" s="370"/>
      <c r="AB234" s="121"/>
    </row>
    <row r="235" spans="13:28">
      <c r="M235" s="370" t="s">
        <v>379</v>
      </c>
      <c r="N235" s="370"/>
      <c r="O235" s="370"/>
      <c r="P235" s="370"/>
      <c r="Q235" s="370"/>
      <c r="R235" s="136">
        <f>第三季度!AG4*参数调整!B18+第三季度!AO36*参数调整!B23+第三季度!AP36*参数调整!B24+第三季度!AG30*参数调整!B23</f>
        <v>1679.5349999999999</v>
      </c>
      <c r="W235" s="370" t="s">
        <v>379</v>
      </c>
      <c r="X235" s="370"/>
      <c r="Y235" s="370"/>
      <c r="Z235" s="370"/>
      <c r="AA235" s="370"/>
      <c r="AB235" s="121"/>
    </row>
    <row r="236" spans="13:28">
      <c r="M236" s="371" t="s">
        <v>380</v>
      </c>
      <c r="N236" s="371"/>
      <c r="O236" s="371"/>
      <c r="P236" s="371"/>
      <c r="Q236" s="371"/>
      <c r="R236" s="146">
        <f>SUM(R226:R230)-SUM(R231:R235)</f>
        <v>72784.603954529914</v>
      </c>
      <c r="W236" s="371" t="s">
        <v>380</v>
      </c>
      <c r="X236" s="371"/>
      <c r="Y236" s="371"/>
      <c r="Z236" s="371"/>
      <c r="AA236" s="371"/>
      <c r="AB236" s="146">
        <f>SUM(AB226:AB230)-SUM(AB231:AB235)</f>
        <v>523781.60683760687</v>
      </c>
    </row>
    <row r="237" spans="13:28">
      <c r="M237" s="370" t="s">
        <v>381</v>
      </c>
      <c r="N237" s="370"/>
      <c r="O237" s="370"/>
      <c r="P237" s="370"/>
      <c r="Q237" s="370"/>
      <c r="R237" s="148">
        <f>SUM(第三季度!AN20:AN26)</f>
        <v>0</v>
      </c>
      <c r="W237" s="370" t="s">
        <v>381</v>
      </c>
      <c r="X237" s="370"/>
      <c r="Y237" s="370"/>
      <c r="Z237" s="370"/>
      <c r="AA237" s="370"/>
      <c r="AB237" s="136">
        <f>SUM(第四季度!AN20:AN26)</f>
        <v>0</v>
      </c>
    </row>
    <row r="238" spans="13:28">
      <c r="M238" s="370" t="s">
        <v>382</v>
      </c>
      <c r="N238" s="370"/>
      <c r="O238" s="370"/>
      <c r="P238" s="370"/>
      <c r="Q238" s="370"/>
      <c r="R238" s="148">
        <f>SUM(第三季度!AN28:AN35)</f>
        <v>0</v>
      </c>
      <c r="W238" s="370" t="s">
        <v>382</v>
      </c>
      <c r="X238" s="370"/>
      <c r="Y238" s="370"/>
      <c r="Z238" s="370"/>
      <c r="AA238" s="370"/>
      <c r="AB238" s="148">
        <f>SUM(第四季度!AN28:AN35)</f>
        <v>0</v>
      </c>
    </row>
    <row r="239" spans="13:28">
      <c r="M239" s="371" t="s">
        <v>383</v>
      </c>
      <c r="N239" s="371"/>
      <c r="O239" s="371"/>
      <c r="P239" s="371"/>
      <c r="Q239" s="371"/>
      <c r="R239" s="146">
        <f>R236+R237-R238</f>
        <v>72784.603954529914</v>
      </c>
      <c r="W239" s="371" t="s">
        <v>383</v>
      </c>
      <c r="X239" s="371"/>
      <c r="Y239" s="371"/>
      <c r="Z239" s="371"/>
      <c r="AA239" s="371"/>
      <c r="AB239" s="146">
        <f>AB236+AB237-AB238</f>
        <v>523781.60683760687</v>
      </c>
    </row>
    <row r="240" spans="13:28">
      <c r="M240" s="370" t="s">
        <v>384</v>
      </c>
      <c r="N240" s="370"/>
      <c r="O240" s="370"/>
      <c r="P240" s="370"/>
      <c r="Q240" s="370"/>
      <c r="R240" s="136">
        <f>IF(R239&lt;0,0,R239*参数调整!B4)</f>
        <v>18196.150988632478</v>
      </c>
      <c r="W240" s="370" t="s">
        <v>384</v>
      </c>
      <c r="X240" s="370"/>
      <c r="Y240" s="370"/>
      <c r="Z240" s="370"/>
      <c r="AA240" s="370"/>
      <c r="AB240" s="136">
        <f>AB239*参数调整!B4</f>
        <v>130945.40170940172</v>
      </c>
    </row>
    <row r="241" spans="13:28">
      <c r="M241" s="371" t="s">
        <v>385</v>
      </c>
      <c r="N241" s="371"/>
      <c r="O241" s="371"/>
      <c r="P241" s="371"/>
      <c r="Q241" s="371"/>
      <c r="R241" s="146">
        <f>R239-R240</f>
        <v>54588.452965897435</v>
      </c>
      <c r="W241" s="371" t="s">
        <v>385</v>
      </c>
      <c r="X241" s="371"/>
      <c r="Y241" s="371"/>
      <c r="Z241" s="371"/>
      <c r="AA241" s="371"/>
      <c r="AB241" s="146">
        <f>AB239-AB240</f>
        <v>392836.20512820513</v>
      </c>
    </row>
  </sheetData>
  <mergeCells count="197">
    <mergeCell ref="Q2:R2"/>
    <mergeCell ref="K17:M17"/>
    <mergeCell ref="K1:R1"/>
    <mergeCell ref="O3:O7"/>
    <mergeCell ref="O8:Q8"/>
    <mergeCell ref="O9:Q9"/>
    <mergeCell ref="O10:Q10"/>
    <mergeCell ref="O11:Q11"/>
    <mergeCell ref="O12:Q12"/>
    <mergeCell ref="O13:Q13"/>
    <mergeCell ref="O14:Q14"/>
    <mergeCell ref="D168:I168"/>
    <mergeCell ref="D169:G169"/>
    <mergeCell ref="D170:D211"/>
    <mergeCell ref="E170:E176"/>
    <mergeCell ref="F170:F172"/>
    <mergeCell ref="F173:F176"/>
    <mergeCell ref="O15:Q15"/>
    <mergeCell ref="O16:Q16"/>
    <mergeCell ref="O17:Q17"/>
    <mergeCell ref="O18:Q18"/>
    <mergeCell ref="E191:E197"/>
    <mergeCell ref="F191:F193"/>
    <mergeCell ref="F194:F197"/>
    <mergeCell ref="E198:E204"/>
    <mergeCell ref="F198:F200"/>
    <mergeCell ref="F201:F204"/>
    <mergeCell ref="F205:F207"/>
    <mergeCell ref="F208:F211"/>
    <mergeCell ref="E177:E183"/>
    <mergeCell ref="F177:F179"/>
    <mergeCell ref="F180:F183"/>
    <mergeCell ref="E184:E190"/>
    <mergeCell ref="F184:F186"/>
    <mergeCell ref="F187:F190"/>
    <mergeCell ref="M168:R168"/>
    <mergeCell ref="M169:P169"/>
    <mergeCell ref="M170:M211"/>
    <mergeCell ref="N170:N176"/>
    <mergeCell ref="O170:O172"/>
    <mergeCell ref="D224:G224"/>
    <mergeCell ref="H224:I224"/>
    <mergeCell ref="O173:O176"/>
    <mergeCell ref="N177:N183"/>
    <mergeCell ref="O177:O179"/>
    <mergeCell ref="O180:O183"/>
    <mergeCell ref="N184:N190"/>
    <mergeCell ref="O184:O186"/>
    <mergeCell ref="O187:O190"/>
    <mergeCell ref="F216:G216"/>
    <mergeCell ref="F217:G217"/>
    <mergeCell ref="F218:G218"/>
    <mergeCell ref="E219:G219"/>
    <mergeCell ref="E220:E223"/>
    <mergeCell ref="F220:G220"/>
    <mergeCell ref="F221:G221"/>
    <mergeCell ref="F222:G222"/>
    <mergeCell ref="F223:G223"/>
    <mergeCell ref="E205:E211"/>
    <mergeCell ref="D212:D223"/>
    <mergeCell ref="E212:E215"/>
    <mergeCell ref="F212:G212"/>
    <mergeCell ref="M212:M223"/>
    <mergeCell ref="N212:N215"/>
    <mergeCell ref="O212:P212"/>
    <mergeCell ref="O213:P213"/>
    <mergeCell ref="O214:P214"/>
    <mergeCell ref="O215:P215"/>
    <mergeCell ref="N216:N218"/>
    <mergeCell ref="F213:G213"/>
    <mergeCell ref="F214:G214"/>
    <mergeCell ref="F215:G215"/>
    <mergeCell ref="E216:E218"/>
    <mergeCell ref="N191:N197"/>
    <mergeCell ref="O191:O193"/>
    <mergeCell ref="O194:O197"/>
    <mergeCell ref="N198:N204"/>
    <mergeCell ref="O198:O200"/>
    <mergeCell ref="O201:O204"/>
    <mergeCell ref="N219:P219"/>
    <mergeCell ref="N220:N223"/>
    <mergeCell ref="O220:P220"/>
    <mergeCell ref="O221:P221"/>
    <mergeCell ref="O222:P222"/>
    <mergeCell ref="O223:P223"/>
    <mergeCell ref="N205:N211"/>
    <mergeCell ref="O205:O207"/>
    <mergeCell ref="O208:O211"/>
    <mergeCell ref="M238:Q238"/>
    <mergeCell ref="M239:Q239"/>
    <mergeCell ref="M240:Q240"/>
    <mergeCell ref="M241:Q241"/>
    <mergeCell ref="W168:AB168"/>
    <mergeCell ref="W169:Z169"/>
    <mergeCell ref="W170:W211"/>
    <mergeCell ref="X170:X176"/>
    <mergeCell ref="Y170:Y172"/>
    <mergeCell ref="M231:Q231"/>
    <mergeCell ref="M232:Q232"/>
    <mergeCell ref="M233:Q233"/>
    <mergeCell ref="M234:Q234"/>
    <mergeCell ref="M235:Q235"/>
    <mergeCell ref="M236:Q236"/>
    <mergeCell ref="M224:P224"/>
    <mergeCell ref="Q224:R224"/>
    <mergeCell ref="M225:P225"/>
    <mergeCell ref="Q225:R225"/>
    <mergeCell ref="M226:N230"/>
    <mergeCell ref="O226:P226"/>
    <mergeCell ref="O227:P227"/>
    <mergeCell ref="O228:P228"/>
    <mergeCell ref="O229:P229"/>
    <mergeCell ref="X191:X197"/>
    <mergeCell ref="Y191:Y193"/>
    <mergeCell ref="Y194:Y197"/>
    <mergeCell ref="X198:X204"/>
    <mergeCell ref="Y198:Y200"/>
    <mergeCell ref="Y201:Y204"/>
    <mergeCell ref="Y173:Y176"/>
    <mergeCell ref="X177:X183"/>
    <mergeCell ref="Y177:Y179"/>
    <mergeCell ref="Y180:Y183"/>
    <mergeCell ref="X184:X190"/>
    <mergeCell ref="Y184:Y186"/>
    <mergeCell ref="Y187:Y190"/>
    <mergeCell ref="M237:Q237"/>
    <mergeCell ref="X205:X211"/>
    <mergeCell ref="Y205:Y207"/>
    <mergeCell ref="Y208:Y211"/>
    <mergeCell ref="W212:W223"/>
    <mergeCell ref="X212:X215"/>
    <mergeCell ref="Y212:Z212"/>
    <mergeCell ref="Y213:Z213"/>
    <mergeCell ref="Y214:Z214"/>
    <mergeCell ref="Y215:Z215"/>
    <mergeCell ref="X216:X218"/>
    <mergeCell ref="Y216:Z216"/>
    <mergeCell ref="Y217:Z217"/>
    <mergeCell ref="Y218:Z218"/>
    <mergeCell ref="X219:Z219"/>
    <mergeCell ref="X220:X223"/>
    <mergeCell ref="Y220:Z220"/>
    <mergeCell ref="Y221:Z221"/>
    <mergeCell ref="Y222:Z222"/>
    <mergeCell ref="Y223:Z223"/>
    <mergeCell ref="O230:P230"/>
    <mergeCell ref="O216:P216"/>
    <mergeCell ref="O217:P217"/>
    <mergeCell ref="O218:P218"/>
    <mergeCell ref="E16:G16"/>
    <mergeCell ref="E17:G17"/>
    <mergeCell ref="E18:G18"/>
    <mergeCell ref="W237:AA237"/>
    <mergeCell ref="W238:AA238"/>
    <mergeCell ref="W239:AA239"/>
    <mergeCell ref="W240:AA240"/>
    <mergeCell ref="W241:AA241"/>
    <mergeCell ref="W231:AA231"/>
    <mergeCell ref="W232:AA232"/>
    <mergeCell ref="W233:AA233"/>
    <mergeCell ref="W234:AA234"/>
    <mergeCell ref="W235:AA235"/>
    <mergeCell ref="W236:AA236"/>
    <mergeCell ref="W224:Z224"/>
    <mergeCell ref="AA224:AB224"/>
    <mergeCell ref="W225:Z225"/>
    <mergeCell ref="AA225:AB225"/>
    <mergeCell ref="W226:X230"/>
    <mergeCell ref="Y226:Z226"/>
    <mergeCell ref="Y227:Z227"/>
    <mergeCell ref="Y228:Z228"/>
    <mergeCell ref="Y229:Z229"/>
    <mergeCell ref="Y230:Z230"/>
    <mergeCell ref="O19:O22"/>
    <mergeCell ref="P19:R22"/>
    <mergeCell ref="N24:N27"/>
    <mergeCell ref="O24:O27"/>
    <mergeCell ref="R24:R27"/>
    <mergeCell ref="R29:R31"/>
    <mergeCell ref="A1:H1"/>
    <mergeCell ref="D24:D27"/>
    <mergeCell ref="E24:E27"/>
    <mergeCell ref="H24:H27"/>
    <mergeCell ref="H29:H31"/>
    <mergeCell ref="A17:C17"/>
    <mergeCell ref="G2:H2"/>
    <mergeCell ref="E3:E7"/>
    <mergeCell ref="E19:E22"/>
    <mergeCell ref="F19:H22"/>
    <mergeCell ref="E8:G8"/>
    <mergeCell ref="E9:G9"/>
    <mergeCell ref="E10:G10"/>
    <mergeCell ref="E11:G11"/>
    <mergeCell ref="E12:G12"/>
    <mergeCell ref="E13:G13"/>
    <mergeCell ref="E14:G14"/>
    <mergeCell ref="E15:G15"/>
  </mergeCells>
  <phoneticPr fontId="1" type="noConversion"/>
  <conditionalFormatting sqref="W224 W170 AA173 M224 M170 Q173">
    <cfRule type="expression" dxfId="3" priority="11" stopIfTrue="1">
      <formula>OR(#REF!=$R$168,#REF!=$W$1,#REF!=#REF!)</formula>
    </cfRule>
  </conditionalFormatting>
  <conditionalFormatting sqref="D224">
    <cfRule type="expression" dxfId="2" priority="15" stopIfTrue="1">
      <formula>OR(#REF!=$R$168,#REF!=$W$1,#REF!=#REF!)</formula>
    </cfRule>
  </conditionalFormatting>
  <conditionalFormatting sqref="D170">
    <cfRule type="expression" dxfId="1" priority="16" stopIfTrue="1">
      <formula>OR(#REF!=$R$168,#REF!=$W$1,#REF!=#REF!)</formula>
    </cfRule>
  </conditionalFormatting>
  <conditionalFormatting sqref="H173">
    <cfRule type="expression" dxfId="0" priority="17" stopIfTrue="1">
      <formula>OR(#REF!=$R$168,#REF!=$W$1,#REF!=#REF!)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Hs Roronoa_</cp:lastModifiedBy>
  <dcterms:created xsi:type="dcterms:W3CDTF">2021-09-18T14:22:45Z</dcterms:created>
  <dcterms:modified xsi:type="dcterms:W3CDTF">2022-05-07T13:29:29Z</dcterms:modified>
</cp:coreProperties>
</file>