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tabRatio="692" activeTab="4"/>
  </bookViews>
  <sheets>
    <sheet name="参数调整" sheetId="2" r:id="rId1"/>
    <sheet name="产品配置计算表" sheetId="11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state="hidden" r:id="rId7"/>
    <sheet name="第六季度" sheetId="9" state="hidden" r:id="rId8"/>
    <sheet name="所得税计算工具表" sheetId="10" state="hidden" r:id="rId9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44525"/>
</workbook>
</file>

<file path=xl/sharedStrings.xml><?xml version="1.0" encoding="utf-8"?>
<sst xmlns="http://schemas.openxmlformats.org/spreadsheetml/2006/main" count="1688" uniqueCount="392">
  <si>
    <t>公司初始现金</t>
  </si>
  <si>
    <t>正式经营开始之前每家公司获得的注册资金（实收资本）</t>
  </si>
  <si>
    <t>市场名称</t>
  </si>
  <si>
    <t>每期开发成本</t>
  </si>
  <si>
    <t>开发周期</t>
  </si>
  <si>
    <t>公司注册设立费用</t>
  </si>
  <si>
    <t>公司设立开办过程中所发生的所有相关的费用。该笔费用在第一季度初自动扣除</t>
  </si>
  <si>
    <t>华东</t>
  </si>
  <si>
    <t>办公室租金</t>
  </si>
  <si>
    <t>公司租赁办公场地的费用，每季度初自动扣除当季的租金</t>
  </si>
  <si>
    <t>华北</t>
  </si>
  <si>
    <t>所得税率</t>
  </si>
  <si>
    <t>企业经营当季如果有利润，按该税率在下季初缴纳所得税</t>
  </si>
  <si>
    <t>华南</t>
  </si>
  <si>
    <t>营业税率</t>
  </si>
  <si>
    <t>营改增改革后，停征营业税。</t>
  </si>
  <si>
    <t>华中</t>
  </si>
  <si>
    <t>增值税率</t>
  </si>
  <si>
    <t>销项税-进项税</t>
  </si>
  <si>
    <t>西南</t>
  </si>
  <si>
    <t>城建税率</t>
  </si>
  <si>
    <t>根据企业实际缴纳增值税</t>
  </si>
  <si>
    <t>东北</t>
  </si>
  <si>
    <t>教育附加税率</t>
  </si>
  <si>
    <t>根据企业应缴纳的增值税，按该税率缴纳教育附加税</t>
  </si>
  <si>
    <t>西北</t>
  </si>
  <si>
    <t>地方教育附加税率</t>
  </si>
  <si>
    <t>根据企业应缴纳的增值税</t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</si>
  <si>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</si>
  <si>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</si>
  <si>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</si>
  <si>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</si>
  <si>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</si>
  <si>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</si>
  <si>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</si>
  <si>
    <t>销售权重</t>
  </si>
  <si>
    <t>口碑权重</t>
  </si>
  <si>
    <t>合计</t>
  </si>
  <si>
    <t>小组人员工资</t>
  </si>
  <si>
    <t>小组管理团队所有人员的季度工资，不分人数多少</t>
  </si>
  <si>
    <t>商务人士</t>
  </si>
  <si>
    <t>养老保险比率</t>
  </si>
  <si>
    <t>根据工资总额按该比率缴纳养老保险费用</t>
  </si>
  <si>
    <t>公司白领</t>
  </si>
  <si>
    <t>失业保险比率</t>
  </si>
  <si>
    <t>根据工资总额按该比率缴纳失业保险费用</t>
  </si>
  <si>
    <t>青少年群体</t>
  </si>
  <si>
    <t>工伤保险比率</t>
  </si>
  <si>
    <t>根据工资总额按该比率缴纳工伤保险费用</t>
  </si>
  <si>
    <t>老年群体</t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</si>
  <si>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</si>
  <si>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</si>
  <si>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</si>
  <si>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</si>
  <si>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</si>
  <si>
    <t>聘用价格</t>
  </si>
  <si>
    <t>生产销售能力</t>
  </si>
  <si>
    <t>培训费用</t>
  </si>
  <si>
    <t>培训提升</t>
  </si>
  <si>
    <t>员工工资</t>
  </si>
  <si>
    <t>试用期</t>
  </si>
  <si>
    <t>辞退补偿费用</t>
  </si>
  <si>
    <t>未办理保险罚款</t>
  </si>
  <si>
    <t>没有给员工办理保险的情况下按该金额缴纳罚款</t>
  </si>
  <si>
    <t>销售员</t>
  </si>
  <si>
    <t>普通借款利率</t>
  </si>
  <si>
    <t>正常向银行申请借款的利率</t>
  </si>
  <si>
    <t>生产工人</t>
  </si>
  <si>
    <t>普通借款还款周期(季度)</t>
  </si>
  <si>
    <t>普通借款还款周期</t>
  </si>
  <si>
    <t>紧急借款利率</t>
  </si>
  <si>
    <t>公司资金链断裂时，紧急借款时的利率</t>
  </si>
  <si>
    <t>厂房设置：</t>
  </si>
  <si>
    <t>紧急借款还款周期(季度)</t>
  </si>
  <si>
    <t>紧急借款还款周期</t>
  </si>
  <si>
    <t>大厂房</t>
  </si>
  <si>
    <t>中厂房</t>
  </si>
  <si>
    <t>小厂房</t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</si>
  <si>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</si>
  <si>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</si>
  <si>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</si>
  <si>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</si>
  <si>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</si>
  <si>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</si>
  <si>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</si>
  <si>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</si>
  <si>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</si>
  <si>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</si>
  <si>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</si>
  <si>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</si>
  <si>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</si>
  <si>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</si>
  <si>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</si>
  <si>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</si>
  <si>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</si>
  <si>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</si>
  <si>
    <t>厂房折旧率</t>
  </si>
  <si>
    <t>每季度按该折旧率对购买的厂房原值计提折旧</t>
  </si>
  <si>
    <t>柔性线</t>
  </si>
  <si>
    <t>自动线</t>
  </si>
  <si>
    <t>半自动线</t>
  </si>
  <si>
    <t>手工线</t>
  </si>
  <si>
    <t>设备折旧率</t>
  </si>
  <si>
    <t>每季度按该折旧率对购买的设备原值计提折旧</t>
  </si>
  <si>
    <t>购买价格</t>
  </si>
  <si>
    <t>未交付订单的罚金比率</t>
  </si>
  <si>
    <t>订单违约金 = (该订单最高限价 * 未交付订单数量) * 该比例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</si>
  <si>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</si>
  <si>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</si>
  <si>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</si>
  <si>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</si>
  <si>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</si>
  <si>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</si>
  <si>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</si>
  <si>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</si>
  <si>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</si>
  <si>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</si>
  <si>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</si>
  <si>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</si>
  <si>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</si>
  <si>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</si>
  <si>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</si>
  <si>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</si>
  <si>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</si>
  <si>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</si>
  <si>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</si>
  <si>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</si>
  <si>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</si>
  <si>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</si>
  <si>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</si>
  <si>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</si>
  <si>
    <t>周期</t>
  </si>
  <si>
    <t>成本</t>
  </si>
  <si>
    <t>工人上限</t>
  </si>
  <si>
    <t>CCC认证</t>
  </si>
  <si>
    <t>升级费用</t>
  </si>
  <si>
    <t>SRC认证</t>
  </si>
  <si>
    <t>升级提升</t>
  </si>
  <si>
    <t>搬迁费用</t>
  </si>
  <si>
    <t>原料价格表</t>
  </si>
  <si>
    <t>1季度</t>
  </si>
  <si>
    <t>2季度</t>
  </si>
  <si>
    <t>3季度</t>
  </si>
  <si>
    <t>4季度</t>
  </si>
  <si>
    <t>5季度</t>
  </si>
  <si>
    <t>6季度</t>
  </si>
  <si>
    <t>到货周期</t>
  </si>
  <si>
    <t>付款周期</t>
  </si>
  <si>
    <t>研发系数</t>
  </si>
  <si>
    <t>紧急采购</t>
  </si>
  <si>
    <t>高亮LED</t>
  </si>
  <si>
    <t>原材料折扣：</t>
  </si>
  <si>
    <t>批量上限值</t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</si>
  <si>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</si>
  <si>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</si>
  <si>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</si>
  <si>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</si>
  <si>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</si>
  <si>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</si>
  <si>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</si>
  <si>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</si>
  <si>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</si>
  <si>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</si>
  <si>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</si>
  <si>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</si>
  <si>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</si>
  <si>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 xml:space="preserve"> 产品设计基础分</t>
  </si>
  <si>
    <t>材料</t>
  </si>
  <si>
    <t>群体</t>
  </si>
  <si>
    <t>序号</t>
  </si>
  <si>
    <t>商务</t>
  </si>
  <si>
    <t>白领</t>
  </si>
  <si>
    <t>青少年</t>
  </si>
  <si>
    <t>老年</t>
  </si>
  <si>
    <t>人群</t>
  </si>
  <si>
    <t>S</t>
  </si>
  <si>
    <t>B</t>
  </si>
  <si>
    <t>Q</t>
  </si>
  <si>
    <t>L</t>
  </si>
  <si>
    <t>产品配置</t>
  </si>
  <si>
    <t>屏幕类型</t>
  </si>
  <si>
    <t>高亮</t>
  </si>
  <si>
    <t>产品设计</t>
  </si>
  <si>
    <t>TFT</t>
  </si>
  <si>
    <t>OLED</t>
  </si>
  <si>
    <t>腕带材质</t>
  </si>
  <si>
    <t>待机时间</t>
  </si>
  <si>
    <t>附加功能</t>
  </si>
  <si>
    <t>有氧</t>
  </si>
  <si>
    <t>心率</t>
  </si>
  <si>
    <t>GPS</t>
  </si>
  <si>
    <t>总分</t>
  </si>
  <si>
    <t>顺序购买数量</t>
  </si>
  <si>
    <t>单价</t>
  </si>
  <si>
    <t>实际价格</t>
  </si>
  <si>
    <t xml:space="preserve"> 付款周期</t>
  </si>
  <si>
    <t>实际购买</t>
  </si>
  <si>
    <t>预购数量</t>
  </si>
  <si>
    <t>向上取整后手调</t>
  </si>
  <si>
    <t>品种</t>
  </si>
  <si>
    <t>产品名称</t>
  </si>
  <si>
    <t>手工投产</t>
  </si>
  <si>
    <t>半自动投产</t>
  </si>
  <si>
    <t>自动投产</t>
  </si>
  <si>
    <t>柔性投产</t>
  </si>
  <si>
    <t>成品</t>
  </si>
  <si>
    <t>建议</t>
  </si>
  <si>
    <t>广告</t>
  </si>
  <si>
    <t>预测广告分</t>
  </si>
  <si>
    <t>现金流</t>
  </si>
  <si>
    <t>交单前的现金流</t>
  </si>
  <si>
    <t>交单后现金流</t>
  </si>
  <si>
    <t>一账期可贴现额</t>
  </si>
  <si>
    <t>二账期可贴现额</t>
  </si>
  <si>
    <t>高亮LED屏幕</t>
  </si>
  <si>
    <t>季度初现金</t>
  </si>
  <si>
    <t>TFT全彩触摸屏</t>
  </si>
  <si>
    <t>厂房购买</t>
  </si>
  <si>
    <t>购买小厂房</t>
  </si>
  <si>
    <t>第
一
季
度
末</t>
  </si>
  <si>
    <t>项目</t>
  </si>
  <si>
    <t>数量</t>
  </si>
  <si>
    <t>总费用</t>
  </si>
  <si>
    <t>贴先后金额</t>
  </si>
  <si>
    <t>购买中厂房</t>
  </si>
  <si>
    <t>制造费用</t>
  </si>
  <si>
    <t>生产加工费</t>
  </si>
  <si>
    <t>购买大厂房</t>
  </si>
  <si>
    <t>厂房租赁</t>
  </si>
  <si>
    <t>租用小厂房</t>
  </si>
  <si>
    <t>租用中厂房</t>
  </si>
  <si>
    <t>租用大厂房</t>
  </si>
  <si>
    <t>产房租金</t>
  </si>
  <si>
    <t>余额</t>
  </si>
  <si>
    <t>设备购买</t>
  </si>
  <si>
    <t>全自动线</t>
  </si>
  <si>
    <t>生产工人工资与五险</t>
  </si>
  <si>
    <t>维护费</t>
  </si>
  <si>
    <t>设计数量</t>
  </si>
  <si>
    <t>研发数量</t>
  </si>
  <si>
    <t>市场开发</t>
  </si>
  <si>
    <t>实际小组数量</t>
  </si>
  <si>
    <t>管理人员和五险</t>
  </si>
  <si>
    <t>材料费用</t>
  </si>
  <si>
    <t>消费群体</t>
  </si>
  <si>
    <t>华东需求量</t>
  </si>
  <si>
    <t>产品设计数量</t>
  </si>
  <si>
    <t>人均广告</t>
  </si>
  <si>
    <t>理论单量</t>
  </si>
  <si>
    <t>基本行政管理费用</t>
  </si>
  <si>
    <t>销售人员</t>
  </si>
  <si>
    <t>第一季度广告分</t>
  </si>
  <si>
    <t>生产设备出售</t>
  </si>
  <si>
    <t>单量小组数</t>
  </si>
  <si>
    <t>资质认证CCC</t>
  </si>
  <si>
    <t>不操作</t>
  </si>
  <si>
    <t>资质认证SRRC</t>
  </si>
  <si>
    <t>工人招聘</t>
  </si>
  <si>
    <t>厂房出售</t>
  </si>
  <si>
    <t>销售招聘</t>
  </si>
  <si>
    <t>广告投入</t>
  </si>
  <si>
    <t>原材料当季费用</t>
  </si>
  <si>
    <t>销售人员工资和五险</t>
  </si>
  <si>
    <t>判断</t>
  </si>
  <si>
    <t>订单违约金</t>
  </si>
  <si>
    <t>违约订单
最高限价</t>
  </si>
  <si>
    <t>借款</t>
  </si>
  <si>
    <t>贴现</t>
  </si>
  <si>
    <t>一账期实际贴现</t>
  </si>
  <si>
    <t>二账期实际贴现</t>
  </si>
  <si>
    <t>预购实际价格</t>
  </si>
  <si>
    <t>季度初库存数量</t>
  </si>
  <si>
    <t>季度末库存</t>
  </si>
  <si>
    <t>第
二
季
度
初</t>
  </si>
  <si>
    <t>应收账款</t>
  </si>
  <si>
    <t>应付账款</t>
  </si>
  <si>
    <t>材料预购费用</t>
  </si>
  <si>
    <t>增值税</t>
  </si>
  <si>
    <t>其他税收</t>
  </si>
  <si>
    <t>所得税</t>
  </si>
  <si>
    <t>当季花费的材料费</t>
  </si>
  <si>
    <t>上季度库存</t>
  </si>
  <si>
    <t>累计</t>
  </si>
  <si>
    <t>第
二
季
度
末</t>
  </si>
  <si>
    <t>华北需求量</t>
  </si>
  <si>
    <t>华南需求量</t>
  </si>
  <si>
    <t>累计广告</t>
  </si>
  <si>
    <t>理论需求量</t>
  </si>
  <si>
    <t>人数</t>
  </si>
  <si>
    <t>研发</t>
  </si>
  <si>
    <t>第一季度总设计-小组数量</t>
  </si>
  <si>
    <t>不研发</t>
  </si>
  <si>
    <t>一般等于小组数量</t>
  </si>
  <si>
    <t>上限设置</t>
  </si>
  <si>
    <t>第一季度总设计-第一季度卖产品种类</t>
  </si>
  <si>
    <t>不研发（112+1121）</t>
  </si>
  <si>
    <t>数0研发</t>
  </si>
  <si>
    <t>青年</t>
  </si>
  <si>
    <t>一般等于小组
数量</t>
  </si>
  <si>
    <t>第二季度广告分</t>
  </si>
  <si>
    <t>数三青</t>
  </si>
  <si>
    <t>正常</t>
  </si>
  <si>
    <t>数三老</t>
  </si>
  <si>
    <t>第
三
季
度
初</t>
  </si>
  <si>
    <t>销售分</t>
  </si>
  <si>
    <t>人数：</t>
  </si>
  <si>
    <t>功能分</t>
  </si>
  <si>
    <t>价格分</t>
  </si>
  <si>
    <t>口碑分</t>
  </si>
  <si>
    <t>广告分</t>
  </si>
  <si>
    <t>当季花费材料费</t>
  </si>
  <si>
    <t>ROUNDUP后手调</t>
  </si>
  <si>
    <t>修正</t>
  </si>
  <si>
    <t>第
三
季
度
末</t>
  </si>
  <si>
    <t>华中需求量</t>
  </si>
  <si>
    <t>西南需求量</t>
  </si>
  <si>
    <t>理
论
单
量</t>
  </si>
  <si>
    <t>被删/不玩</t>
  </si>
  <si>
    <t>产品评价分</t>
  </si>
  <si>
    <t>口碑变化</t>
  </si>
  <si>
    <t>广告分剔除</t>
  </si>
  <si>
    <t>新加广告分</t>
  </si>
  <si>
    <t>最终分</t>
  </si>
  <si>
    <t>第三季度广告分</t>
  </si>
  <si>
    <t>第
四
季
度
初</t>
  </si>
  <si>
    <t>当季折旧费</t>
  </si>
  <si>
    <t>第
四
季
度
末</t>
  </si>
  <si>
    <t>东北需求量</t>
  </si>
  <si>
    <t>西北需求量</t>
  </si>
  <si>
    <t>正常分</t>
  </si>
  <si>
    <t>未开资质</t>
  </si>
  <si>
    <t>华东华北分</t>
  </si>
  <si>
    <t>未开市场</t>
  </si>
  <si>
    <t>东北西北</t>
  </si>
  <si>
    <t>第
五
季
度
初</t>
  </si>
  <si>
    <t>差额</t>
  </si>
  <si>
    <t>与已有产品之间的差额</t>
  </si>
  <si>
    <t>第
五
季
度
末</t>
  </si>
  <si>
    <t>第
六
季
度
初</t>
  </si>
  <si>
    <t>本季库存</t>
  </si>
  <si>
    <t>第
六
季
度
末</t>
  </si>
  <si>
    <t>第
七
季
度
初</t>
  </si>
  <si>
    <t>第一季度</t>
  </si>
  <si>
    <t>第二季度</t>
  </si>
  <si>
    <t>生产所用材料总额</t>
  </si>
  <si>
    <t>库存材料总额</t>
  </si>
  <si>
    <t>销售产品材料费</t>
  </si>
  <si>
    <t>营业成本</t>
  </si>
  <si>
    <t>一、营业收入</t>
  </si>
  <si>
    <t>零账期</t>
  </si>
  <si>
    <t>一账期</t>
  </si>
  <si>
    <t>二账期</t>
  </si>
  <si>
    <t>三账期</t>
  </si>
  <si>
    <t>四账期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</si>
  <si>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</si>
  <si>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</si>
  <si>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</si>
  <si>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</si>
  <si>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</si>
  <si>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</si>
  <si>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</si>
  <si>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</si>
  <si>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</si>
  <si>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材料总计费</t>
  </si>
  <si>
    <t>减：所得税</t>
  </si>
  <si>
    <t>投产产品数量</t>
  </si>
  <si>
    <t>库存产品数量</t>
  </si>
  <si>
    <t>销售当季所产产品数量</t>
  </si>
  <si>
    <t>比例</t>
  </si>
  <si>
    <t>五、净利润</t>
  </si>
  <si>
    <t>产线</t>
  </si>
  <si>
    <t>销售产品维护费</t>
  </si>
  <si>
    <t>销售产品加工费</t>
  </si>
  <si>
    <t>工人数量</t>
  </si>
  <si>
    <t>工人工资</t>
  </si>
  <si>
    <t>工人工资费</t>
  </si>
  <si>
    <t>厂房</t>
  </si>
  <si>
    <t>租金</t>
  </si>
  <si>
    <t>产品数量</t>
  </si>
  <si>
    <t>厂房租金费用</t>
  </si>
  <si>
    <t>第三季度</t>
  </si>
  <si>
    <t>第四季度</t>
  </si>
  <si>
    <t>费用</t>
  </si>
  <si>
    <t>折旧费</t>
  </si>
  <si>
    <t>已购置1季度</t>
  </si>
  <si>
    <t>已购置2季度</t>
  </si>
  <si>
    <t>已购置3季度</t>
  </si>
  <si>
    <t>已购置4季度</t>
  </si>
  <si>
    <t>已购置5季度</t>
  </si>
  <si>
    <t>已购置6季度</t>
  </si>
  <si>
    <t>制造费</t>
  </si>
  <si>
    <t>材料费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</si>
</sst>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</numFmts>
  <fonts count="55"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0"/>
      <color rgb="FF000000"/>
      <name val="Arial"/>
      <charset val="134"/>
    </font>
    <font>
      <b/>
      <sz val="11"/>
      <color theme="1"/>
      <name val="等线"/>
      <charset val="134"/>
    </font>
    <font>
      <b/>
      <sz val="36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FangSong"/>
      <charset val="134"/>
    </font>
    <font>
      <sz val="11"/>
      <color indexed="10"/>
      <name val="等线"/>
      <charset val="134"/>
      <scheme val="minor"/>
    </font>
    <font>
      <b/>
      <sz val="11"/>
      <color indexed="63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indexed="10"/>
      <name val="等线"/>
      <charset val="134"/>
      <scheme val="minor"/>
    </font>
    <font>
      <sz val="12"/>
      <color indexed="1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71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81688894314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rgb="FF000000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75585192419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C6DEB5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C6DEB5"/>
      </left>
      <right style="thin">
        <color rgb="FFC6DEB5"/>
      </right>
      <top style="thin">
        <color rgb="FFC6DEB5"/>
      </top>
      <bottom style="thin">
        <color rgb="FFC6DEB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39" fillId="0" borderId="0" applyFont="0" applyFill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45" fillId="54" borderId="48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59" borderId="52" applyNumberFormat="0" applyFont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41" fillId="52" borderId="46" applyNumberFormat="0" applyAlignment="0" applyProtection="0">
      <alignment vertical="center"/>
    </xf>
    <xf numFmtId="0" fontId="52" fillId="52" borderId="48" applyNumberFormat="0" applyAlignment="0" applyProtection="0">
      <alignment vertical="center"/>
    </xf>
    <xf numFmtId="0" fontId="46" fillId="58" borderId="49" applyNumberFormat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50" fillId="0" borderId="50" applyNumberFormat="0" applyFill="0" applyAlignment="0" applyProtection="0">
      <alignment vertical="center"/>
    </xf>
    <xf numFmtId="0" fontId="53" fillId="65" borderId="0" applyNumberFormat="0" applyBorder="0" applyAlignment="0" applyProtection="0">
      <alignment vertical="center"/>
    </xf>
    <xf numFmtId="0" fontId="54" fillId="69" borderId="0" applyNumberFormat="0" applyBorder="0" applyAlignment="0" applyProtection="0">
      <alignment vertical="center"/>
    </xf>
    <xf numFmtId="0" fontId="36" fillId="70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68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6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</cellStyleXfs>
  <cellXfs count="31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176" fontId="5" fillId="0" borderId="5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176" fontId="2" fillId="0" borderId="8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4" borderId="13" xfId="0" applyNumberFormat="1" applyFont="1" applyFill="1" applyBorder="1" applyAlignment="1">
      <alignment horizontal="center" vertical="center"/>
    </xf>
    <xf numFmtId="176" fontId="2" fillId="4" borderId="1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176" fontId="2" fillId="4" borderId="9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 shrinkToFi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 shrinkToFit="1"/>
    </xf>
    <xf numFmtId="4" fontId="2" fillId="0" borderId="9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 shrinkToFit="1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wrapText="1"/>
    </xf>
    <xf numFmtId="4" fontId="2" fillId="4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0" fillId="0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2" fillId="16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9" xfId="0" applyBorder="1" applyAlignment="1"/>
    <xf numFmtId="0" fontId="2" fillId="0" borderId="13" xfId="0" applyFont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0" fillId="0" borderId="24" xfId="0" applyBorder="1" applyAlignment="1">
      <alignment horizontal="center"/>
    </xf>
    <xf numFmtId="0" fontId="8" fillId="23" borderId="10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center" vertical="center"/>
    </xf>
    <xf numFmtId="0" fontId="8" fillId="23" borderId="11" xfId="0" applyFont="1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>
      <alignment vertical="center"/>
    </xf>
    <xf numFmtId="0" fontId="0" fillId="21" borderId="9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6" fillId="25" borderId="25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>
      <alignment vertical="center"/>
    </xf>
    <xf numFmtId="0" fontId="16" fillId="25" borderId="26" xfId="0" applyFont="1" applyFill="1" applyBorder="1" applyAlignment="1">
      <alignment horizontal="center" vertical="center"/>
    </xf>
    <xf numFmtId="0" fontId="16" fillId="25" borderId="12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0" fillId="16" borderId="16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7" fillId="0" borderId="0" xfId="0" applyFont="1">
      <alignment vertical="center"/>
    </xf>
    <xf numFmtId="0" fontId="18" fillId="21" borderId="0" xfId="0" applyFont="1" applyFill="1" applyAlignment="1">
      <alignment horizontal="center" vertical="center"/>
    </xf>
    <xf numFmtId="0" fontId="17" fillId="0" borderId="0" xfId="0" applyFont="1" applyAlignment="1"/>
    <xf numFmtId="0" fontId="18" fillId="21" borderId="9" xfId="0" applyFont="1" applyFill="1" applyBorder="1" applyAlignment="1">
      <alignment horizontal="center" vertical="center"/>
    </xf>
    <xf numFmtId="0" fontId="17" fillId="0" borderId="9" xfId="0" applyFont="1" applyBorder="1" applyAlignment="1"/>
    <xf numFmtId="0" fontId="19" fillId="25" borderId="25" xfId="0" applyFont="1" applyFill="1" applyBorder="1" applyAlignment="1">
      <alignment horizontal="center" vertical="center"/>
    </xf>
    <xf numFmtId="0" fontId="18" fillId="21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6" fillId="26" borderId="25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 wrapText="1"/>
    </xf>
    <xf numFmtId="0" fontId="2" fillId="27" borderId="9" xfId="0" applyFont="1" applyFill="1" applyBorder="1" applyAlignment="1">
      <alignment horizontal="center" vertical="center" wrapText="1"/>
    </xf>
    <xf numFmtId="0" fontId="2" fillId="23" borderId="10" xfId="0" applyFont="1" applyFill="1" applyBorder="1" applyAlignment="1">
      <alignment horizontal="center" vertical="center" wrapText="1"/>
    </xf>
    <xf numFmtId="0" fontId="12" fillId="28" borderId="9" xfId="0" applyFont="1" applyFill="1" applyBorder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21" fillId="21" borderId="0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28" borderId="13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5" borderId="27" xfId="0" applyFont="1" applyFill="1" applyBorder="1" applyAlignment="1">
      <alignment horizontal="center" vertical="center"/>
    </xf>
    <xf numFmtId="0" fontId="0" fillId="29" borderId="0" xfId="0" applyFill="1" applyAlignment="1"/>
    <xf numFmtId="0" fontId="22" fillId="30" borderId="9" xfId="0" applyFont="1" applyFill="1" applyBorder="1" applyAlignment="1">
      <alignment horizontal="center" vertical="center"/>
    </xf>
    <xf numFmtId="0" fontId="23" fillId="30" borderId="9" xfId="0" applyFont="1" applyFill="1" applyBorder="1" applyAlignment="1">
      <alignment horizontal="center" vertical="center"/>
    </xf>
    <xf numFmtId="0" fontId="24" fillId="30" borderId="12" xfId="0" applyFont="1" applyFill="1" applyBorder="1" applyAlignment="1">
      <alignment horizontal="center" vertical="center"/>
    </xf>
    <xf numFmtId="0" fontId="22" fillId="30" borderId="12" xfId="0" applyFont="1" applyFill="1" applyBorder="1" applyAlignment="1">
      <alignment horizontal="center" vertical="center"/>
    </xf>
    <xf numFmtId="0" fontId="23" fillId="30" borderId="12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6" fillId="15" borderId="9" xfId="0" applyFont="1" applyFill="1" applyBorder="1" applyAlignment="1">
      <alignment horizontal="center" vertical="center"/>
    </xf>
    <xf numFmtId="0" fontId="24" fillId="30" borderId="9" xfId="0" applyFont="1" applyFill="1" applyBorder="1" applyAlignment="1">
      <alignment horizontal="center" vertical="center"/>
    </xf>
    <xf numFmtId="0" fontId="24" fillId="31" borderId="25" xfId="0" applyFont="1" applyFill="1" applyBorder="1" applyAlignment="1">
      <alignment horizontal="center" vertical="center"/>
    </xf>
    <xf numFmtId="0" fontId="24" fillId="31" borderId="28" xfId="0" applyFont="1" applyFill="1" applyBorder="1" applyAlignment="1">
      <alignment horizontal="center" vertical="center"/>
    </xf>
    <xf numFmtId="0" fontId="16" fillId="25" borderId="29" xfId="0" applyFont="1" applyFill="1" applyBorder="1" applyAlignment="1">
      <alignment horizontal="center" vertical="center"/>
    </xf>
    <xf numFmtId="0" fontId="26" fillId="23" borderId="9" xfId="49" applyFont="1" applyFill="1" applyBorder="1" applyAlignment="1">
      <alignment horizontal="center" vertical="center" wrapText="1"/>
    </xf>
    <xf numFmtId="2" fontId="14" fillId="20" borderId="0" xfId="0" applyNumberFormat="1" applyFont="1" applyFill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0" fillId="0" borderId="0" xfId="0" applyNumberFormat="1" applyAlignment="1"/>
    <xf numFmtId="176" fontId="5" fillId="16" borderId="9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center" vertical="center"/>
    </xf>
    <xf numFmtId="2" fontId="5" fillId="16" borderId="9" xfId="0" applyNumberFormat="1" applyFont="1" applyFill="1" applyBorder="1" applyAlignment="1">
      <alignment horizontal="center" vertical="center"/>
    </xf>
    <xf numFmtId="0" fontId="0" fillId="32" borderId="9" xfId="0" applyFill="1" applyBorder="1" applyAlignment="1">
      <alignment horizontal="center" vertical="center" wrapText="1"/>
    </xf>
    <xf numFmtId="0" fontId="0" fillId="32" borderId="9" xfId="0" applyFill="1" applyBorder="1" applyAlignment="1">
      <alignment horizontal="center" vertical="center"/>
    </xf>
    <xf numFmtId="0" fontId="0" fillId="32" borderId="15" xfId="0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32" borderId="10" xfId="0" applyFill="1" applyBorder="1" applyAlignment="1">
      <alignment horizontal="center" vertical="center"/>
    </xf>
    <xf numFmtId="0" fontId="0" fillId="32" borderId="13" xfId="0" applyFill="1" applyBorder="1" applyAlignment="1">
      <alignment horizontal="center" vertical="center"/>
    </xf>
    <xf numFmtId="0" fontId="0" fillId="32" borderId="9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32" borderId="11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9" borderId="9" xfId="0" applyFill="1" applyBorder="1" applyAlignment="1" applyProtection="1">
      <alignment horizontal="center" vertical="center"/>
      <protection hidden="1"/>
    </xf>
    <xf numFmtId="0" fontId="0" fillId="23" borderId="9" xfId="0" applyFill="1" applyBorder="1" applyAlignment="1" applyProtection="1">
      <alignment horizontal="center" vertical="center"/>
      <protection hidden="1"/>
    </xf>
    <xf numFmtId="0" fontId="0" fillId="33" borderId="9" xfId="0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0" fillId="35" borderId="9" xfId="0" applyFill="1" applyBorder="1" applyAlignment="1">
      <alignment horizontal="center" vertical="center"/>
    </xf>
    <xf numFmtId="0" fontId="27" fillId="0" borderId="0" xfId="49" applyFont="1" applyAlignment="1">
      <alignment horizontal="center"/>
    </xf>
    <xf numFmtId="4" fontId="21" fillId="36" borderId="9" xfId="49" applyNumberFormat="1" applyFont="1" applyFill="1" applyBorder="1" applyAlignment="1">
      <alignment horizontal="center" vertical="center" wrapText="1"/>
    </xf>
    <xf numFmtId="0" fontId="26" fillId="21" borderId="9" xfId="49" applyFont="1" applyFill="1" applyBorder="1" applyAlignment="1">
      <alignment horizontal="center" vertical="center" wrapText="1"/>
    </xf>
    <xf numFmtId="0" fontId="12" fillId="0" borderId="0" xfId="49" applyFont="1" applyAlignment="1">
      <alignment horizontal="center"/>
    </xf>
    <xf numFmtId="4" fontId="26" fillId="36" borderId="9" xfId="49" applyNumberFormat="1" applyFont="1" applyFill="1" applyBorder="1" applyAlignment="1">
      <alignment horizontal="center" vertical="center" wrapText="1"/>
    </xf>
    <xf numFmtId="0" fontId="12" fillId="3" borderId="9" xfId="49" applyFont="1" applyFill="1" applyBorder="1" applyAlignment="1" applyProtection="1">
      <alignment horizontal="center" shrinkToFit="1"/>
      <protection hidden="1"/>
    </xf>
    <xf numFmtId="0" fontId="12" fillId="36" borderId="9" xfId="49" applyFont="1" applyFill="1" applyBorder="1" applyAlignment="1" applyProtection="1">
      <alignment horizontal="center" shrinkToFit="1"/>
      <protection hidden="1"/>
    </xf>
    <xf numFmtId="10" fontId="26" fillId="36" borderId="9" xfId="49" applyNumberFormat="1" applyFont="1" applyFill="1" applyBorder="1" applyAlignment="1">
      <alignment horizontal="center" vertical="center" wrapText="1"/>
    </xf>
    <xf numFmtId="0" fontId="12" fillId="36" borderId="9" xfId="49" applyFont="1" applyFill="1" applyBorder="1" applyAlignment="1">
      <alignment horizontal="center" vertical="center"/>
    </xf>
    <xf numFmtId="3" fontId="26" fillId="36" borderId="9" xfId="49" applyNumberFormat="1" applyFont="1" applyFill="1" applyBorder="1" applyAlignment="1">
      <alignment horizontal="center" vertical="center"/>
    </xf>
    <xf numFmtId="0" fontId="28" fillId="0" borderId="30" xfId="49" applyFont="1" applyBorder="1" applyAlignment="1" applyProtection="1">
      <alignment horizontal="center" shrinkToFit="1"/>
      <protection hidden="1"/>
    </xf>
    <xf numFmtId="0" fontId="29" fillId="0" borderId="31" xfId="49" applyFont="1" applyBorder="1" applyAlignment="1" applyProtection="1">
      <alignment horizontal="center" shrinkToFit="1"/>
      <protection hidden="1"/>
    </xf>
    <xf numFmtId="0" fontId="30" fillId="37" borderId="32" xfId="49" applyFont="1" applyFill="1" applyBorder="1" applyAlignment="1" applyProtection="1">
      <alignment horizontal="center" shrinkToFit="1"/>
      <protection hidden="1"/>
    </xf>
    <xf numFmtId="0" fontId="30" fillId="36" borderId="9" xfId="49" applyFont="1" applyFill="1" applyBorder="1" applyAlignment="1" applyProtection="1">
      <alignment horizontal="center" shrinkToFit="1"/>
      <protection hidden="1"/>
    </xf>
    <xf numFmtId="0" fontId="30" fillId="36" borderId="9" xfId="49" applyFont="1" applyFill="1" applyBorder="1" applyAlignment="1" applyProtection="1">
      <alignment horizontal="center" vertical="center" shrinkToFit="1"/>
      <protection hidden="1"/>
    </xf>
    <xf numFmtId="0" fontId="30" fillId="20" borderId="32" xfId="49" applyFont="1" applyFill="1" applyBorder="1" applyAlignment="1" applyProtection="1">
      <alignment horizontal="center" shrinkToFit="1"/>
      <protection hidden="1"/>
    </xf>
    <xf numFmtId="0" fontId="30" fillId="16" borderId="32" xfId="49" applyFont="1" applyFill="1" applyBorder="1" applyAlignment="1" applyProtection="1">
      <alignment horizontal="center" shrinkToFit="1"/>
      <protection hidden="1"/>
    </xf>
    <xf numFmtId="0" fontId="30" fillId="0" borderId="33" xfId="49" applyFont="1" applyBorder="1" applyAlignment="1" applyProtection="1">
      <alignment horizontal="center" shrinkToFit="1"/>
      <protection hidden="1"/>
    </xf>
    <xf numFmtId="0" fontId="30" fillId="36" borderId="34" xfId="49" applyFont="1" applyFill="1" applyBorder="1" applyAlignment="1" applyProtection="1">
      <alignment horizontal="center" shrinkToFit="1"/>
      <protection hidden="1"/>
    </xf>
    <xf numFmtId="0" fontId="30" fillId="36" borderId="34" xfId="49" applyFont="1" applyFill="1" applyBorder="1" applyAlignment="1" applyProtection="1">
      <alignment horizontal="center" vertical="center" shrinkToFit="1"/>
      <protection hidden="1"/>
    </xf>
    <xf numFmtId="0" fontId="12" fillId="0" borderId="31" xfId="49" applyFont="1" applyBorder="1" applyAlignment="1" applyProtection="1">
      <alignment horizontal="center" vertical="center" shrinkToFit="1"/>
      <protection hidden="1"/>
    </xf>
    <xf numFmtId="0" fontId="12" fillId="3" borderId="32" xfId="49" applyFont="1" applyFill="1" applyBorder="1" applyAlignment="1" applyProtection="1">
      <alignment horizontal="center" vertical="center" shrinkToFit="1"/>
      <protection hidden="1"/>
    </xf>
    <xf numFmtId="0" fontId="12" fillId="36" borderId="9" xfId="49" applyFont="1" applyFill="1" applyBorder="1" applyAlignment="1" applyProtection="1">
      <alignment horizontal="center" vertical="center" shrinkToFit="1"/>
      <protection hidden="1"/>
    </xf>
    <xf numFmtId="0" fontId="12" fillId="0" borderId="9" xfId="49" applyFont="1" applyBorder="1" applyAlignment="1" applyProtection="1">
      <alignment horizontal="center" vertical="center" shrinkToFit="1"/>
      <protection hidden="1"/>
    </xf>
    <xf numFmtId="0" fontId="12" fillId="3" borderId="35" xfId="49" applyFont="1" applyFill="1" applyBorder="1" applyAlignment="1" applyProtection="1">
      <alignment horizontal="center" vertical="center" shrinkToFit="1"/>
      <protection hidden="1"/>
    </xf>
    <xf numFmtId="0" fontId="12" fillId="36" borderId="34" xfId="49" applyFont="1" applyFill="1" applyBorder="1" applyAlignment="1" applyProtection="1">
      <alignment horizontal="center" vertical="center" shrinkToFit="1"/>
      <protection hidden="1"/>
    </xf>
    <xf numFmtId="0" fontId="12" fillId="0" borderId="34" xfId="49" applyFont="1" applyBorder="1" applyAlignment="1" applyProtection="1">
      <alignment horizontal="center" vertical="center" shrinkToFit="1"/>
      <protection hidden="1"/>
    </xf>
    <xf numFmtId="0" fontId="26" fillId="36" borderId="9" xfId="49" applyFont="1" applyFill="1" applyBorder="1" applyAlignment="1">
      <alignment horizontal="center" vertical="center" wrapText="1"/>
    </xf>
    <xf numFmtId="0" fontId="28" fillId="0" borderId="4" xfId="49" applyFont="1" applyBorder="1" applyAlignment="1" applyProtection="1">
      <alignment horizontal="left" vertical="center" shrinkToFit="1"/>
      <protection hidden="1"/>
    </xf>
    <xf numFmtId="0" fontId="28" fillId="0" borderId="0" xfId="49" applyFont="1" applyAlignment="1" applyProtection="1">
      <alignment horizontal="center" vertical="center" shrinkToFit="1"/>
      <protection hidden="1"/>
    </xf>
    <xf numFmtId="0" fontId="12" fillId="0" borderId="36" xfId="49" applyFont="1" applyBorder="1" applyAlignment="1" applyProtection="1">
      <alignment horizontal="center" vertical="center" shrinkToFit="1"/>
      <protection hidden="1"/>
    </xf>
    <xf numFmtId="0" fontId="12" fillId="0" borderId="37" xfId="49" applyFont="1" applyBorder="1" applyAlignment="1" applyProtection="1">
      <alignment horizontal="center" vertical="center" shrinkToFit="1"/>
      <protection hidden="1"/>
    </xf>
    <xf numFmtId="0" fontId="12" fillId="0" borderId="30" xfId="49" applyFont="1" applyBorder="1" applyAlignment="1" applyProtection="1">
      <alignment horizontal="center" vertical="center" shrinkToFit="1"/>
      <protection hidden="1"/>
    </xf>
    <xf numFmtId="0" fontId="12" fillId="0" borderId="32" xfId="49" applyFont="1" applyBorder="1" applyAlignment="1" applyProtection="1">
      <alignment horizontal="center" vertical="center" shrinkToFit="1"/>
      <protection hidden="1"/>
    </xf>
    <xf numFmtId="4" fontId="12" fillId="36" borderId="9" xfId="49" applyNumberFormat="1" applyFont="1" applyFill="1" applyBorder="1" applyAlignment="1" applyProtection="1">
      <alignment horizontal="center" vertical="center" shrinkToFit="1"/>
      <protection hidden="1"/>
    </xf>
    <xf numFmtId="0" fontId="31" fillId="0" borderId="32" xfId="49" applyFont="1" applyBorder="1" applyAlignment="1" applyProtection="1">
      <alignment horizontal="center" vertical="center" shrinkToFit="1"/>
      <protection hidden="1"/>
    </xf>
    <xf numFmtId="0" fontId="12" fillId="0" borderId="33" xfId="49" applyFont="1" applyBorder="1" applyAlignment="1" applyProtection="1">
      <alignment horizontal="center" vertical="center" shrinkToFit="1"/>
      <protection hidden="1"/>
    </xf>
    <xf numFmtId="10" fontId="12" fillId="36" borderId="34" xfId="49" applyNumberFormat="1" applyFont="1" applyFill="1" applyBorder="1" applyAlignment="1" applyProtection="1">
      <alignment horizontal="center" vertical="center" shrinkToFit="1"/>
      <protection hidden="1"/>
    </xf>
    <xf numFmtId="0" fontId="28" fillId="0" borderId="6" xfId="49" applyFont="1" applyBorder="1" applyAlignment="1" applyProtection="1">
      <alignment horizontal="left" shrinkToFit="1"/>
      <protection hidden="1"/>
    </xf>
    <xf numFmtId="0" fontId="28" fillId="0" borderId="7" xfId="49" applyFont="1" applyBorder="1" applyAlignment="1" applyProtection="1">
      <alignment horizontal="left" shrinkToFit="1"/>
      <protection hidden="1"/>
    </xf>
    <xf numFmtId="0" fontId="12" fillId="0" borderId="38" xfId="49" applyFont="1" applyBorder="1" applyAlignment="1" applyProtection="1">
      <alignment horizontal="center" vertical="center" shrinkToFit="1"/>
      <protection hidden="1"/>
    </xf>
    <xf numFmtId="0" fontId="6" fillId="0" borderId="31" xfId="49" applyFont="1" applyBorder="1" applyAlignment="1" applyProtection="1">
      <alignment horizontal="center" vertical="center" shrinkToFit="1"/>
      <protection hidden="1"/>
    </xf>
    <xf numFmtId="0" fontId="21" fillId="0" borderId="32" xfId="49" applyFont="1" applyBorder="1" applyAlignment="1" applyProtection="1">
      <alignment horizontal="center" vertical="center" shrinkToFit="1"/>
      <protection hidden="1"/>
    </xf>
    <xf numFmtId="10" fontId="12" fillId="36" borderId="9" xfId="49" applyNumberFormat="1" applyFont="1" applyFill="1" applyBorder="1" applyAlignment="1" applyProtection="1">
      <alignment horizontal="center" vertical="center" shrinkToFit="1"/>
      <protection hidden="1"/>
    </xf>
    <xf numFmtId="0" fontId="12" fillId="21" borderId="9" xfId="49" applyFont="1" applyFill="1" applyBorder="1" applyAlignment="1" applyProtection="1">
      <alignment horizontal="center" vertical="center" shrinkToFit="1"/>
      <protection hidden="1"/>
    </xf>
    <xf numFmtId="0" fontId="12" fillId="23" borderId="32" xfId="49" applyFont="1" applyFill="1" applyBorder="1" applyAlignment="1" applyProtection="1">
      <alignment horizontal="center" vertical="center" shrinkToFit="1"/>
      <protection hidden="1"/>
    </xf>
    <xf numFmtId="0" fontId="32" fillId="36" borderId="9" xfId="49" applyFont="1" applyFill="1" applyBorder="1" applyAlignment="1" applyProtection="1">
      <alignment horizontal="center" vertical="center" shrinkToFit="1"/>
      <protection hidden="1"/>
    </xf>
    <xf numFmtId="0" fontId="12" fillId="36" borderId="39" xfId="49" applyFont="1" applyFill="1" applyBorder="1" applyAlignment="1" applyProtection="1">
      <alignment horizontal="center" vertical="center" shrinkToFit="1"/>
      <protection hidden="1"/>
    </xf>
    <xf numFmtId="4" fontId="12" fillId="21" borderId="9" xfId="49" applyNumberFormat="1" applyFont="1" applyFill="1" applyBorder="1" applyAlignment="1" applyProtection="1">
      <alignment horizontal="center" vertical="center" shrinkToFit="1"/>
      <protection hidden="1"/>
    </xf>
    <xf numFmtId="0" fontId="12" fillId="36" borderId="40" xfId="49" applyFont="1" applyFill="1" applyBorder="1" applyAlignment="1" applyProtection="1">
      <alignment horizontal="center" vertical="center" shrinkToFit="1"/>
      <protection hidden="1"/>
    </xf>
    <xf numFmtId="10" fontId="12" fillId="21" borderId="9" xfId="49" applyNumberFormat="1" applyFont="1" applyFill="1" applyBorder="1" applyAlignment="1" applyProtection="1">
      <alignment horizontal="center" vertical="center" shrinkToFit="1"/>
      <protection hidden="1"/>
    </xf>
    <xf numFmtId="0" fontId="12" fillId="0" borderId="31" xfId="49" applyFont="1" applyBorder="1" applyAlignment="1" applyProtection="1">
      <alignment horizontal="center" vertical="center"/>
      <protection hidden="1"/>
    </xf>
    <xf numFmtId="0" fontId="12" fillId="0" borderId="41" xfId="49" applyFont="1" applyBorder="1" applyAlignment="1" applyProtection="1">
      <alignment horizontal="center" vertical="center"/>
      <protection hidden="1"/>
    </xf>
    <xf numFmtId="0" fontId="12" fillId="38" borderId="9" xfId="49" applyFont="1" applyFill="1" applyBorder="1" applyAlignment="1">
      <alignment horizontal="center" vertical="center"/>
    </xf>
    <xf numFmtId="0" fontId="12" fillId="39" borderId="9" xfId="49" applyFont="1" applyFill="1" applyBorder="1" applyAlignment="1">
      <alignment horizontal="center" vertical="center"/>
    </xf>
    <xf numFmtId="0" fontId="12" fillId="40" borderId="9" xfId="49" applyFont="1" applyFill="1" applyBorder="1" applyAlignment="1">
      <alignment horizontal="center" vertical="center"/>
    </xf>
    <xf numFmtId="0" fontId="12" fillId="41" borderId="9" xfId="49" applyFont="1" applyFill="1" applyBorder="1" applyAlignment="1">
      <alignment horizontal="center" vertical="center"/>
    </xf>
    <xf numFmtId="0" fontId="12" fillId="0" borderId="0" xfId="49" applyFont="1" applyAlignment="1">
      <alignment horizontal="center" vertical="center"/>
    </xf>
    <xf numFmtId="0" fontId="12" fillId="0" borderId="0" xfId="49" applyFont="1" applyAlignment="1" applyProtection="1">
      <alignment horizontal="center" vertical="center"/>
      <protection hidden="1"/>
    </xf>
    <xf numFmtId="0" fontId="33" fillId="0" borderId="12" xfId="49" applyFont="1" applyBorder="1" applyAlignment="1" applyProtection="1">
      <alignment horizontal="center" shrinkToFit="1"/>
      <protection hidden="1"/>
    </xf>
    <xf numFmtId="0" fontId="33" fillId="0" borderId="9" xfId="49" applyFont="1" applyBorder="1" applyAlignment="1" applyProtection="1">
      <alignment horizontal="center" shrinkToFit="1"/>
      <protection hidden="1"/>
    </xf>
    <xf numFmtId="0" fontId="12" fillId="0" borderId="9" xfId="49" applyFont="1" applyBorder="1" applyAlignment="1" applyProtection="1">
      <alignment horizontal="center" vertical="center"/>
      <protection hidden="1"/>
    </xf>
    <xf numFmtId="9" fontId="33" fillId="36" borderId="9" xfId="49" applyNumberFormat="1" applyFont="1" applyFill="1" applyBorder="1" applyAlignment="1" applyProtection="1">
      <alignment horizontal="center" shrinkToFit="1"/>
      <protection hidden="1"/>
    </xf>
    <xf numFmtId="9" fontId="12" fillId="36" borderId="9" xfId="49" applyNumberFormat="1" applyFont="1" applyFill="1" applyBorder="1" applyAlignment="1" applyProtection="1">
      <alignment horizontal="center" shrinkToFit="1"/>
      <protection hidden="1"/>
    </xf>
    <xf numFmtId="0" fontId="34" fillId="0" borderId="31" xfId="49" applyFont="1" applyBorder="1" applyAlignment="1" applyProtection="1">
      <alignment horizontal="center" shrinkToFit="1"/>
      <protection hidden="1"/>
    </xf>
    <xf numFmtId="0" fontId="29" fillId="0" borderId="30" xfId="49" applyFont="1" applyBorder="1" applyAlignment="1" applyProtection="1">
      <alignment horizontal="center" shrinkToFit="1"/>
      <protection hidden="1"/>
    </xf>
    <xf numFmtId="0" fontId="12" fillId="37" borderId="13" xfId="49" applyFont="1" applyFill="1" applyBorder="1" applyAlignment="1">
      <alignment horizontal="center" vertical="center"/>
    </xf>
    <xf numFmtId="0" fontId="12" fillId="20" borderId="13" xfId="49" applyFont="1" applyFill="1" applyBorder="1" applyAlignment="1">
      <alignment horizontal="center" vertical="center"/>
    </xf>
    <xf numFmtId="0" fontId="12" fillId="16" borderId="13" xfId="49" applyFont="1" applyFill="1" applyBorder="1" applyAlignment="1">
      <alignment horizontal="center" vertical="center"/>
    </xf>
    <xf numFmtId="0" fontId="12" fillId="0" borderId="42" xfId="49" applyFont="1" applyBorder="1" applyAlignment="1">
      <alignment horizontal="center" vertical="center"/>
    </xf>
    <xf numFmtId="0" fontId="12" fillId="0" borderId="43" xfId="49" applyFont="1" applyBorder="1" applyAlignment="1" applyProtection="1">
      <alignment horizontal="center" vertical="center" shrinkToFit="1"/>
      <protection hidden="1"/>
    </xf>
    <xf numFmtId="0" fontId="12" fillId="0" borderId="16" xfId="49" applyFont="1" applyBorder="1" applyAlignment="1" applyProtection="1">
      <alignment horizontal="center" vertical="center" shrinkToFit="1"/>
      <protection hidden="1"/>
    </xf>
    <xf numFmtId="0" fontId="12" fillId="0" borderId="44" xfId="49" applyFont="1" applyBorder="1" applyAlignment="1" applyProtection="1">
      <alignment horizontal="center" vertical="center" shrinkToFit="1"/>
      <protection hidden="1"/>
    </xf>
    <xf numFmtId="4" fontId="12" fillId="36" borderId="39" xfId="49" applyNumberFormat="1" applyFont="1" applyFill="1" applyBorder="1" applyAlignment="1" applyProtection="1">
      <alignment horizontal="center" vertical="center" shrinkToFit="1"/>
      <protection hidden="1"/>
    </xf>
    <xf numFmtId="10" fontId="12" fillId="36" borderId="40" xfId="49" applyNumberFormat="1" applyFont="1" applyFill="1" applyBorder="1" applyAlignment="1" applyProtection="1">
      <alignment horizontal="center" vertical="center" shrinkToFit="1"/>
      <protection hidden="1"/>
    </xf>
    <xf numFmtId="0" fontId="6" fillId="0" borderId="43" xfId="49" applyFont="1" applyBorder="1" applyAlignment="1" applyProtection="1">
      <alignment horizontal="center" vertical="center" shrinkToFit="1"/>
      <protection hidden="1"/>
    </xf>
    <xf numFmtId="10" fontId="12" fillId="36" borderId="39" xfId="49" applyNumberFormat="1" applyFont="1" applyFill="1" applyBorder="1" applyAlignment="1" applyProtection="1">
      <alignment horizontal="center" vertical="center" shrinkToFit="1"/>
      <protection hidden="1"/>
    </xf>
    <xf numFmtId="0" fontId="12" fillId="21" borderId="39" xfId="49" applyFont="1" applyFill="1" applyBorder="1" applyAlignment="1" applyProtection="1">
      <alignment horizontal="center" vertical="center" shrinkToFit="1"/>
      <protection hidden="1"/>
    </xf>
    <xf numFmtId="0" fontId="32" fillId="36" borderId="39" xfId="49" applyFont="1" applyFill="1" applyBorder="1" applyAlignment="1" applyProtection="1">
      <alignment horizontal="center" vertical="center" shrinkToFit="1"/>
      <protection hidden="1"/>
    </xf>
    <xf numFmtId="4" fontId="12" fillId="21" borderId="39" xfId="49" applyNumberFormat="1" applyFont="1" applyFill="1" applyBorder="1" applyAlignment="1" applyProtection="1">
      <alignment horizontal="center" vertical="center" shrinkToFit="1"/>
      <protection hidden="1"/>
    </xf>
    <xf numFmtId="10" fontId="12" fillId="21" borderId="39" xfId="49" applyNumberFormat="1" applyFont="1" applyFill="1" applyBorder="1" applyAlignment="1" applyProtection="1">
      <alignment horizontal="center" vertical="center" shrinkToFit="1"/>
      <protection hidden="1"/>
    </xf>
    <xf numFmtId="0" fontId="12" fillId="0" borderId="11" xfId="49" applyFont="1" applyBorder="1" applyAlignment="1" applyProtection="1">
      <alignment horizontal="center" vertical="center"/>
      <protection hidden="1"/>
    </xf>
    <xf numFmtId="0" fontId="12" fillId="21" borderId="9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72"/>
  <sheetViews>
    <sheetView zoomScale="98" zoomScaleNormal="98" topLeftCell="E1" workbookViewId="0">
      <selection activeCell="H11" sqref="H11"/>
    </sheetView>
  </sheetViews>
  <sheetFormatPr defaultColWidth="9" defaultRowHeight="14.4"/>
  <cols>
    <col min="1" max="1" width="28.2222222222222" style="229" customWidth="1"/>
    <col min="2" max="2" width="19.3333333333333" style="229" customWidth="1"/>
    <col min="3" max="3" width="93.6666666666667" style="229" customWidth="1"/>
    <col min="4" max="4" width="8.88888888888889" style="229"/>
    <col min="5" max="5" width="19.1111111111111" style="229" customWidth="1"/>
    <col min="6" max="6" width="13.1111111111111" style="229" customWidth="1"/>
    <col min="7" max="7" width="19.2222222222222" style="229" customWidth="1"/>
    <col min="8" max="8" width="9" style="229" customWidth="1"/>
    <col min="9" max="9" width="19.1111111111111" style="229" customWidth="1"/>
    <col min="10" max="10" width="8.88888888888889" style="229"/>
    <col min="11" max="11" width="11" style="229" customWidth="1"/>
    <col min="12" max="12" width="14.2222222222222" style="229" customWidth="1"/>
    <col min="13" max="14" width="8.88888888888889" style="229"/>
    <col min="15" max="15" width="11.8888888888889" style="229" customWidth="1"/>
    <col min="16" max="16384" width="8.88888888888889" style="229"/>
  </cols>
  <sheetData>
    <row r="1" ht="16.05" customHeight="1" spans="1:13">
      <c r="A1" s="207" t="s">
        <v>0</v>
      </c>
      <c r="B1" s="230">
        <v>600000</v>
      </c>
      <c r="C1" s="231" t="s">
        <v>1</v>
      </c>
      <c r="D1" s="232"/>
      <c r="E1" s="207" t="s">
        <v>2</v>
      </c>
      <c r="F1" s="207" t="s">
        <v>3</v>
      </c>
      <c r="G1" s="207" t="s">
        <v>4</v>
      </c>
      <c r="H1" s="232"/>
      <c r="I1" s="232"/>
      <c r="J1" s="232"/>
      <c r="K1" s="232"/>
      <c r="L1" s="232"/>
      <c r="M1" s="232"/>
    </row>
    <row r="2" ht="16.05" customHeight="1" spans="1:13">
      <c r="A2" s="207" t="s">
        <v>5</v>
      </c>
      <c r="B2" s="233">
        <v>3000</v>
      </c>
      <c r="C2" s="231" t="s">
        <v>6</v>
      </c>
      <c r="D2" s="232"/>
      <c r="E2" s="234" t="s">
        <v>7</v>
      </c>
      <c r="F2" s="235">
        <v>0</v>
      </c>
      <c r="G2" s="235">
        <v>0</v>
      </c>
      <c r="H2" s="232"/>
      <c r="I2" s="232"/>
      <c r="J2" s="232"/>
      <c r="K2" s="232"/>
      <c r="L2" s="232"/>
      <c r="M2" s="232"/>
    </row>
    <row r="3" ht="16.05" customHeight="1" spans="1:13">
      <c r="A3" s="207" t="s">
        <v>8</v>
      </c>
      <c r="B3" s="233">
        <v>10000</v>
      </c>
      <c r="C3" s="231" t="s">
        <v>9</v>
      </c>
      <c r="D3" s="232"/>
      <c r="E3" s="234" t="s">
        <v>10</v>
      </c>
      <c r="F3" s="235">
        <v>20000</v>
      </c>
      <c r="G3" s="235">
        <v>1</v>
      </c>
      <c r="H3" s="232"/>
      <c r="I3" s="232"/>
      <c r="J3" s="232"/>
      <c r="K3" s="232"/>
      <c r="L3" s="232"/>
      <c r="M3" s="232"/>
    </row>
    <row r="4" ht="16.05" customHeight="1" spans="1:13">
      <c r="A4" s="207" t="s">
        <v>11</v>
      </c>
      <c r="B4" s="236">
        <v>0.25</v>
      </c>
      <c r="C4" s="231" t="s">
        <v>12</v>
      </c>
      <c r="D4" s="232"/>
      <c r="E4" s="234" t="s">
        <v>13</v>
      </c>
      <c r="F4" s="235">
        <v>20000</v>
      </c>
      <c r="G4" s="235">
        <v>2</v>
      </c>
      <c r="H4" s="232"/>
      <c r="I4" s="232"/>
      <c r="J4" s="232"/>
      <c r="K4" s="232"/>
      <c r="L4" s="232"/>
      <c r="M4" s="232"/>
    </row>
    <row r="5" ht="16.05" customHeight="1" spans="1:13">
      <c r="A5" s="231" t="s">
        <v>14</v>
      </c>
      <c r="B5" s="236">
        <v>0</v>
      </c>
      <c r="C5" s="231" t="s">
        <v>15</v>
      </c>
      <c r="D5" s="232"/>
      <c r="E5" s="234" t="s">
        <v>16</v>
      </c>
      <c r="F5" s="235">
        <v>20000</v>
      </c>
      <c r="G5" s="235">
        <v>2</v>
      </c>
      <c r="H5" s="232"/>
      <c r="I5" s="232"/>
      <c r="J5" s="232"/>
      <c r="K5" s="232"/>
      <c r="L5" s="232"/>
      <c r="M5" s="232"/>
    </row>
    <row r="6" ht="16.05" customHeight="1" spans="1:13">
      <c r="A6" s="207" t="s">
        <v>17</v>
      </c>
      <c r="B6" s="236">
        <v>0.17</v>
      </c>
      <c r="C6" s="231" t="s">
        <v>18</v>
      </c>
      <c r="D6" s="232"/>
      <c r="E6" s="234" t="s">
        <v>19</v>
      </c>
      <c r="F6" s="235">
        <v>20000</v>
      </c>
      <c r="G6" s="235">
        <v>2</v>
      </c>
      <c r="H6" s="232"/>
      <c r="I6" s="232"/>
      <c r="J6" s="232"/>
      <c r="K6" s="232"/>
      <c r="L6" s="232"/>
      <c r="M6" s="232"/>
    </row>
    <row r="7" ht="16.05" customHeight="1" spans="1:13">
      <c r="A7" s="207" t="s">
        <v>20</v>
      </c>
      <c r="B7" s="236">
        <v>0.07</v>
      </c>
      <c r="C7" s="231" t="s">
        <v>21</v>
      </c>
      <c r="D7" s="232"/>
      <c r="E7" s="234" t="s">
        <v>22</v>
      </c>
      <c r="F7" s="235">
        <v>20000</v>
      </c>
      <c r="G7" s="237">
        <v>3</v>
      </c>
      <c r="H7" s="232"/>
      <c r="I7" s="232"/>
      <c r="J7" s="232"/>
      <c r="K7" s="232"/>
      <c r="L7" s="232"/>
      <c r="M7" s="232"/>
    </row>
    <row r="8" ht="16.05" customHeight="1" spans="1:13">
      <c r="A8" s="207" t="s">
        <v>23</v>
      </c>
      <c r="B8" s="236">
        <v>0.03</v>
      </c>
      <c r="C8" s="231" t="s">
        <v>24</v>
      </c>
      <c r="D8" s="232"/>
      <c r="E8" s="234" t="s">
        <v>25</v>
      </c>
      <c r="F8" s="235">
        <v>20000</v>
      </c>
      <c r="G8" s="237">
        <v>3</v>
      </c>
      <c r="H8" s="232"/>
      <c r="I8" s="232"/>
      <c r="J8" s="232"/>
      <c r="K8" s="232"/>
      <c r="L8" s="232"/>
      <c r="M8" s="232"/>
    </row>
    <row r="9" ht="16.05" customHeight="1" spans="1:13">
      <c r="A9" s="207" t="s">
        <v>26</v>
      </c>
      <c r="B9" s="236">
        <v>0.02</v>
      </c>
      <c r="C9" s="231" t="s">
        <v>27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</row>
    <row r="10" ht="16.05" customHeight="1" spans="1:13">
      <c r="A10" s="207" t="s">
        <v>28</v>
      </c>
      <c r="B10" s="238">
        <v>1000</v>
      </c>
      <c r="C10" s="231" t="s">
        <v>29</v>
      </c>
      <c r="D10" s="232"/>
      <c r="E10" s="239" t="s">
        <v>30</v>
      </c>
      <c r="F10" s="207" t="s">
        <v>31</v>
      </c>
      <c r="G10" s="240" t="s">
        <v>32</v>
      </c>
      <c r="H10" s="240" t="s">
        <v>33</v>
      </c>
      <c r="I10" s="293" t="s">
        <v>34</v>
      </c>
      <c r="J10" s="293" t="s">
        <v>35</v>
      </c>
      <c r="K10" s="240" t="s">
        <v>36</v>
      </c>
      <c r="L10" s="294" t="s">
        <v>37</v>
      </c>
      <c r="M10" s="232"/>
    </row>
    <row r="11" ht="16.05" customHeight="1" spans="1:13">
      <c r="A11" s="207" t="s">
        <v>38</v>
      </c>
      <c r="B11" s="233">
        <v>10000</v>
      </c>
      <c r="C11" s="231" t="s">
        <v>39</v>
      </c>
      <c r="D11" s="232"/>
      <c r="E11" s="241" t="s">
        <v>40</v>
      </c>
      <c r="F11" s="242">
        <v>1000</v>
      </c>
      <c r="G11" s="243">
        <v>10</v>
      </c>
      <c r="H11" s="243">
        <v>15</v>
      </c>
      <c r="I11" s="207">
        <v>60</v>
      </c>
      <c r="J11" s="243">
        <v>10</v>
      </c>
      <c r="K11" s="243">
        <v>5</v>
      </c>
      <c r="L11" s="295">
        <f>SUM(G11:K11)</f>
        <v>100</v>
      </c>
      <c r="M11" s="232"/>
    </row>
    <row r="12" ht="16.05" customHeight="1" spans="1:13">
      <c r="A12" s="207" t="s">
        <v>41</v>
      </c>
      <c r="B12" s="236">
        <v>0.2</v>
      </c>
      <c r="C12" s="231" t="s">
        <v>42</v>
      </c>
      <c r="D12" s="232"/>
      <c r="E12" s="244" t="s">
        <v>43</v>
      </c>
      <c r="F12" s="242">
        <v>800</v>
      </c>
      <c r="G12" s="243">
        <v>15</v>
      </c>
      <c r="H12" s="207">
        <v>25</v>
      </c>
      <c r="I12" s="243">
        <v>50</v>
      </c>
      <c r="J12" s="243">
        <v>5</v>
      </c>
      <c r="K12" s="243">
        <v>5</v>
      </c>
      <c r="L12" s="296">
        <f>SUM(G12:K12)</f>
        <v>100</v>
      </c>
      <c r="M12" s="232"/>
    </row>
    <row r="13" ht="16.05" customHeight="1" spans="1:13">
      <c r="A13" s="207" t="s">
        <v>44</v>
      </c>
      <c r="B13" s="236">
        <v>0.02</v>
      </c>
      <c r="C13" s="231" t="s">
        <v>45</v>
      </c>
      <c r="D13" s="232"/>
      <c r="E13" s="245" t="s">
        <v>46</v>
      </c>
      <c r="F13" s="242">
        <v>600</v>
      </c>
      <c r="G13" s="243">
        <v>25</v>
      </c>
      <c r="H13" s="243">
        <v>15</v>
      </c>
      <c r="I13" s="243">
        <v>40</v>
      </c>
      <c r="J13" s="243">
        <v>5</v>
      </c>
      <c r="K13" s="243">
        <v>15</v>
      </c>
      <c r="L13" s="297">
        <f>SUM(G13:K13)</f>
        <v>100</v>
      </c>
      <c r="M13" s="232"/>
    </row>
    <row r="14" ht="16.05" customHeight="1" spans="1:13">
      <c r="A14" s="207" t="s">
        <v>47</v>
      </c>
      <c r="B14" s="236">
        <v>0.005</v>
      </c>
      <c r="C14" s="231" t="s">
        <v>48</v>
      </c>
      <c r="D14" s="232"/>
      <c r="E14" s="246" t="s">
        <v>49</v>
      </c>
      <c r="F14" s="247">
        <v>400</v>
      </c>
      <c r="G14" s="207">
        <v>50</v>
      </c>
      <c r="H14" s="248">
        <v>5</v>
      </c>
      <c r="I14" s="248">
        <v>30</v>
      </c>
      <c r="J14" s="248">
        <v>10</v>
      </c>
      <c r="K14" s="243">
        <v>5</v>
      </c>
      <c r="L14" s="298">
        <f>SUM(G14:K14)</f>
        <v>100</v>
      </c>
      <c r="M14" s="232"/>
    </row>
    <row r="15" ht="16.05" customHeight="1" spans="1:13">
      <c r="A15" s="207" t="s">
        <v>50</v>
      </c>
      <c r="B15" s="236">
        <v>0.006</v>
      </c>
      <c r="C15" s="231" t="s">
        <v>51</v>
      </c>
      <c r="D15" s="232"/>
      <c r="E15" s="232"/>
      <c r="F15" s="232"/>
      <c r="G15" s="232"/>
      <c r="H15" s="232"/>
      <c r="I15" s="232"/>
      <c r="J15" s="232"/>
      <c r="K15" s="232"/>
      <c r="L15" s="232"/>
      <c r="M15" s="232"/>
    </row>
    <row r="16" ht="16.05" customHeight="1" spans="1:13">
      <c r="A16" s="207" t="s">
        <v>52</v>
      </c>
      <c r="B16" s="236">
        <v>0.115</v>
      </c>
      <c r="C16" s="231" t="s">
        <v>53</v>
      </c>
      <c r="D16" s="232"/>
      <c r="E16" s="207" t="s">
        <v>54</v>
      </c>
      <c r="F16" s="249" t="s">
        <v>55</v>
      </c>
      <c r="G16" s="249" t="s">
        <v>56</v>
      </c>
      <c r="H16" s="249" t="s">
        <v>57</v>
      </c>
      <c r="I16" s="249" t="s">
        <v>58</v>
      </c>
      <c r="J16" s="249" t="s">
        <v>59</v>
      </c>
      <c r="K16" s="249" t="s">
        <v>60</v>
      </c>
      <c r="L16" s="299" t="s">
        <v>61</v>
      </c>
      <c r="M16" s="232"/>
    </row>
    <row r="17" ht="16.05" customHeight="1" spans="1:13">
      <c r="A17" s="207" t="s">
        <v>62</v>
      </c>
      <c r="B17" s="233">
        <v>2000</v>
      </c>
      <c r="C17" s="231" t="s">
        <v>63</v>
      </c>
      <c r="D17" s="232"/>
      <c r="E17" s="250" t="s">
        <v>64</v>
      </c>
      <c r="F17" s="251">
        <v>500</v>
      </c>
      <c r="G17" s="251">
        <v>100</v>
      </c>
      <c r="H17" s="252">
        <v>500</v>
      </c>
      <c r="I17" s="252">
        <v>0.05</v>
      </c>
      <c r="J17" s="276">
        <v>4000</v>
      </c>
      <c r="K17" s="251">
        <v>1</v>
      </c>
      <c r="L17" s="300">
        <v>4000</v>
      </c>
      <c r="M17" s="232"/>
    </row>
    <row r="18" ht="16.05" customHeight="1" spans="1:13">
      <c r="A18" s="207" t="s">
        <v>65</v>
      </c>
      <c r="B18" s="236">
        <v>0.05</v>
      </c>
      <c r="C18" s="231" t="s">
        <v>66</v>
      </c>
      <c r="D18" s="232"/>
      <c r="E18" s="253" t="s">
        <v>67</v>
      </c>
      <c r="F18" s="254">
        <v>300</v>
      </c>
      <c r="G18" s="254">
        <v>90</v>
      </c>
      <c r="H18" s="255">
        <v>300</v>
      </c>
      <c r="I18" s="255">
        <v>0.03</v>
      </c>
      <c r="J18" s="278">
        <v>3600</v>
      </c>
      <c r="K18" s="254">
        <v>1</v>
      </c>
      <c r="L18" s="300">
        <v>2000</v>
      </c>
      <c r="M18" s="232"/>
    </row>
    <row r="19" ht="16.05" customHeight="1" spans="1:13">
      <c r="A19" s="231" t="s">
        <v>68</v>
      </c>
      <c r="B19" s="256">
        <v>3</v>
      </c>
      <c r="C19" s="207" t="s">
        <v>69</v>
      </c>
      <c r="D19" s="232"/>
      <c r="E19" s="232"/>
      <c r="F19" s="232"/>
      <c r="G19" s="232"/>
      <c r="H19" s="232"/>
      <c r="I19" s="232"/>
      <c r="J19" s="232"/>
      <c r="K19" s="232"/>
      <c r="L19" s="232"/>
      <c r="M19" s="232"/>
    </row>
    <row r="20" ht="16.05" customHeight="1" spans="1:13">
      <c r="A20" s="207" t="s">
        <v>70</v>
      </c>
      <c r="B20" s="236">
        <v>0.2</v>
      </c>
      <c r="C20" s="231" t="s">
        <v>71</v>
      </c>
      <c r="D20" s="232"/>
      <c r="E20" s="257" t="s">
        <v>72</v>
      </c>
      <c r="F20" s="258"/>
      <c r="G20" s="258"/>
      <c r="H20" s="258"/>
      <c r="I20" s="258"/>
      <c r="J20" s="258"/>
      <c r="K20" s="287"/>
      <c r="L20" s="232"/>
      <c r="M20" s="232"/>
    </row>
    <row r="21" ht="16.05" customHeight="1" spans="1:13">
      <c r="A21" s="231" t="s">
        <v>73</v>
      </c>
      <c r="B21" s="256">
        <v>3</v>
      </c>
      <c r="C21" s="207" t="s">
        <v>74</v>
      </c>
      <c r="D21" s="232"/>
      <c r="E21" s="259" t="s">
        <v>75</v>
      </c>
      <c r="F21" s="260"/>
      <c r="G21" s="261" t="s">
        <v>76</v>
      </c>
      <c r="H21" s="260"/>
      <c r="I21" s="261" t="s">
        <v>77</v>
      </c>
      <c r="J21" s="301"/>
      <c r="K21" s="287"/>
      <c r="L21" s="232"/>
      <c r="M21" s="232"/>
    </row>
    <row r="22" ht="16.05" customHeight="1" spans="1:13">
      <c r="A22" s="231" t="s">
        <v>78</v>
      </c>
      <c r="B22" s="233">
        <v>200000</v>
      </c>
      <c r="C22" s="231" t="s">
        <v>79</v>
      </c>
      <c r="D22" s="232"/>
      <c r="E22" s="262" t="s">
        <v>80</v>
      </c>
      <c r="F22" s="251">
        <v>6</v>
      </c>
      <c r="G22" s="252" t="s">
        <v>80</v>
      </c>
      <c r="H22" s="251">
        <v>4</v>
      </c>
      <c r="I22" s="252" t="s">
        <v>80</v>
      </c>
      <c r="J22" s="276">
        <v>2</v>
      </c>
      <c r="K22" s="287"/>
      <c r="L22" s="232"/>
      <c r="M22" s="232"/>
    </row>
    <row r="23" ht="16.05" customHeight="1" spans="1:13">
      <c r="A23" s="231" t="s">
        <v>81</v>
      </c>
      <c r="B23" s="236">
        <v>0.03</v>
      </c>
      <c r="C23" s="231" t="s">
        <v>82</v>
      </c>
      <c r="D23" s="232"/>
      <c r="E23" s="262" t="s">
        <v>83</v>
      </c>
      <c r="F23" s="263">
        <v>120000</v>
      </c>
      <c r="G23" s="252" t="s">
        <v>83</v>
      </c>
      <c r="H23" s="263">
        <v>80000</v>
      </c>
      <c r="I23" s="252" t="s">
        <v>83</v>
      </c>
      <c r="J23" s="302">
        <v>50000</v>
      </c>
      <c r="K23" s="287"/>
      <c r="L23" s="232"/>
      <c r="M23" s="232"/>
    </row>
    <row r="24" ht="16.05" customHeight="1" spans="1:13">
      <c r="A24" s="231" t="s">
        <v>84</v>
      </c>
      <c r="B24" s="236">
        <v>0.06</v>
      </c>
      <c r="C24" s="231" t="s">
        <v>85</v>
      </c>
      <c r="D24" s="232"/>
      <c r="E24" s="264" t="s">
        <v>86</v>
      </c>
      <c r="F24" s="263">
        <v>11000</v>
      </c>
      <c r="G24" s="252" t="s">
        <v>86</v>
      </c>
      <c r="H24" s="263">
        <v>8000</v>
      </c>
      <c r="I24" s="252" t="s">
        <v>86</v>
      </c>
      <c r="J24" s="302">
        <v>5000</v>
      </c>
      <c r="K24" s="287"/>
      <c r="L24" s="232"/>
      <c r="M24" s="232"/>
    </row>
    <row r="25" ht="16.05" customHeight="1" spans="1:13">
      <c r="A25" s="231" t="s">
        <v>87</v>
      </c>
      <c r="B25" s="236">
        <v>0.08</v>
      </c>
      <c r="C25" s="231" t="s">
        <v>88</v>
      </c>
      <c r="D25" s="232"/>
      <c r="E25" s="265" t="s">
        <v>89</v>
      </c>
      <c r="F25" s="266">
        <v>0.02</v>
      </c>
      <c r="G25" s="255" t="s">
        <v>89</v>
      </c>
      <c r="H25" s="266">
        <v>0.02</v>
      </c>
      <c r="I25" s="255" t="s">
        <v>89</v>
      </c>
      <c r="J25" s="303">
        <v>0.02</v>
      </c>
      <c r="K25" s="287"/>
      <c r="L25" s="232"/>
      <c r="M25" s="232"/>
    </row>
    <row r="26" ht="16.05" customHeight="1" spans="1:13">
      <c r="A26" s="231" t="s">
        <v>90</v>
      </c>
      <c r="B26" s="236">
        <v>0.1</v>
      </c>
      <c r="C26" s="231" t="s">
        <v>91</v>
      </c>
      <c r="D26" s="232"/>
      <c r="E26" s="232"/>
      <c r="F26" s="232"/>
      <c r="G26" s="232"/>
      <c r="H26" s="232"/>
      <c r="I26" s="232"/>
      <c r="J26" s="232"/>
      <c r="K26" s="232"/>
      <c r="L26" s="232"/>
      <c r="M26" s="232"/>
    </row>
    <row r="27" ht="16.05" customHeight="1" spans="1:13">
      <c r="A27" s="207" t="s">
        <v>92</v>
      </c>
      <c r="B27" s="256" t="s">
        <v>93</v>
      </c>
      <c r="C27" s="231" t="s">
        <v>94</v>
      </c>
      <c r="D27" s="232"/>
      <c r="E27" s="267" t="s">
        <v>95</v>
      </c>
      <c r="F27" s="268"/>
      <c r="G27" s="268"/>
      <c r="H27" s="268"/>
      <c r="I27" s="287"/>
      <c r="J27" s="232"/>
      <c r="K27" s="232"/>
      <c r="L27" s="232"/>
      <c r="M27" s="232"/>
    </row>
    <row r="28" ht="16.05" customHeight="1" spans="1:13">
      <c r="A28" s="231" t="s">
        <v>96</v>
      </c>
      <c r="B28" s="236">
        <v>0.02</v>
      </c>
      <c r="C28" s="231" t="s">
        <v>97</v>
      </c>
      <c r="D28" s="232"/>
      <c r="E28" s="269"/>
      <c r="F28" s="270" t="s">
        <v>98</v>
      </c>
      <c r="G28" s="270" t="s">
        <v>99</v>
      </c>
      <c r="H28" s="270" t="s">
        <v>100</v>
      </c>
      <c r="I28" s="304" t="s">
        <v>101</v>
      </c>
      <c r="J28" s="232"/>
      <c r="K28" s="232"/>
      <c r="L28" s="232"/>
      <c r="M28" s="232"/>
    </row>
    <row r="29" ht="16.05" customHeight="1" spans="1:13">
      <c r="A29" s="231" t="s">
        <v>102</v>
      </c>
      <c r="B29" s="236">
        <v>0.05</v>
      </c>
      <c r="C29" s="231" t="s">
        <v>103</v>
      </c>
      <c r="D29" s="232"/>
      <c r="E29" s="271" t="s">
        <v>104</v>
      </c>
      <c r="F29" s="263">
        <v>120000</v>
      </c>
      <c r="G29" s="263">
        <v>100000</v>
      </c>
      <c r="H29" s="263">
        <v>70000</v>
      </c>
      <c r="I29" s="302">
        <v>50000</v>
      </c>
      <c r="J29" s="232"/>
      <c r="K29" s="232"/>
      <c r="L29" s="232"/>
      <c r="M29" s="232"/>
    </row>
    <row r="30" ht="16.05" customHeight="1" spans="1:13">
      <c r="A30" s="231" t="s">
        <v>105</v>
      </c>
      <c r="B30" s="236">
        <v>0.3</v>
      </c>
      <c r="C30" s="231" t="s">
        <v>106</v>
      </c>
      <c r="D30" s="232"/>
      <c r="E30" s="271" t="s">
        <v>107</v>
      </c>
      <c r="F30" s="272">
        <v>0.9</v>
      </c>
      <c r="G30" s="272">
        <v>0.85</v>
      </c>
      <c r="H30" s="272">
        <v>0.8</v>
      </c>
      <c r="I30" s="305">
        <v>0.75</v>
      </c>
      <c r="J30" s="232"/>
      <c r="K30" s="232"/>
      <c r="L30" s="232"/>
      <c r="M30" s="232"/>
    </row>
    <row r="31" ht="16.05" customHeight="1" spans="1:13">
      <c r="A31" s="231" t="s">
        <v>108</v>
      </c>
      <c r="B31" s="233">
        <v>30000</v>
      </c>
      <c r="C31" s="231" t="s">
        <v>109</v>
      </c>
      <c r="D31" s="232"/>
      <c r="E31" s="271" t="s">
        <v>110</v>
      </c>
      <c r="F31" s="251">
        <v>1</v>
      </c>
      <c r="G31" s="251">
        <v>1</v>
      </c>
      <c r="H31" s="251">
        <v>1</v>
      </c>
      <c r="I31" s="276">
        <v>0</v>
      </c>
      <c r="J31" s="232"/>
      <c r="K31" s="232"/>
      <c r="L31" s="232"/>
      <c r="M31" s="232"/>
    </row>
    <row r="32" ht="16.05" customHeight="1" spans="1:13">
      <c r="A32" s="231" t="s">
        <v>111</v>
      </c>
      <c r="B32" s="233">
        <v>20000</v>
      </c>
      <c r="C32" s="231" t="s">
        <v>112</v>
      </c>
      <c r="D32" s="232"/>
      <c r="E32" s="262" t="s">
        <v>113</v>
      </c>
      <c r="F32" s="251">
        <v>10</v>
      </c>
      <c r="G32" s="251">
        <v>20</v>
      </c>
      <c r="H32" s="251">
        <v>25</v>
      </c>
      <c r="I32" s="276">
        <v>30</v>
      </c>
      <c r="J32" s="232"/>
      <c r="K32" s="232"/>
      <c r="L32" s="232"/>
      <c r="M32" s="232"/>
    </row>
    <row r="33" ht="16.05" customHeight="1" spans="1:13">
      <c r="A33" s="207" t="s">
        <v>114</v>
      </c>
      <c r="B33" s="256">
        <v>3</v>
      </c>
      <c r="C33" s="231" t="s">
        <v>115</v>
      </c>
      <c r="D33" s="232"/>
      <c r="E33" s="262" t="s">
        <v>116</v>
      </c>
      <c r="F33" s="263">
        <v>3000</v>
      </c>
      <c r="G33" s="263">
        <v>2500</v>
      </c>
      <c r="H33" s="263">
        <v>2000</v>
      </c>
      <c r="I33" s="302">
        <v>1500</v>
      </c>
      <c r="J33" s="232"/>
      <c r="K33" s="232"/>
      <c r="L33" s="232"/>
      <c r="M33" s="232"/>
    </row>
    <row r="34" ht="16.05" customHeight="1" spans="1:13">
      <c r="A34" s="231" t="s">
        <v>117</v>
      </c>
      <c r="B34" s="256">
        <v>5</v>
      </c>
      <c r="C34" s="231" t="s">
        <v>118</v>
      </c>
      <c r="D34" s="232"/>
      <c r="E34" s="262" t="s">
        <v>119</v>
      </c>
      <c r="F34" s="273">
        <v>1</v>
      </c>
      <c r="G34" s="273">
        <v>1</v>
      </c>
      <c r="H34" s="273">
        <v>1</v>
      </c>
      <c r="I34" s="306">
        <v>1</v>
      </c>
      <c r="J34" s="232"/>
      <c r="K34" s="232"/>
      <c r="L34" s="232"/>
      <c r="M34" s="232"/>
    </row>
    <row r="35" ht="16.05" customHeight="1" spans="1:13">
      <c r="A35" s="207" t="s">
        <v>120</v>
      </c>
      <c r="B35" s="233">
        <v>1000</v>
      </c>
      <c r="C35" s="231" t="s">
        <v>121</v>
      </c>
      <c r="D35" s="232"/>
      <c r="E35" s="262" t="s">
        <v>122</v>
      </c>
      <c r="F35" s="273">
        <v>1</v>
      </c>
      <c r="G35" s="273">
        <v>1</v>
      </c>
      <c r="H35" s="273">
        <v>0</v>
      </c>
      <c r="I35" s="306">
        <v>0</v>
      </c>
      <c r="J35" s="232"/>
      <c r="K35" s="232"/>
      <c r="L35" s="232"/>
      <c r="M35" s="232"/>
    </row>
    <row r="36" ht="13.8" spans="1:13">
      <c r="A36" s="231" t="s">
        <v>123</v>
      </c>
      <c r="B36" s="236">
        <v>0.6</v>
      </c>
      <c r="C36" s="231" t="s">
        <v>124</v>
      </c>
      <c r="D36" s="232"/>
      <c r="E36" s="262" t="s">
        <v>125</v>
      </c>
      <c r="F36" s="251">
        <v>500</v>
      </c>
      <c r="G36" s="251">
        <v>400</v>
      </c>
      <c r="H36" s="251">
        <v>300</v>
      </c>
      <c r="I36" s="276">
        <v>200</v>
      </c>
      <c r="J36" s="232"/>
      <c r="K36" s="232"/>
      <c r="L36" s="232"/>
      <c r="M36" s="232"/>
    </row>
    <row r="37" ht="13.8" spans="1:13">
      <c r="A37" s="232"/>
      <c r="B37" s="232"/>
      <c r="C37" s="232"/>
      <c r="D37" s="232"/>
      <c r="E37" s="262" t="s">
        <v>126</v>
      </c>
      <c r="F37" s="251" t="s">
        <v>127</v>
      </c>
      <c r="G37" s="251" t="s">
        <v>127</v>
      </c>
      <c r="H37" s="251" t="s">
        <v>128</v>
      </c>
      <c r="I37" s="276" t="s">
        <v>128</v>
      </c>
      <c r="J37" s="232"/>
      <c r="K37" s="232"/>
      <c r="L37" s="232"/>
      <c r="M37" s="232"/>
    </row>
    <row r="38" ht="13.8" spans="1:13">
      <c r="A38" s="232"/>
      <c r="B38" s="232"/>
      <c r="C38" s="232"/>
      <c r="D38" s="232"/>
      <c r="E38" s="262" t="s">
        <v>129</v>
      </c>
      <c r="F38" s="273">
        <v>0</v>
      </c>
      <c r="G38" s="273">
        <v>0</v>
      </c>
      <c r="H38" s="273">
        <v>0</v>
      </c>
      <c r="I38" s="306">
        <v>0</v>
      </c>
      <c r="J38" s="232"/>
      <c r="K38" s="232"/>
      <c r="L38" s="232"/>
      <c r="M38" s="232"/>
    </row>
    <row r="39" ht="13.8" spans="1:13">
      <c r="A39" s="207" t="s">
        <v>130</v>
      </c>
      <c r="B39" s="207" t="s">
        <v>131</v>
      </c>
      <c r="C39" s="207" t="s">
        <v>132</v>
      </c>
      <c r="D39" s="232"/>
      <c r="E39" s="274" t="s">
        <v>133</v>
      </c>
      <c r="F39" s="275">
        <v>5</v>
      </c>
      <c r="G39" s="275">
        <v>4</v>
      </c>
      <c r="H39" s="275">
        <v>3</v>
      </c>
      <c r="I39" s="307">
        <v>2</v>
      </c>
      <c r="J39" s="232"/>
      <c r="K39" s="232"/>
      <c r="L39" s="232"/>
      <c r="M39" s="232"/>
    </row>
    <row r="40" ht="13.8" spans="1:13">
      <c r="A40" s="262" t="s">
        <v>134</v>
      </c>
      <c r="B40" s="252">
        <v>2</v>
      </c>
      <c r="C40" s="276">
        <v>30000</v>
      </c>
      <c r="D40" s="232"/>
      <c r="E40" s="262" t="s">
        <v>135</v>
      </c>
      <c r="F40" s="277">
        <v>1000</v>
      </c>
      <c r="G40" s="277">
        <v>1000</v>
      </c>
      <c r="H40" s="277">
        <v>1000</v>
      </c>
      <c r="I40" s="308">
        <v>1000</v>
      </c>
      <c r="J40" s="232"/>
      <c r="K40" s="232"/>
      <c r="L40" s="232"/>
      <c r="M40" s="232"/>
    </row>
    <row r="41" ht="14.55" spans="1:13">
      <c r="A41" s="265" t="s">
        <v>136</v>
      </c>
      <c r="B41" s="255">
        <v>3</v>
      </c>
      <c r="C41" s="278">
        <v>30000</v>
      </c>
      <c r="D41" s="232"/>
      <c r="E41" s="262" t="s">
        <v>137</v>
      </c>
      <c r="F41" s="279">
        <v>0.01</v>
      </c>
      <c r="G41" s="279">
        <v>0.02</v>
      </c>
      <c r="H41" s="279">
        <v>0.03</v>
      </c>
      <c r="I41" s="309">
        <v>0.04</v>
      </c>
      <c r="J41" s="232"/>
      <c r="K41" s="232"/>
      <c r="L41" s="232"/>
      <c r="M41" s="232"/>
    </row>
    <row r="42" ht="13.8" spans="1:13">
      <c r="A42" s="232"/>
      <c r="B42" s="232"/>
      <c r="C42" s="232"/>
      <c r="D42" s="232"/>
      <c r="E42" s="262" t="s">
        <v>138</v>
      </c>
      <c r="F42" s="277">
        <v>4000</v>
      </c>
      <c r="G42" s="277">
        <v>3000</v>
      </c>
      <c r="H42" s="277">
        <v>2000</v>
      </c>
      <c r="I42" s="308">
        <v>1000</v>
      </c>
      <c r="J42" s="232"/>
      <c r="K42" s="232"/>
      <c r="L42" s="232"/>
      <c r="M42" s="232"/>
    </row>
    <row r="43" ht="14.55" spans="1:13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</row>
    <row r="44" ht="15.6" spans="1:16">
      <c r="A44" s="207" t="s">
        <v>139</v>
      </c>
      <c r="B44" s="280" t="s">
        <v>140</v>
      </c>
      <c r="C44" s="280" t="s">
        <v>141</v>
      </c>
      <c r="D44" s="280" t="s">
        <v>142</v>
      </c>
      <c r="E44" s="280" t="s">
        <v>143</v>
      </c>
      <c r="F44" s="280" t="s">
        <v>144</v>
      </c>
      <c r="G44" s="280" t="s">
        <v>145</v>
      </c>
      <c r="H44" s="281" t="s">
        <v>146</v>
      </c>
      <c r="I44" s="290" t="s">
        <v>147</v>
      </c>
      <c r="J44" s="310" t="s">
        <v>148</v>
      </c>
      <c r="M44" s="232"/>
      <c r="N44" s="287"/>
      <c r="O44" s="287"/>
      <c r="P44" s="288" t="s">
        <v>149</v>
      </c>
    </row>
    <row r="45" ht="15.6" spans="1:16">
      <c r="A45" s="282" t="s">
        <v>150</v>
      </c>
      <c r="B45" s="237">
        <v>40</v>
      </c>
      <c r="C45" s="237">
        <v>42</v>
      </c>
      <c r="D45" s="237">
        <v>38</v>
      </c>
      <c r="E45" s="237">
        <v>36</v>
      </c>
      <c r="F45" s="237">
        <v>38</v>
      </c>
      <c r="G45" s="237">
        <v>42</v>
      </c>
      <c r="H45" s="237">
        <v>0</v>
      </c>
      <c r="I45" s="237">
        <v>1</v>
      </c>
      <c r="J45" s="311">
        <v>0.1</v>
      </c>
      <c r="M45" s="232"/>
      <c r="N45" s="289" t="s">
        <v>151</v>
      </c>
      <c r="O45" s="290" t="s">
        <v>152</v>
      </c>
      <c r="P45" s="291">
        <v>1.5</v>
      </c>
    </row>
    <row r="46" ht="13.8" spans="1:16">
      <c r="A46" s="282" t="s">
        <v>153</v>
      </c>
      <c r="B46" s="237">
        <v>80</v>
      </c>
      <c r="C46" s="237">
        <v>82</v>
      </c>
      <c r="D46" s="237">
        <v>75</v>
      </c>
      <c r="E46" s="237">
        <v>78</v>
      </c>
      <c r="F46" s="237">
        <v>80</v>
      </c>
      <c r="G46" s="237">
        <v>83</v>
      </c>
      <c r="H46" s="237">
        <v>0</v>
      </c>
      <c r="I46" s="237">
        <v>1</v>
      </c>
      <c r="J46" s="311">
        <v>0.2</v>
      </c>
      <c r="M46" s="232"/>
      <c r="N46" s="235">
        <v>0</v>
      </c>
      <c r="O46" s="235">
        <v>200</v>
      </c>
      <c r="P46" s="292">
        <v>1</v>
      </c>
    </row>
    <row r="47" ht="13.8" spans="1:16">
      <c r="A47" s="282" t="s">
        <v>154</v>
      </c>
      <c r="B47" s="237">
        <v>110</v>
      </c>
      <c r="C47" s="237">
        <v>108</v>
      </c>
      <c r="D47" s="237">
        <v>106</v>
      </c>
      <c r="E47" s="237">
        <v>112</v>
      </c>
      <c r="F47" s="237">
        <v>114</v>
      </c>
      <c r="G47" s="237">
        <v>116</v>
      </c>
      <c r="H47" s="237">
        <v>1</v>
      </c>
      <c r="I47" s="237">
        <v>1</v>
      </c>
      <c r="J47" s="311">
        <v>0.3</v>
      </c>
      <c r="M47" s="232"/>
      <c r="N47" s="235">
        <v>201</v>
      </c>
      <c r="O47" s="235">
        <v>500</v>
      </c>
      <c r="P47" s="292">
        <v>0.95</v>
      </c>
    </row>
    <row r="48" ht="13.8" spans="1:16">
      <c r="A48" s="283" t="s">
        <v>155</v>
      </c>
      <c r="B48" s="237">
        <v>10</v>
      </c>
      <c r="C48" s="237">
        <v>13</v>
      </c>
      <c r="D48" s="237">
        <v>14</v>
      </c>
      <c r="E48" s="237">
        <v>12</v>
      </c>
      <c r="F48" s="237">
        <v>9</v>
      </c>
      <c r="G48" s="237">
        <v>8</v>
      </c>
      <c r="H48" s="237">
        <v>0</v>
      </c>
      <c r="I48" s="237">
        <v>0</v>
      </c>
      <c r="J48" s="311">
        <v>0.1</v>
      </c>
      <c r="M48" s="232"/>
      <c r="N48" s="235">
        <v>501</v>
      </c>
      <c r="O48" s="235">
        <v>1000</v>
      </c>
      <c r="P48" s="292">
        <v>0.9</v>
      </c>
    </row>
    <row r="49" ht="13.8" spans="1:16">
      <c r="A49" s="283" t="s">
        <v>156</v>
      </c>
      <c r="B49" s="237">
        <v>20</v>
      </c>
      <c r="C49" s="237">
        <v>18</v>
      </c>
      <c r="D49" s="237">
        <v>22</v>
      </c>
      <c r="E49" s="237">
        <v>25</v>
      </c>
      <c r="F49" s="237">
        <v>20</v>
      </c>
      <c r="G49" s="237">
        <v>17</v>
      </c>
      <c r="H49" s="237">
        <v>0</v>
      </c>
      <c r="I49" s="237">
        <v>1</v>
      </c>
      <c r="J49" s="311">
        <v>0.2</v>
      </c>
      <c r="M49" s="232"/>
      <c r="N49" s="235">
        <v>1001</v>
      </c>
      <c r="O49" s="235">
        <v>1500</v>
      </c>
      <c r="P49" s="292">
        <v>0.85</v>
      </c>
    </row>
    <row r="50" ht="13.8" spans="1:16">
      <c r="A50" s="283" t="s">
        <v>157</v>
      </c>
      <c r="B50" s="237">
        <v>35</v>
      </c>
      <c r="C50" s="237">
        <v>30</v>
      </c>
      <c r="D50" s="237">
        <v>32</v>
      </c>
      <c r="E50" s="237">
        <v>37</v>
      </c>
      <c r="F50" s="237">
        <v>39</v>
      </c>
      <c r="G50" s="237">
        <v>40</v>
      </c>
      <c r="H50" s="237">
        <v>0</v>
      </c>
      <c r="I50" s="237">
        <v>1</v>
      </c>
      <c r="J50" s="311">
        <v>0.3</v>
      </c>
      <c r="M50" s="232"/>
      <c r="N50" s="235">
        <v>1501</v>
      </c>
      <c r="O50" s="235">
        <v>2000</v>
      </c>
      <c r="P50" s="292">
        <v>0.8</v>
      </c>
    </row>
    <row r="51" ht="13.8" spans="1:16">
      <c r="A51" s="284" t="s">
        <v>158</v>
      </c>
      <c r="B51" s="237">
        <v>50</v>
      </c>
      <c r="C51" s="237">
        <v>51</v>
      </c>
      <c r="D51" s="237">
        <v>53</v>
      </c>
      <c r="E51" s="237">
        <v>50</v>
      </c>
      <c r="F51" s="237">
        <v>58</v>
      </c>
      <c r="G51" s="237">
        <v>58</v>
      </c>
      <c r="H51" s="237">
        <v>0</v>
      </c>
      <c r="I51" s="237">
        <v>0</v>
      </c>
      <c r="J51" s="311">
        <v>0.1</v>
      </c>
      <c r="M51" s="232"/>
      <c r="N51" s="235">
        <v>2001</v>
      </c>
      <c r="O51" s="235">
        <v>9999</v>
      </c>
      <c r="P51" s="292">
        <v>0.75</v>
      </c>
    </row>
    <row r="52" ht="13.8" spans="1:13">
      <c r="A52" s="284" t="s">
        <v>159</v>
      </c>
      <c r="B52" s="237">
        <v>80</v>
      </c>
      <c r="C52" s="237">
        <v>75</v>
      </c>
      <c r="D52" s="237">
        <v>73</v>
      </c>
      <c r="E52" s="237">
        <v>72</v>
      </c>
      <c r="F52" s="237">
        <v>75</v>
      </c>
      <c r="G52" s="237">
        <v>78</v>
      </c>
      <c r="H52" s="237">
        <v>0</v>
      </c>
      <c r="I52" s="237">
        <v>1</v>
      </c>
      <c r="J52" s="311">
        <v>0.15</v>
      </c>
      <c r="K52" s="232"/>
      <c r="L52" s="232"/>
      <c r="M52" s="232"/>
    </row>
    <row r="53" ht="13.8" spans="1:13">
      <c r="A53" s="284" t="s">
        <v>160</v>
      </c>
      <c r="B53" s="237">
        <v>110</v>
      </c>
      <c r="C53" s="237">
        <v>115</v>
      </c>
      <c r="D53" s="237">
        <v>115</v>
      </c>
      <c r="E53" s="237">
        <v>118</v>
      </c>
      <c r="F53" s="237">
        <v>120</v>
      </c>
      <c r="G53" s="237">
        <v>116</v>
      </c>
      <c r="H53" s="237">
        <v>0</v>
      </c>
      <c r="I53" s="237">
        <v>0</v>
      </c>
      <c r="J53" s="311">
        <v>0.2</v>
      </c>
      <c r="K53" s="232"/>
      <c r="L53" s="232"/>
      <c r="M53" s="232"/>
    </row>
    <row r="54" ht="13.8" spans="1:13">
      <c r="A54" s="284" t="s">
        <v>161</v>
      </c>
      <c r="B54" s="237">
        <v>160</v>
      </c>
      <c r="C54" s="237">
        <v>155</v>
      </c>
      <c r="D54" s="237">
        <v>150</v>
      </c>
      <c r="E54" s="237">
        <v>150</v>
      </c>
      <c r="F54" s="237">
        <v>145</v>
      </c>
      <c r="G54" s="237">
        <v>145</v>
      </c>
      <c r="H54" s="237">
        <v>0</v>
      </c>
      <c r="I54" s="237">
        <v>1</v>
      </c>
      <c r="J54" s="311">
        <v>0.3</v>
      </c>
      <c r="K54" s="232"/>
      <c r="L54" s="232"/>
      <c r="M54" s="232"/>
    </row>
    <row r="55" ht="13.8" spans="1:13">
      <c r="A55" s="285" t="s">
        <v>162</v>
      </c>
      <c r="B55" s="237">
        <v>50</v>
      </c>
      <c r="C55" s="237">
        <v>48</v>
      </c>
      <c r="D55" s="237">
        <v>46</v>
      </c>
      <c r="E55" s="237">
        <v>44</v>
      </c>
      <c r="F55" s="237">
        <v>47</v>
      </c>
      <c r="G55" s="237">
        <v>50</v>
      </c>
      <c r="H55" s="237">
        <v>1</v>
      </c>
      <c r="I55" s="237">
        <v>1</v>
      </c>
      <c r="J55" s="311">
        <v>0.1</v>
      </c>
      <c r="K55" s="232"/>
      <c r="L55" s="232"/>
      <c r="M55" s="232"/>
    </row>
    <row r="56" ht="13.8" spans="1:13">
      <c r="A56" s="285" t="s">
        <v>163</v>
      </c>
      <c r="B56" s="237">
        <v>50</v>
      </c>
      <c r="C56" s="237">
        <v>48</v>
      </c>
      <c r="D56" s="237">
        <v>50</v>
      </c>
      <c r="E56" s="237">
        <v>52</v>
      </c>
      <c r="F56" s="237">
        <v>50</v>
      </c>
      <c r="G56" s="237">
        <v>48</v>
      </c>
      <c r="H56" s="237">
        <v>1</v>
      </c>
      <c r="I56" s="237">
        <v>1</v>
      </c>
      <c r="J56" s="311">
        <v>0.1</v>
      </c>
      <c r="K56" s="232"/>
      <c r="L56" s="232"/>
      <c r="M56" s="232"/>
    </row>
    <row r="57" ht="13.8" spans="1:13">
      <c r="A57" s="285" t="s">
        <v>164</v>
      </c>
      <c r="B57" s="237">
        <v>80</v>
      </c>
      <c r="C57" s="237">
        <v>75</v>
      </c>
      <c r="D57" s="237">
        <v>78</v>
      </c>
      <c r="E57" s="237">
        <v>75</v>
      </c>
      <c r="F57" s="237">
        <v>74</v>
      </c>
      <c r="G57" s="237">
        <v>74</v>
      </c>
      <c r="H57" s="237">
        <v>1</v>
      </c>
      <c r="I57" s="237">
        <v>1</v>
      </c>
      <c r="J57" s="311">
        <v>0.2</v>
      </c>
      <c r="K57" s="232"/>
      <c r="L57" s="232"/>
      <c r="M57" s="232"/>
    </row>
    <row r="58" ht="13.8" spans="1:13">
      <c r="A58" s="285" t="s">
        <v>165</v>
      </c>
      <c r="B58" s="237">
        <v>90</v>
      </c>
      <c r="C58" s="237">
        <v>82</v>
      </c>
      <c r="D58" s="237">
        <v>83</v>
      </c>
      <c r="E58" s="237">
        <v>85</v>
      </c>
      <c r="F58" s="237">
        <v>87</v>
      </c>
      <c r="G58" s="237">
        <v>90</v>
      </c>
      <c r="H58" s="237">
        <v>1</v>
      </c>
      <c r="I58" s="237">
        <v>1</v>
      </c>
      <c r="J58" s="311">
        <v>0.3</v>
      </c>
      <c r="K58" s="232"/>
      <c r="L58" s="232"/>
      <c r="M58" s="232"/>
    </row>
    <row r="59" ht="13.8" spans="1:13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</row>
    <row r="60" ht="13.8" spans="1:13">
      <c r="A60" s="232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</row>
    <row r="61" ht="15.6" spans="1:13">
      <c r="A61" s="286" t="str">
        <f>A45</f>
        <v>高亮LED</v>
      </c>
      <c r="B61" s="287"/>
      <c r="C61" s="287"/>
      <c r="D61" s="288" t="s">
        <v>149</v>
      </c>
      <c r="E61" s="232"/>
      <c r="F61" s="232"/>
      <c r="G61" s="232"/>
      <c r="H61" s="232"/>
      <c r="I61" s="232"/>
      <c r="J61" s="232"/>
      <c r="K61" s="232"/>
      <c r="L61" s="232"/>
      <c r="M61" s="232"/>
    </row>
    <row r="62" ht="15.6" spans="1:13">
      <c r="A62" s="286"/>
      <c r="B62" s="289" t="s">
        <v>151</v>
      </c>
      <c r="C62" s="290" t="s">
        <v>152</v>
      </c>
      <c r="D62" s="291">
        <v>1.5</v>
      </c>
      <c r="E62" s="232"/>
      <c r="F62" s="232"/>
      <c r="G62" s="232"/>
      <c r="H62" s="232"/>
      <c r="I62" s="232"/>
      <c r="J62" s="232"/>
      <c r="K62" s="232"/>
      <c r="L62" s="232"/>
      <c r="M62" s="232"/>
    </row>
    <row r="63" ht="13.8" spans="1:13">
      <c r="A63" s="286"/>
      <c r="B63" s="235">
        <v>0</v>
      </c>
      <c r="C63" s="235">
        <v>200</v>
      </c>
      <c r="D63" s="292">
        <v>1</v>
      </c>
      <c r="E63" s="232"/>
      <c r="F63" s="232"/>
      <c r="G63" s="232"/>
      <c r="H63" s="232"/>
      <c r="I63" s="232"/>
      <c r="J63" s="232"/>
      <c r="K63" s="232"/>
      <c r="L63" s="232"/>
      <c r="M63" s="232"/>
    </row>
    <row r="64" ht="13.8" spans="1:13">
      <c r="A64" s="286"/>
      <c r="B64" s="235">
        <v>201</v>
      </c>
      <c r="C64" s="235">
        <v>500</v>
      </c>
      <c r="D64" s="292">
        <v>0.95</v>
      </c>
      <c r="E64" s="232"/>
      <c r="F64" s="232"/>
      <c r="G64" s="232"/>
      <c r="H64" s="232"/>
      <c r="I64" s="232"/>
      <c r="J64" s="232"/>
      <c r="K64" s="232"/>
      <c r="L64" s="232"/>
      <c r="M64" s="232"/>
    </row>
    <row r="65" ht="13.8" spans="1:13">
      <c r="A65" s="286"/>
      <c r="B65" s="235">
        <v>501</v>
      </c>
      <c r="C65" s="235">
        <v>1000</v>
      </c>
      <c r="D65" s="292">
        <v>0.9</v>
      </c>
      <c r="E65" s="232"/>
      <c r="F65" s="232"/>
      <c r="G65" s="232"/>
      <c r="H65" s="232"/>
      <c r="I65" s="232"/>
      <c r="J65" s="232"/>
      <c r="K65" s="232"/>
      <c r="L65" s="232"/>
      <c r="M65" s="232"/>
    </row>
    <row r="66" ht="13.8" spans="1:13">
      <c r="A66" s="286"/>
      <c r="B66" s="235">
        <v>1001</v>
      </c>
      <c r="C66" s="235">
        <v>1500</v>
      </c>
      <c r="D66" s="292">
        <v>0.85</v>
      </c>
      <c r="E66" s="232"/>
      <c r="F66" s="232"/>
      <c r="G66" s="232"/>
      <c r="H66" s="232"/>
      <c r="I66" s="232"/>
      <c r="J66" s="232"/>
      <c r="K66" s="232"/>
      <c r="L66" s="232"/>
      <c r="M66" s="232"/>
    </row>
    <row r="67" ht="13.8" spans="1:13">
      <c r="A67" s="286"/>
      <c r="B67" s="235">
        <v>1501</v>
      </c>
      <c r="C67" s="235">
        <v>2000</v>
      </c>
      <c r="D67" s="292">
        <v>0.8</v>
      </c>
      <c r="E67" s="232"/>
      <c r="F67" s="232"/>
      <c r="G67" s="232"/>
      <c r="H67" s="232"/>
      <c r="I67" s="232"/>
      <c r="J67" s="232"/>
      <c r="K67" s="232"/>
      <c r="L67" s="232"/>
      <c r="M67" s="232"/>
    </row>
    <row r="68" ht="13.8" spans="1:13">
      <c r="A68" s="286"/>
      <c r="B68" s="235">
        <v>2001</v>
      </c>
      <c r="C68" s="235">
        <v>9999</v>
      </c>
      <c r="D68" s="292">
        <v>0.75</v>
      </c>
      <c r="E68" s="232"/>
      <c r="F68" s="232"/>
      <c r="G68" s="232"/>
      <c r="H68" s="232"/>
      <c r="I68" s="232"/>
      <c r="J68" s="232"/>
      <c r="K68" s="232"/>
      <c r="L68" s="232"/>
      <c r="M68" s="232"/>
    </row>
    <row r="69" ht="15.6" spans="1:13">
      <c r="A69" s="286" t="s">
        <v>153</v>
      </c>
      <c r="B69" s="287"/>
      <c r="C69" s="287"/>
      <c r="D69" s="288" t="s">
        <v>149</v>
      </c>
      <c r="E69" s="232"/>
      <c r="F69" s="232"/>
      <c r="G69" s="232"/>
      <c r="H69" s="232"/>
      <c r="I69" s="232"/>
      <c r="J69" s="232"/>
      <c r="K69" s="232"/>
      <c r="L69" s="232"/>
      <c r="M69" s="232"/>
    </row>
    <row r="70" ht="15.6" spans="1:13">
      <c r="A70" s="286"/>
      <c r="B70" s="289" t="s">
        <v>151</v>
      </c>
      <c r="C70" s="290" t="s">
        <v>152</v>
      </c>
      <c r="D70" s="291">
        <v>1.5</v>
      </c>
      <c r="E70" s="232"/>
      <c r="F70" s="232"/>
      <c r="G70" s="232"/>
      <c r="H70" s="232"/>
      <c r="I70" s="232"/>
      <c r="J70" s="232"/>
      <c r="K70" s="232"/>
      <c r="L70" s="232"/>
      <c r="M70" s="232"/>
    </row>
    <row r="71" ht="13.8" spans="1:13">
      <c r="A71" s="286"/>
      <c r="B71" s="235">
        <v>0</v>
      </c>
      <c r="C71" s="235">
        <v>200</v>
      </c>
      <c r="D71" s="292">
        <v>1</v>
      </c>
      <c r="E71" s="232"/>
      <c r="F71" s="232"/>
      <c r="G71" s="232"/>
      <c r="H71" s="232"/>
      <c r="I71" s="232"/>
      <c r="J71" s="232"/>
      <c r="K71" s="232"/>
      <c r="L71" s="232"/>
      <c r="M71" s="232"/>
    </row>
    <row r="72" ht="13.8" spans="1:13">
      <c r="A72" s="286"/>
      <c r="B72" s="235">
        <v>201</v>
      </c>
      <c r="C72" s="235">
        <v>500</v>
      </c>
      <c r="D72" s="292">
        <v>0.95</v>
      </c>
      <c r="E72" s="232"/>
      <c r="F72" s="232"/>
      <c r="G72" s="232"/>
      <c r="H72" s="232"/>
      <c r="I72" s="232"/>
      <c r="J72" s="232"/>
      <c r="K72" s="232"/>
      <c r="L72" s="232"/>
      <c r="M72" s="232"/>
    </row>
    <row r="73" ht="13.8" spans="1:13">
      <c r="A73" s="286"/>
      <c r="B73" s="235">
        <v>501</v>
      </c>
      <c r="C73" s="235">
        <v>1000</v>
      </c>
      <c r="D73" s="292">
        <v>0.9</v>
      </c>
      <c r="E73" s="232"/>
      <c r="F73" s="232"/>
      <c r="G73" s="232"/>
      <c r="H73" s="232"/>
      <c r="I73" s="232"/>
      <c r="J73" s="232"/>
      <c r="K73" s="232"/>
      <c r="L73" s="232"/>
      <c r="M73" s="232"/>
    </row>
    <row r="74" ht="13.8" spans="1:13">
      <c r="A74" s="286"/>
      <c r="B74" s="235">
        <v>1001</v>
      </c>
      <c r="C74" s="235">
        <v>1500</v>
      </c>
      <c r="D74" s="292">
        <v>0.85</v>
      </c>
      <c r="E74" s="232"/>
      <c r="F74" s="232"/>
      <c r="G74" s="232"/>
      <c r="H74" s="232"/>
      <c r="I74" s="232"/>
      <c r="J74" s="232"/>
      <c r="K74" s="232"/>
      <c r="L74" s="232"/>
      <c r="M74" s="232"/>
    </row>
    <row r="75" ht="13.8" spans="1:13">
      <c r="A75" s="286"/>
      <c r="B75" s="235">
        <v>1501</v>
      </c>
      <c r="C75" s="235">
        <v>2000</v>
      </c>
      <c r="D75" s="292">
        <v>0.8</v>
      </c>
      <c r="E75" s="232"/>
      <c r="F75" s="232"/>
      <c r="G75" s="232"/>
      <c r="H75" s="232"/>
      <c r="I75" s="232"/>
      <c r="J75" s="232"/>
      <c r="K75" s="232"/>
      <c r="L75" s="232"/>
      <c r="M75" s="232"/>
    </row>
    <row r="76" ht="13.8" spans="1:13">
      <c r="A76" s="286"/>
      <c r="B76" s="235">
        <v>2001</v>
      </c>
      <c r="C76" s="235">
        <v>9999</v>
      </c>
      <c r="D76" s="292">
        <v>0.75</v>
      </c>
      <c r="E76" s="232"/>
      <c r="F76" s="232"/>
      <c r="G76" s="232"/>
      <c r="H76" s="232"/>
      <c r="I76" s="232"/>
      <c r="J76" s="232"/>
      <c r="K76" s="232"/>
      <c r="L76" s="232"/>
      <c r="M76" s="232"/>
    </row>
    <row r="77" ht="15.6" spans="1:13">
      <c r="A77" s="286" t="s">
        <v>154</v>
      </c>
      <c r="B77" s="287"/>
      <c r="C77" s="287"/>
      <c r="D77" s="288" t="s">
        <v>149</v>
      </c>
      <c r="E77" s="232"/>
      <c r="F77" s="232"/>
      <c r="G77" s="232"/>
      <c r="H77" s="232"/>
      <c r="I77" s="232"/>
      <c r="J77" s="232"/>
      <c r="K77" s="232"/>
      <c r="L77" s="232"/>
      <c r="M77" s="232"/>
    </row>
    <row r="78" ht="15.6" spans="1:13">
      <c r="A78" s="286"/>
      <c r="B78" s="289" t="s">
        <v>151</v>
      </c>
      <c r="C78" s="290" t="s">
        <v>152</v>
      </c>
      <c r="D78" s="291">
        <v>1.5</v>
      </c>
      <c r="E78" s="232"/>
      <c r="F78" s="232"/>
      <c r="G78" s="232"/>
      <c r="H78" s="232"/>
      <c r="I78" s="232"/>
      <c r="J78" s="232"/>
      <c r="K78" s="232"/>
      <c r="L78" s="232"/>
      <c r="M78" s="232"/>
    </row>
    <row r="79" ht="13.8" spans="1:13">
      <c r="A79" s="286"/>
      <c r="B79" s="235">
        <v>0</v>
      </c>
      <c r="C79" s="235">
        <v>200</v>
      </c>
      <c r="D79" s="292">
        <v>1</v>
      </c>
      <c r="E79" s="232"/>
      <c r="F79" s="232"/>
      <c r="G79" s="232"/>
      <c r="H79" s="232"/>
      <c r="I79" s="232"/>
      <c r="J79" s="232"/>
      <c r="K79" s="232"/>
      <c r="L79" s="232"/>
      <c r="M79" s="232"/>
    </row>
    <row r="80" ht="13.8" spans="1:13">
      <c r="A80" s="286"/>
      <c r="B80" s="235">
        <v>201</v>
      </c>
      <c r="C80" s="235">
        <v>500</v>
      </c>
      <c r="D80" s="292">
        <v>0.95</v>
      </c>
      <c r="E80" s="232"/>
      <c r="F80" s="232"/>
      <c r="G80" s="232"/>
      <c r="H80" s="232"/>
      <c r="I80" s="232"/>
      <c r="J80" s="232"/>
      <c r="K80" s="232"/>
      <c r="L80" s="232"/>
      <c r="M80" s="232"/>
    </row>
    <row r="81" ht="13.8" spans="1:13">
      <c r="A81" s="286"/>
      <c r="B81" s="235">
        <v>501</v>
      </c>
      <c r="C81" s="235">
        <v>1000</v>
      </c>
      <c r="D81" s="292">
        <v>0.9</v>
      </c>
      <c r="E81" s="232"/>
      <c r="F81" s="232"/>
      <c r="G81" s="232"/>
      <c r="H81" s="232"/>
      <c r="I81" s="232"/>
      <c r="J81" s="232"/>
      <c r="K81" s="232"/>
      <c r="L81" s="232"/>
      <c r="M81" s="232"/>
    </row>
    <row r="82" ht="13.8" spans="1:13">
      <c r="A82" s="286"/>
      <c r="B82" s="235">
        <v>1001</v>
      </c>
      <c r="C82" s="235">
        <v>1500</v>
      </c>
      <c r="D82" s="292">
        <v>0.85</v>
      </c>
      <c r="E82" s="232"/>
      <c r="F82" s="232"/>
      <c r="G82" s="232"/>
      <c r="H82" s="232"/>
      <c r="I82" s="232"/>
      <c r="J82" s="232"/>
      <c r="K82" s="232"/>
      <c r="L82" s="232"/>
      <c r="M82" s="232"/>
    </row>
    <row r="83" ht="13.8" spans="1:13">
      <c r="A83" s="286"/>
      <c r="B83" s="235">
        <v>1501</v>
      </c>
      <c r="C83" s="235">
        <v>2000</v>
      </c>
      <c r="D83" s="292">
        <v>0.8</v>
      </c>
      <c r="E83" s="232"/>
      <c r="F83" s="232"/>
      <c r="G83" s="232"/>
      <c r="H83" s="232"/>
      <c r="I83" s="232"/>
      <c r="J83" s="232"/>
      <c r="K83" s="232"/>
      <c r="L83" s="232"/>
      <c r="M83" s="232"/>
    </row>
    <row r="84" ht="13.8" spans="1:13">
      <c r="A84" s="286"/>
      <c r="B84" s="235">
        <v>2001</v>
      </c>
      <c r="C84" s="235">
        <v>9999</v>
      </c>
      <c r="D84" s="292">
        <v>0.75</v>
      </c>
      <c r="E84" s="232"/>
      <c r="F84" s="232"/>
      <c r="G84" s="232"/>
      <c r="H84" s="232"/>
      <c r="I84" s="232"/>
      <c r="J84" s="232"/>
      <c r="K84" s="232"/>
      <c r="L84" s="232"/>
      <c r="M84" s="232"/>
    </row>
    <row r="85" ht="15.6" spans="1:13">
      <c r="A85" s="286" t="s">
        <v>155</v>
      </c>
      <c r="B85" s="287"/>
      <c r="C85" s="287"/>
      <c r="D85" s="288" t="s">
        <v>149</v>
      </c>
      <c r="E85" s="232"/>
      <c r="F85" s="232"/>
      <c r="G85" s="232"/>
      <c r="H85" s="232"/>
      <c r="I85" s="232"/>
      <c r="J85" s="232"/>
      <c r="K85" s="232"/>
      <c r="L85" s="232"/>
      <c r="M85" s="232"/>
    </row>
    <row r="86" ht="15.6" spans="1:13">
      <c r="A86" s="286"/>
      <c r="B86" s="289" t="s">
        <v>151</v>
      </c>
      <c r="C86" s="290" t="s">
        <v>152</v>
      </c>
      <c r="D86" s="291">
        <v>1.5</v>
      </c>
      <c r="E86" s="232"/>
      <c r="F86" s="232"/>
      <c r="G86" s="232"/>
      <c r="H86" s="232"/>
      <c r="I86" s="232"/>
      <c r="J86" s="232"/>
      <c r="K86" s="232"/>
      <c r="L86" s="232"/>
      <c r="M86" s="232"/>
    </row>
    <row r="87" ht="13.8" spans="1:13">
      <c r="A87" s="286"/>
      <c r="B87" s="235">
        <v>0</v>
      </c>
      <c r="C87" s="235">
        <v>200</v>
      </c>
      <c r="D87" s="292">
        <v>1</v>
      </c>
      <c r="E87" s="232"/>
      <c r="F87" s="232"/>
      <c r="G87" s="232"/>
      <c r="H87" s="232"/>
      <c r="I87" s="232"/>
      <c r="J87" s="232"/>
      <c r="K87" s="232"/>
      <c r="L87" s="232"/>
      <c r="M87" s="232"/>
    </row>
    <row r="88" ht="13.8" spans="1:13">
      <c r="A88" s="286"/>
      <c r="B88" s="235">
        <v>201</v>
      </c>
      <c r="C88" s="235">
        <v>500</v>
      </c>
      <c r="D88" s="292">
        <v>0.95</v>
      </c>
      <c r="E88" s="232"/>
      <c r="F88" s="232"/>
      <c r="G88" s="232"/>
      <c r="H88" s="232"/>
      <c r="I88" s="232"/>
      <c r="J88" s="232"/>
      <c r="K88" s="232"/>
      <c r="L88" s="232"/>
      <c r="M88" s="232"/>
    </row>
    <row r="89" ht="13.8" spans="1:13">
      <c r="A89" s="286"/>
      <c r="B89" s="235">
        <v>501</v>
      </c>
      <c r="C89" s="235">
        <v>1000</v>
      </c>
      <c r="D89" s="292">
        <v>0.9</v>
      </c>
      <c r="E89" s="232"/>
      <c r="F89" s="232"/>
      <c r="G89" s="232"/>
      <c r="H89" s="232"/>
      <c r="I89" s="232"/>
      <c r="J89" s="232"/>
      <c r="K89" s="232"/>
      <c r="L89" s="232"/>
      <c r="M89" s="232"/>
    </row>
    <row r="90" ht="13.8" spans="1:13">
      <c r="A90" s="286"/>
      <c r="B90" s="235">
        <v>1001</v>
      </c>
      <c r="C90" s="235">
        <v>1500</v>
      </c>
      <c r="D90" s="292">
        <v>0.85</v>
      </c>
      <c r="E90" s="232"/>
      <c r="F90" s="232"/>
      <c r="G90" s="232"/>
      <c r="H90" s="232"/>
      <c r="I90" s="232"/>
      <c r="J90" s="232"/>
      <c r="K90" s="232"/>
      <c r="L90" s="232"/>
      <c r="M90" s="232"/>
    </row>
    <row r="91" ht="13.8" spans="1:13">
      <c r="A91" s="286"/>
      <c r="B91" s="235">
        <v>1501</v>
      </c>
      <c r="C91" s="235">
        <v>2000</v>
      </c>
      <c r="D91" s="292">
        <v>0.8</v>
      </c>
      <c r="E91" s="232"/>
      <c r="F91" s="232"/>
      <c r="G91" s="232"/>
      <c r="H91" s="232"/>
      <c r="I91" s="232"/>
      <c r="J91" s="232"/>
      <c r="K91" s="232"/>
      <c r="L91" s="232"/>
      <c r="M91" s="232"/>
    </row>
    <row r="92" ht="13.8" spans="1:13">
      <c r="A92" s="286"/>
      <c r="B92" s="235">
        <v>2001</v>
      </c>
      <c r="C92" s="235">
        <v>9999</v>
      </c>
      <c r="D92" s="292">
        <v>0.75</v>
      </c>
      <c r="E92" s="232"/>
      <c r="F92" s="232"/>
      <c r="G92" s="232"/>
      <c r="H92" s="232"/>
      <c r="I92" s="232"/>
      <c r="J92" s="232"/>
      <c r="K92" s="232"/>
      <c r="L92" s="232"/>
      <c r="M92" s="232"/>
    </row>
    <row r="93" ht="15.6" spans="1:13">
      <c r="A93" s="286" t="s">
        <v>156</v>
      </c>
      <c r="B93" s="287"/>
      <c r="C93" s="287"/>
      <c r="D93" s="288" t="s">
        <v>149</v>
      </c>
      <c r="E93" s="232"/>
      <c r="F93" s="232"/>
      <c r="G93" s="232"/>
      <c r="H93" s="232"/>
      <c r="I93" s="232"/>
      <c r="J93" s="232"/>
      <c r="K93" s="232"/>
      <c r="L93" s="232"/>
      <c r="M93" s="232"/>
    </row>
    <row r="94" ht="15.6" spans="1:13">
      <c r="A94" s="286"/>
      <c r="B94" s="289" t="s">
        <v>151</v>
      </c>
      <c r="C94" s="290" t="s">
        <v>152</v>
      </c>
      <c r="D94" s="291">
        <v>1.5</v>
      </c>
      <c r="E94" s="232"/>
      <c r="F94" s="232"/>
      <c r="G94" s="232"/>
      <c r="H94" s="232"/>
      <c r="I94" s="232"/>
      <c r="J94" s="232"/>
      <c r="K94" s="232"/>
      <c r="L94" s="232"/>
      <c r="M94" s="232"/>
    </row>
    <row r="95" ht="13.8" spans="1:13">
      <c r="A95" s="286"/>
      <c r="B95" s="235">
        <v>0</v>
      </c>
      <c r="C95" s="235">
        <v>200</v>
      </c>
      <c r="D95" s="292">
        <v>1</v>
      </c>
      <c r="E95" s="232"/>
      <c r="F95" s="232"/>
      <c r="G95" s="232"/>
      <c r="H95" s="232"/>
      <c r="I95" s="232"/>
      <c r="J95" s="232"/>
      <c r="K95" s="232"/>
      <c r="L95" s="232"/>
      <c r="M95" s="232"/>
    </row>
    <row r="96" ht="13.8" spans="1:13">
      <c r="A96" s="286"/>
      <c r="B96" s="235">
        <v>201</v>
      </c>
      <c r="C96" s="235">
        <v>500</v>
      </c>
      <c r="D96" s="292">
        <v>0.95</v>
      </c>
      <c r="E96" s="232"/>
      <c r="F96" s="232"/>
      <c r="G96" s="232"/>
      <c r="H96" s="232"/>
      <c r="I96" s="232"/>
      <c r="J96" s="232"/>
      <c r="K96" s="232"/>
      <c r="L96" s="232"/>
      <c r="M96" s="232"/>
    </row>
    <row r="97" ht="13.8" spans="1:13">
      <c r="A97" s="286"/>
      <c r="B97" s="235">
        <v>501</v>
      </c>
      <c r="C97" s="235">
        <v>1000</v>
      </c>
      <c r="D97" s="292">
        <v>0.9</v>
      </c>
      <c r="E97" s="232"/>
      <c r="F97" s="232"/>
      <c r="G97" s="232"/>
      <c r="H97" s="232"/>
      <c r="I97" s="232"/>
      <c r="J97" s="232"/>
      <c r="K97" s="232"/>
      <c r="L97" s="232"/>
      <c r="M97" s="232"/>
    </row>
    <row r="98" ht="13.8" spans="1:13">
      <c r="A98" s="286"/>
      <c r="B98" s="235">
        <v>1001</v>
      </c>
      <c r="C98" s="235">
        <v>1500</v>
      </c>
      <c r="D98" s="292">
        <v>0.85</v>
      </c>
      <c r="E98" s="232"/>
      <c r="F98" s="232"/>
      <c r="G98" s="232"/>
      <c r="H98" s="232"/>
      <c r="I98" s="232"/>
      <c r="J98" s="232"/>
      <c r="K98" s="232"/>
      <c r="L98" s="232"/>
      <c r="M98" s="232"/>
    </row>
    <row r="99" ht="13.8" spans="1:13">
      <c r="A99" s="286"/>
      <c r="B99" s="235">
        <v>1501</v>
      </c>
      <c r="C99" s="235">
        <v>2000</v>
      </c>
      <c r="D99" s="292">
        <v>0.8</v>
      </c>
      <c r="E99" s="232"/>
      <c r="F99" s="232"/>
      <c r="G99" s="232"/>
      <c r="H99" s="232"/>
      <c r="I99" s="232"/>
      <c r="J99" s="232"/>
      <c r="K99" s="232"/>
      <c r="L99" s="232"/>
      <c r="M99" s="232"/>
    </row>
    <row r="100" ht="13.8" spans="1:13">
      <c r="A100" s="286"/>
      <c r="B100" s="235">
        <v>2001</v>
      </c>
      <c r="C100" s="235">
        <v>9999</v>
      </c>
      <c r="D100" s="292">
        <v>0.75</v>
      </c>
      <c r="E100" s="232"/>
      <c r="F100" s="232"/>
      <c r="G100" s="232"/>
      <c r="H100" s="232"/>
      <c r="I100" s="232"/>
      <c r="J100" s="232"/>
      <c r="K100" s="232"/>
      <c r="L100" s="232"/>
      <c r="M100" s="232"/>
    </row>
    <row r="101" ht="15.6" spans="1:13">
      <c r="A101" s="286" t="s">
        <v>157</v>
      </c>
      <c r="B101" s="287"/>
      <c r="C101" s="287"/>
      <c r="D101" s="288" t="s">
        <v>149</v>
      </c>
      <c r="E101" s="232"/>
      <c r="F101" s="232"/>
      <c r="G101" s="232"/>
      <c r="H101" s="232"/>
      <c r="I101" s="232"/>
      <c r="J101" s="232"/>
      <c r="K101" s="232"/>
      <c r="L101" s="232"/>
      <c r="M101" s="232"/>
    </row>
    <row r="102" ht="15.6" spans="1:13">
      <c r="A102" s="286"/>
      <c r="B102" s="289" t="s">
        <v>151</v>
      </c>
      <c r="C102" s="290" t="s">
        <v>152</v>
      </c>
      <c r="D102" s="291">
        <v>1.5</v>
      </c>
      <c r="E102" s="232"/>
      <c r="F102" s="232"/>
      <c r="G102" s="232"/>
      <c r="H102" s="232"/>
      <c r="I102" s="232"/>
      <c r="J102" s="232"/>
      <c r="K102" s="232"/>
      <c r="L102" s="232"/>
      <c r="M102" s="232"/>
    </row>
    <row r="103" ht="13.8" spans="1:13">
      <c r="A103" s="286"/>
      <c r="B103" s="235">
        <v>0</v>
      </c>
      <c r="C103" s="235">
        <v>200</v>
      </c>
      <c r="D103" s="292">
        <v>1</v>
      </c>
      <c r="E103" s="232"/>
      <c r="F103" s="232"/>
      <c r="G103" s="232"/>
      <c r="H103" s="232"/>
      <c r="I103" s="232"/>
      <c r="J103" s="232"/>
      <c r="K103" s="232"/>
      <c r="L103" s="232"/>
      <c r="M103" s="232"/>
    </row>
    <row r="104" ht="13.8" spans="1:13">
      <c r="A104" s="286"/>
      <c r="B104" s="235">
        <v>201</v>
      </c>
      <c r="C104" s="235">
        <v>500</v>
      </c>
      <c r="D104" s="292">
        <v>0.95</v>
      </c>
      <c r="E104" s="232"/>
      <c r="F104" s="232"/>
      <c r="G104" s="232"/>
      <c r="H104" s="232"/>
      <c r="I104" s="232"/>
      <c r="J104" s="232"/>
      <c r="K104" s="232"/>
      <c r="L104" s="232"/>
      <c r="M104" s="232"/>
    </row>
    <row r="105" ht="13.8" spans="1:13">
      <c r="A105" s="286"/>
      <c r="B105" s="235">
        <v>501</v>
      </c>
      <c r="C105" s="235">
        <v>1000</v>
      </c>
      <c r="D105" s="292">
        <v>0.9</v>
      </c>
      <c r="E105" s="232"/>
      <c r="F105" s="232"/>
      <c r="G105" s="232"/>
      <c r="H105" s="232"/>
      <c r="I105" s="232"/>
      <c r="J105" s="232"/>
      <c r="K105" s="232"/>
      <c r="L105" s="232"/>
      <c r="M105" s="232"/>
    </row>
    <row r="106" ht="13.8" spans="1:13">
      <c r="A106" s="286"/>
      <c r="B106" s="235">
        <v>1001</v>
      </c>
      <c r="C106" s="235">
        <v>1500</v>
      </c>
      <c r="D106" s="292">
        <v>0.85</v>
      </c>
      <c r="E106" s="232"/>
      <c r="F106" s="232"/>
      <c r="G106" s="232"/>
      <c r="H106" s="232"/>
      <c r="I106" s="232"/>
      <c r="J106" s="232"/>
      <c r="K106" s="232"/>
      <c r="L106" s="232"/>
      <c r="M106" s="232"/>
    </row>
    <row r="107" ht="13.8" spans="1:13">
      <c r="A107" s="286"/>
      <c r="B107" s="235">
        <v>1501</v>
      </c>
      <c r="C107" s="235">
        <v>2000</v>
      </c>
      <c r="D107" s="292">
        <v>0.8</v>
      </c>
      <c r="E107" s="232"/>
      <c r="F107" s="232"/>
      <c r="G107" s="232"/>
      <c r="H107" s="232"/>
      <c r="I107" s="232"/>
      <c r="J107" s="232"/>
      <c r="K107" s="232"/>
      <c r="L107" s="232"/>
      <c r="M107" s="232"/>
    </row>
    <row r="108" ht="13.8" spans="1:13">
      <c r="A108" s="286"/>
      <c r="B108" s="235">
        <v>2001</v>
      </c>
      <c r="C108" s="235">
        <v>9999</v>
      </c>
      <c r="D108" s="292">
        <v>0.75</v>
      </c>
      <c r="E108" s="232"/>
      <c r="F108" s="232"/>
      <c r="G108" s="232"/>
      <c r="H108" s="232"/>
      <c r="I108" s="232"/>
      <c r="J108" s="232"/>
      <c r="K108" s="232"/>
      <c r="L108" s="232"/>
      <c r="M108" s="232"/>
    </row>
    <row r="109" ht="15.6" spans="1:13">
      <c r="A109" s="286" t="s">
        <v>158</v>
      </c>
      <c r="B109" s="287"/>
      <c r="C109" s="287"/>
      <c r="D109" s="288" t="s">
        <v>149</v>
      </c>
      <c r="E109" s="232"/>
      <c r="F109" s="232"/>
      <c r="G109" s="232"/>
      <c r="H109" s="232"/>
      <c r="I109" s="232"/>
      <c r="J109" s="232"/>
      <c r="K109" s="232"/>
      <c r="L109" s="232"/>
      <c r="M109" s="232"/>
    </row>
    <row r="110" ht="15.6" spans="1:13">
      <c r="A110" s="286"/>
      <c r="B110" s="289" t="s">
        <v>151</v>
      </c>
      <c r="C110" s="290" t="s">
        <v>152</v>
      </c>
      <c r="D110" s="291">
        <v>1.5</v>
      </c>
      <c r="E110" s="232"/>
      <c r="F110" s="232"/>
      <c r="G110" s="232"/>
      <c r="H110" s="232"/>
      <c r="I110" s="232"/>
      <c r="J110" s="232"/>
      <c r="K110" s="232"/>
      <c r="L110" s="232"/>
      <c r="M110" s="232"/>
    </row>
    <row r="111" ht="13.8" spans="1:13">
      <c r="A111" s="286"/>
      <c r="B111" s="235">
        <v>0</v>
      </c>
      <c r="C111" s="235">
        <v>200</v>
      </c>
      <c r="D111" s="292">
        <v>1</v>
      </c>
      <c r="E111" s="232"/>
      <c r="F111" s="232"/>
      <c r="G111" s="232"/>
      <c r="H111" s="232"/>
      <c r="I111" s="232"/>
      <c r="J111" s="232"/>
      <c r="K111" s="232"/>
      <c r="L111" s="232"/>
      <c r="M111" s="232"/>
    </row>
    <row r="112" ht="13.8" spans="1:13">
      <c r="A112" s="286"/>
      <c r="B112" s="235">
        <v>201</v>
      </c>
      <c r="C112" s="235">
        <v>500</v>
      </c>
      <c r="D112" s="292">
        <v>0.95</v>
      </c>
      <c r="E112" s="232"/>
      <c r="F112" s="232"/>
      <c r="G112" s="232"/>
      <c r="H112" s="232"/>
      <c r="I112" s="232"/>
      <c r="J112" s="232"/>
      <c r="K112" s="232"/>
      <c r="L112" s="232"/>
      <c r="M112" s="232"/>
    </row>
    <row r="113" ht="13.8" spans="1:13">
      <c r="A113" s="286"/>
      <c r="B113" s="235">
        <v>501</v>
      </c>
      <c r="C113" s="235">
        <v>1000</v>
      </c>
      <c r="D113" s="292">
        <v>0.9</v>
      </c>
      <c r="E113" s="232"/>
      <c r="F113" s="232"/>
      <c r="G113" s="232"/>
      <c r="H113" s="232"/>
      <c r="I113" s="232"/>
      <c r="J113" s="232"/>
      <c r="K113" s="232"/>
      <c r="L113" s="232"/>
      <c r="M113" s="232"/>
    </row>
    <row r="114" ht="13.8" spans="1:13">
      <c r="A114" s="286"/>
      <c r="B114" s="235">
        <v>1001</v>
      </c>
      <c r="C114" s="235">
        <v>1500</v>
      </c>
      <c r="D114" s="292">
        <v>0.85</v>
      </c>
      <c r="E114" s="232"/>
      <c r="F114" s="232"/>
      <c r="G114" s="232"/>
      <c r="H114" s="232"/>
      <c r="I114" s="232"/>
      <c r="J114" s="232"/>
      <c r="K114" s="232"/>
      <c r="L114" s="232"/>
      <c r="M114" s="232"/>
    </row>
    <row r="115" ht="13.8" spans="1:13">
      <c r="A115" s="286"/>
      <c r="B115" s="235">
        <v>1501</v>
      </c>
      <c r="C115" s="235">
        <v>2000</v>
      </c>
      <c r="D115" s="292">
        <v>0.8</v>
      </c>
      <c r="E115" s="232"/>
      <c r="F115" s="232"/>
      <c r="G115" s="232"/>
      <c r="H115" s="232"/>
      <c r="I115" s="232"/>
      <c r="J115" s="232"/>
      <c r="K115" s="232"/>
      <c r="L115" s="232"/>
      <c r="M115" s="232"/>
    </row>
    <row r="116" ht="13.8" spans="1:13">
      <c r="A116" s="286"/>
      <c r="B116" s="235">
        <v>2001</v>
      </c>
      <c r="C116" s="235">
        <v>9999</v>
      </c>
      <c r="D116" s="292">
        <v>0.75</v>
      </c>
      <c r="E116" s="232"/>
      <c r="F116" s="232"/>
      <c r="G116" s="232"/>
      <c r="H116" s="232"/>
      <c r="I116" s="232"/>
      <c r="J116" s="232"/>
      <c r="K116" s="232"/>
      <c r="L116" s="232"/>
      <c r="M116" s="232"/>
    </row>
    <row r="117" ht="15.6" spans="1:13">
      <c r="A117" s="286" t="s">
        <v>159</v>
      </c>
      <c r="B117" s="287"/>
      <c r="C117" s="287"/>
      <c r="D117" s="288" t="s">
        <v>149</v>
      </c>
      <c r="E117" s="232"/>
      <c r="F117" s="232"/>
      <c r="G117" s="232"/>
      <c r="H117" s="232"/>
      <c r="I117" s="232"/>
      <c r="J117" s="232"/>
      <c r="K117" s="232"/>
      <c r="L117" s="232"/>
      <c r="M117" s="232"/>
    </row>
    <row r="118" ht="15.6" spans="1:13">
      <c r="A118" s="286"/>
      <c r="B118" s="289" t="s">
        <v>151</v>
      </c>
      <c r="C118" s="290" t="s">
        <v>152</v>
      </c>
      <c r="D118" s="291">
        <v>1.5</v>
      </c>
      <c r="E118" s="232"/>
      <c r="F118" s="232"/>
      <c r="G118" s="232"/>
      <c r="H118" s="232"/>
      <c r="I118" s="232"/>
      <c r="J118" s="232"/>
      <c r="K118" s="232"/>
      <c r="L118" s="232"/>
      <c r="M118" s="232"/>
    </row>
    <row r="119" ht="13.8" spans="1:13">
      <c r="A119" s="286"/>
      <c r="B119" s="235">
        <v>0</v>
      </c>
      <c r="C119" s="235">
        <v>200</v>
      </c>
      <c r="D119" s="292">
        <v>1</v>
      </c>
      <c r="E119" s="232"/>
      <c r="F119" s="232"/>
      <c r="G119" s="232"/>
      <c r="H119" s="232"/>
      <c r="I119" s="232"/>
      <c r="J119" s="232"/>
      <c r="K119" s="232"/>
      <c r="L119" s="232"/>
      <c r="M119" s="232"/>
    </row>
    <row r="120" ht="13.8" spans="1:13">
      <c r="A120" s="286"/>
      <c r="B120" s="235">
        <v>201</v>
      </c>
      <c r="C120" s="235">
        <v>500</v>
      </c>
      <c r="D120" s="292">
        <v>0.95</v>
      </c>
      <c r="E120" s="232"/>
      <c r="F120" s="232"/>
      <c r="G120" s="232"/>
      <c r="H120" s="232"/>
      <c r="I120" s="232"/>
      <c r="J120" s="232"/>
      <c r="K120" s="232"/>
      <c r="L120" s="232"/>
      <c r="M120" s="232"/>
    </row>
    <row r="121" ht="13.8" spans="1:13">
      <c r="A121" s="286"/>
      <c r="B121" s="235">
        <v>501</v>
      </c>
      <c r="C121" s="235">
        <v>1000</v>
      </c>
      <c r="D121" s="292">
        <v>0.9</v>
      </c>
      <c r="E121" s="232"/>
      <c r="F121" s="232"/>
      <c r="G121" s="232"/>
      <c r="H121" s="232"/>
      <c r="I121" s="232"/>
      <c r="J121" s="232"/>
      <c r="K121" s="232"/>
      <c r="L121" s="232"/>
      <c r="M121" s="232"/>
    </row>
    <row r="122" ht="13.8" spans="1:13">
      <c r="A122" s="286"/>
      <c r="B122" s="235">
        <v>1001</v>
      </c>
      <c r="C122" s="235">
        <v>1500</v>
      </c>
      <c r="D122" s="292">
        <v>0.85</v>
      </c>
      <c r="E122" s="232"/>
      <c r="F122" s="232"/>
      <c r="G122" s="232"/>
      <c r="H122" s="232"/>
      <c r="I122" s="232"/>
      <c r="J122" s="232"/>
      <c r="K122" s="232"/>
      <c r="L122" s="232"/>
      <c r="M122" s="232"/>
    </row>
    <row r="123" ht="13.8" spans="1:13">
      <c r="A123" s="286"/>
      <c r="B123" s="235">
        <v>1501</v>
      </c>
      <c r="C123" s="235">
        <v>2000</v>
      </c>
      <c r="D123" s="292">
        <v>0.8</v>
      </c>
      <c r="E123" s="232"/>
      <c r="F123" s="232"/>
      <c r="G123" s="232"/>
      <c r="H123" s="232"/>
      <c r="I123" s="232"/>
      <c r="J123" s="232"/>
      <c r="K123" s="232"/>
      <c r="L123" s="232"/>
      <c r="M123" s="232"/>
    </row>
    <row r="124" ht="13.8" spans="1:13">
      <c r="A124" s="286"/>
      <c r="B124" s="235">
        <v>2001</v>
      </c>
      <c r="C124" s="235">
        <v>9999</v>
      </c>
      <c r="D124" s="292">
        <v>0.75</v>
      </c>
      <c r="E124" s="232"/>
      <c r="F124" s="232"/>
      <c r="G124" s="232"/>
      <c r="H124" s="232"/>
      <c r="I124" s="232"/>
      <c r="J124" s="232"/>
      <c r="K124" s="232"/>
      <c r="L124" s="232"/>
      <c r="M124" s="232"/>
    </row>
    <row r="125" ht="15.6" spans="1:13">
      <c r="A125" s="286" t="s">
        <v>160</v>
      </c>
      <c r="B125" s="287"/>
      <c r="C125" s="287"/>
      <c r="D125" s="288" t="s">
        <v>149</v>
      </c>
      <c r="E125" s="232"/>
      <c r="F125" s="232"/>
      <c r="G125" s="232"/>
      <c r="H125" s="232"/>
      <c r="I125" s="232"/>
      <c r="J125" s="232"/>
      <c r="K125" s="232"/>
      <c r="L125" s="232"/>
      <c r="M125" s="232"/>
    </row>
    <row r="126" ht="15.6" spans="1:13">
      <c r="A126" s="286"/>
      <c r="B126" s="289" t="s">
        <v>151</v>
      </c>
      <c r="C126" s="290" t="s">
        <v>152</v>
      </c>
      <c r="D126" s="291">
        <v>1.5</v>
      </c>
      <c r="E126" s="232"/>
      <c r="F126" s="232"/>
      <c r="G126" s="232"/>
      <c r="H126" s="232"/>
      <c r="I126" s="232"/>
      <c r="J126" s="232"/>
      <c r="K126" s="232"/>
      <c r="L126" s="232"/>
      <c r="M126" s="232"/>
    </row>
    <row r="127" ht="13.8" spans="1:13">
      <c r="A127" s="286"/>
      <c r="B127" s="235">
        <v>0</v>
      </c>
      <c r="C127" s="235">
        <v>200</v>
      </c>
      <c r="D127" s="292">
        <v>1</v>
      </c>
      <c r="E127" s="232"/>
      <c r="F127" s="232"/>
      <c r="G127" s="232"/>
      <c r="H127" s="232"/>
      <c r="I127" s="232"/>
      <c r="J127" s="232"/>
      <c r="K127" s="232"/>
      <c r="L127" s="232"/>
      <c r="M127" s="232"/>
    </row>
    <row r="128" ht="13.8" spans="1:13">
      <c r="A128" s="286"/>
      <c r="B128" s="235">
        <v>201</v>
      </c>
      <c r="C128" s="235">
        <v>500</v>
      </c>
      <c r="D128" s="292">
        <v>0.95</v>
      </c>
      <c r="E128" s="232"/>
      <c r="F128" s="232"/>
      <c r="G128" s="232"/>
      <c r="H128" s="232"/>
      <c r="I128" s="232"/>
      <c r="J128" s="232"/>
      <c r="K128" s="232"/>
      <c r="L128" s="232"/>
      <c r="M128" s="232"/>
    </row>
    <row r="129" ht="13.8" spans="1:13">
      <c r="A129" s="286"/>
      <c r="B129" s="235">
        <v>501</v>
      </c>
      <c r="C129" s="235">
        <v>1000</v>
      </c>
      <c r="D129" s="292">
        <v>0.9</v>
      </c>
      <c r="E129" s="232"/>
      <c r="F129" s="232"/>
      <c r="G129" s="232"/>
      <c r="H129" s="232"/>
      <c r="I129" s="232"/>
      <c r="J129" s="232"/>
      <c r="K129" s="232"/>
      <c r="L129" s="232"/>
      <c r="M129" s="232"/>
    </row>
    <row r="130" ht="13.8" spans="1:13">
      <c r="A130" s="286"/>
      <c r="B130" s="235">
        <v>1001</v>
      </c>
      <c r="C130" s="235">
        <v>1500</v>
      </c>
      <c r="D130" s="292">
        <v>0.85</v>
      </c>
      <c r="E130" s="232"/>
      <c r="F130" s="232"/>
      <c r="G130" s="232"/>
      <c r="H130" s="232"/>
      <c r="I130" s="232"/>
      <c r="J130" s="232"/>
      <c r="K130" s="232"/>
      <c r="L130" s="232"/>
      <c r="M130" s="232"/>
    </row>
    <row r="131" ht="13.8" spans="1:13">
      <c r="A131" s="286"/>
      <c r="B131" s="235">
        <v>1501</v>
      </c>
      <c r="C131" s="235">
        <v>2000</v>
      </c>
      <c r="D131" s="292">
        <v>0.8</v>
      </c>
      <c r="E131" s="232"/>
      <c r="F131" s="232"/>
      <c r="G131" s="232"/>
      <c r="H131" s="232"/>
      <c r="I131" s="232"/>
      <c r="J131" s="232"/>
      <c r="K131" s="232"/>
      <c r="L131" s="232"/>
      <c r="M131" s="232"/>
    </row>
    <row r="132" ht="13.8" spans="1:13">
      <c r="A132" s="286"/>
      <c r="B132" s="235">
        <v>2001</v>
      </c>
      <c r="C132" s="235">
        <v>9999</v>
      </c>
      <c r="D132" s="292">
        <v>0.75</v>
      </c>
      <c r="E132" s="232"/>
      <c r="F132" s="232"/>
      <c r="G132" s="232"/>
      <c r="H132" s="232"/>
      <c r="I132" s="232"/>
      <c r="J132" s="232"/>
      <c r="K132" s="232"/>
      <c r="L132" s="232"/>
      <c r="M132" s="232"/>
    </row>
    <row r="133" ht="15.6" spans="1:13">
      <c r="A133" s="286" t="s">
        <v>161</v>
      </c>
      <c r="B133" s="287"/>
      <c r="C133" s="287"/>
      <c r="D133" s="288" t="s">
        <v>149</v>
      </c>
      <c r="E133" s="232"/>
      <c r="F133" s="232"/>
      <c r="G133" s="232"/>
      <c r="H133" s="232"/>
      <c r="I133" s="232"/>
      <c r="J133" s="232"/>
      <c r="K133" s="232"/>
      <c r="L133" s="232"/>
      <c r="M133" s="232"/>
    </row>
    <row r="134" ht="15.6" spans="1:13">
      <c r="A134" s="286"/>
      <c r="B134" s="289" t="s">
        <v>151</v>
      </c>
      <c r="C134" s="290" t="s">
        <v>152</v>
      </c>
      <c r="D134" s="291">
        <v>1.5</v>
      </c>
      <c r="E134" s="232"/>
      <c r="F134" s="232"/>
      <c r="G134" s="232"/>
      <c r="H134" s="232"/>
      <c r="I134" s="232"/>
      <c r="J134" s="232"/>
      <c r="K134" s="232"/>
      <c r="L134" s="232"/>
      <c r="M134" s="232"/>
    </row>
    <row r="135" ht="13.8" spans="1:13">
      <c r="A135" s="286"/>
      <c r="B135" s="235">
        <v>0</v>
      </c>
      <c r="C135" s="235">
        <v>200</v>
      </c>
      <c r="D135" s="292">
        <v>1</v>
      </c>
      <c r="E135" s="232"/>
      <c r="F135" s="232"/>
      <c r="G135" s="232"/>
      <c r="H135" s="232"/>
      <c r="I135" s="232"/>
      <c r="J135" s="232"/>
      <c r="K135" s="232"/>
      <c r="L135" s="232"/>
      <c r="M135" s="232"/>
    </row>
    <row r="136" ht="13.8" spans="1:13">
      <c r="A136" s="286"/>
      <c r="B136" s="235">
        <v>201</v>
      </c>
      <c r="C136" s="235">
        <v>500</v>
      </c>
      <c r="D136" s="292">
        <v>0.95</v>
      </c>
      <c r="E136" s="232"/>
      <c r="F136" s="232"/>
      <c r="G136" s="232"/>
      <c r="H136" s="232"/>
      <c r="I136" s="232"/>
      <c r="J136" s="232"/>
      <c r="K136" s="232"/>
      <c r="L136" s="232"/>
      <c r="M136" s="232"/>
    </row>
    <row r="137" ht="13.8" spans="1:13">
      <c r="A137" s="286"/>
      <c r="B137" s="235">
        <v>501</v>
      </c>
      <c r="C137" s="235">
        <v>1000</v>
      </c>
      <c r="D137" s="292">
        <v>0.9</v>
      </c>
      <c r="E137" s="232"/>
      <c r="F137" s="232"/>
      <c r="G137" s="232"/>
      <c r="H137" s="232"/>
      <c r="I137" s="232"/>
      <c r="J137" s="232"/>
      <c r="K137" s="232"/>
      <c r="L137" s="232"/>
      <c r="M137" s="232"/>
    </row>
    <row r="138" ht="13.8" spans="1:13">
      <c r="A138" s="286"/>
      <c r="B138" s="235">
        <v>1001</v>
      </c>
      <c r="C138" s="235">
        <v>1500</v>
      </c>
      <c r="D138" s="292">
        <v>0.85</v>
      </c>
      <c r="E138" s="232"/>
      <c r="F138" s="232"/>
      <c r="G138" s="232"/>
      <c r="H138" s="232"/>
      <c r="I138" s="232"/>
      <c r="J138" s="232"/>
      <c r="K138" s="232"/>
      <c r="L138" s="232"/>
      <c r="M138" s="232"/>
    </row>
    <row r="139" ht="13.8" spans="1:13">
      <c r="A139" s="286"/>
      <c r="B139" s="235">
        <v>1501</v>
      </c>
      <c r="C139" s="235">
        <v>2000</v>
      </c>
      <c r="D139" s="292">
        <v>0.8</v>
      </c>
      <c r="E139" s="232"/>
      <c r="F139" s="232"/>
      <c r="G139" s="232"/>
      <c r="H139" s="232"/>
      <c r="I139" s="232"/>
      <c r="J139" s="232"/>
      <c r="K139" s="232"/>
      <c r="L139" s="232"/>
      <c r="M139" s="232"/>
    </row>
    <row r="140" ht="13.8" spans="1:13">
      <c r="A140" s="286"/>
      <c r="B140" s="235">
        <v>2001</v>
      </c>
      <c r="C140" s="235">
        <v>9999</v>
      </c>
      <c r="D140" s="292">
        <v>0.75</v>
      </c>
      <c r="E140" s="232"/>
      <c r="F140" s="232"/>
      <c r="G140" s="232"/>
      <c r="H140" s="232"/>
      <c r="I140" s="232"/>
      <c r="J140" s="232"/>
      <c r="K140" s="232"/>
      <c r="L140" s="232"/>
      <c r="M140" s="232"/>
    </row>
    <row r="141" ht="15.6" spans="1:13">
      <c r="A141" s="286" t="s">
        <v>162</v>
      </c>
      <c r="B141" s="287"/>
      <c r="C141" s="287"/>
      <c r="D141" s="288" t="s">
        <v>149</v>
      </c>
      <c r="E141" s="232"/>
      <c r="F141" s="232"/>
      <c r="G141" s="232"/>
      <c r="H141" s="232"/>
      <c r="I141" s="232"/>
      <c r="J141" s="232"/>
      <c r="K141" s="232"/>
      <c r="L141" s="232"/>
      <c r="M141" s="232"/>
    </row>
    <row r="142" ht="15.6" spans="1:13">
      <c r="A142" s="286"/>
      <c r="B142" s="289" t="s">
        <v>151</v>
      </c>
      <c r="C142" s="290" t="s">
        <v>152</v>
      </c>
      <c r="D142" s="291">
        <v>1.5</v>
      </c>
      <c r="E142" s="232"/>
      <c r="F142" s="232"/>
      <c r="G142" s="232"/>
      <c r="H142" s="232"/>
      <c r="I142" s="232"/>
      <c r="J142" s="232"/>
      <c r="K142" s="232"/>
      <c r="L142" s="232"/>
      <c r="M142" s="232"/>
    </row>
    <row r="143" ht="13.8" spans="1:13">
      <c r="A143" s="286"/>
      <c r="B143" s="235">
        <v>0</v>
      </c>
      <c r="C143" s="235">
        <v>200</v>
      </c>
      <c r="D143" s="292">
        <v>1</v>
      </c>
      <c r="E143" s="232"/>
      <c r="F143" s="232"/>
      <c r="G143" s="232"/>
      <c r="H143" s="232"/>
      <c r="I143" s="232"/>
      <c r="J143" s="232"/>
      <c r="K143" s="232"/>
      <c r="L143" s="232"/>
      <c r="M143" s="232"/>
    </row>
    <row r="144" ht="13.8" spans="1:13">
      <c r="A144" s="286"/>
      <c r="B144" s="235">
        <v>201</v>
      </c>
      <c r="C144" s="235">
        <v>500</v>
      </c>
      <c r="D144" s="292">
        <v>0.95</v>
      </c>
      <c r="E144" s="232"/>
      <c r="F144" s="232"/>
      <c r="G144" s="232"/>
      <c r="H144" s="232"/>
      <c r="I144" s="232"/>
      <c r="J144" s="232"/>
      <c r="K144" s="232"/>
      <c r="L144" s="232"/>
      <c r="M144" s="232"/>
    </row>
    <row r="145" ht="13.8" spans="1:13">
      <c r="A145" s="286"/>
      <c r="B145" s="235">
        <v>501</v>
      </c>
      <c r="C145" s="235">
        <v>1000</v>
      </c>
      <c r="D145" s="292">
        <v>0.9</v>
      </c>
      <c r="E145" s="232"/>
      <c r="F145" s="232"/>
      <c r="G145" s="232"/>
      <c r="H145" s="232"/>
      <c r="I145" s="232"/>
      <c r="J145" s="232"/>
      <c r="K145" s="232"/>
      <c r="L145" s="232"/>
      <c r="M145" s="232"/>
    </row>
    <row r="146" ht="13.8" spans="1:13">
      <c r="A146" s="286"/>
      <c r="B146" s="235">
        <v>1001</v>
      </c>
      <c r="C146" s="235">
        <v>1500</v>
      </c>
      <c r="D146" s="292">
        <v>0.85</v>
      </c>
      <c r="E146" s="232"/>
      <c r="F146" s="232"/>
      <c r="G146" s="232"/>
      <c r="H146" s="232"/>
      <c r="I146" s="232"/>
      <c r="J146" s="232"/>
      <c r="K146" s="232"/>
      <c r="L146" s="232"/>
      <c r="M146" s="232"/>
    </row>
    <row r="147" ht="13.8" spans="1:13">
      <c r="A147" s="286"/>
      <c r="B147" s="235">
        <v>1501</v>
      </c>
      <c r="C147" s="235">
        <v>2000</v>
      </c>
      <c r="D147" s="292">
        <v>0.8</v>
      </c>
      <c r="E147" s="232"/>
      <c r="F147" s="232"/>
      <c r="G147" s="232"/>
      <c r="H147" s="232"/>
      <c r="I147" s="232"/>
      <c r="J147" s="232"/>
      <c r="K147" s="232"/>
      <c r="L147" s="232"/>
      <c r="M147" s="232"/>
    </row>
    <row r="148" ht="13.8" spans="1:13">
      <c r="A148" s="286"/>
      <c r="B148" s="235">
        <v>2001</v>
      </c>
      <c r="C148" s="235">
        <v>9999</v>
      </c>
      <c r="D148" s="292">
        <v>0.75</v>
      </c>
      <c r="E148" s="232"/>
      <c r="F148" s="232"/>
      <c r="G148" s="232"/>
      <c r="H148" s="232"/>
      <c r="I148" s="232"/>
      <c r="J148" s="232"/>
      <c r="K148" s="232"/>
      <c r="L148" s="232"/>
      <c r="M148" s="232"/>
    </row>
    <row r="149" ht="15.6" spans="1:13">
      <c r="A149" s="286" t="s">
        <v>163</v>
      </c>
      <c r="B149" s="287"/>
      <c r="C149" s="287"/>
      <c r="D149" s="288" t="s">
        <v>149</v>
      </c>
      <c r="E149" s="232"/>
      <c r="F149" s="232"/>
      <c r="G149" s="232"/>
      <c r="H149" s="232"/>
      <c r="I149" s="232"/>
      <c r="J149" s="232"/>
      <c r="K149" s="232"/>
      <c r="L149" s="232"/>
      <c r="M149" s="232"/>
    </row>
    <row r="150" ht="15.6" spans="1:13">
      <c r="A150" s="286"/>
      <c r="B150" s="289" t="s">
        <v>151</v>
      </c>
      <c r="C150" s="290" t="s">
        <v>152</v>
      </c>
      <c r="D150" s="291">
        <v>1.5</v>
      </c>
      <c r="E150" s="232"/>
      <c r="F150" s="232"/>
      <c r="G150" s="232"/>
      <c r="H150" s="232"/>
      <c r="I150" s="232"/>
      <c r="J150" s="232"/>
      <c r="K150" s="232"/>
      <c r="L150" s="232"/>
      <c r="M150" s="232"/>
    </row>
    <row r="151" ht="13.8" spans="1:13">
      <c r="A151" s="286"/>
      <c r="B151" s="235">
        <v>0</v>
      </c>
      <c r="C151" s="235">
        <v>200</v>
      </c>
      <c r="D151" s="292">
        <v>1</v>
      </c>
      <c r="E151" s="232"/>
      <c r="F151" s="232"/>
      <c r="G151" s="232"/>
      <c r="H151" s="232"/>
      <c r="I151" s="232"/>
      <c r="J151" s="232"/>
      <c r="K151" s="232"/>
      <c r="L151" s="232"/>
      <c r="M151" s="232"/>
    </row>
    <row r="152" ht="13.8" spans="1:13">
      <c r="A152" s="286"/>
      <c r="B152" s="235">
        <v>201</v>
      </c>
      <c r="C152" s="235">
        <v>500</v>
      </c>
      <c r="D152" s="292">
        <v>0.95</v>
      </c>
      <c r="E152" s="232"/>
      <c r="F152" s="232"/>
      <c r="G152" s="232"/>
      <c r="H152" s="232"/>
      <c r="I152" s="232"/>
      <c r="J152" s="232"/>
      <c r="K152" s="232"/>
      <c r="L152" s="232"/>
      <c r="M152" s="232"/>
    </row>
    <row r="153" ht="13.8" spans="1:13">
      <c r="A153" s="286"/>
      <c r="B153" s="235">
        <v>501</v>
      </c>
      <c r="C153" s="235">
        <v>1000</v>
      </c>
      <c r="D153" s="292">
        <v>0.9</v>
      </c>
      <c r="E153" s="232"/>
      <c r="F153" s="232"/>
      <c r="G153" s="232"/>
      <c r="H153" s="232"/>
      <c r="I153" s="232"/>
      <c r="J153" s="232"/>
      <c r="K153" s="232"/>
      <c r="L153" s="232"/>
      <c r="M153" s="232"/>
    </row>
    <row r="154" ht="13.8" spans="1:13">
      <c r="A154" s="286"/>
      <c r="B154" s="235">
        <v>1001</v>
      </c>
      <c r="C154" s="235">
        <v>1500</v>
      </c>
      <c r="D154" s="292">
        <v>0.85</v>
      </c>
      <c r="E154" s="232"/>
      <c r="F154" s="232"/>
      <c r="G154" s="232"/>
      <c r="H154" s="232"/>
      <c r="I154" s="232"/>
      <c r="J154" s="232"/>
      <c r="K154" s="232"/>
      <c r="L154" s="232"/>
      <c r="M154" s="232"/>
    </row>
    <row r="155" ht="13.8" spans="1:13">
      <c r="A155" s="286"/>
      <c r="B155" s="235">
        <v>1501</v>
      </c>
      <c r="C155" s="235">
        <v>2000</v>
      </c>
      <c r="D155" s="292">
        <v>0.8</v>
      </c>
      <c r="E155" s="232"/>
      <c r="F155" s="232"/>
      <c r="G155" s="232"/>
      <c r="H155" s="232"/>
      <c r="I155" s="232"/>
      <c r="J155" s="232"/>
      <c r="K155" s="232"/>
      <c r="L155" s="232"/>
      <c r="M155" s="232"/>
    </row>
    <row r="156" ht="13.8" spans="1:13">
      <c r="A156" s="286"/>
      <c r="B156" s="235">
        <v>2001</v>
      </c>
      <c r="C156" s="235">
        <v>9999</v>
      </c>
      <c r="D156" s="292">
        <v>0.75</v>
      </c>
      <c r="E156" s="232"/>
      <c r="F156" s="232"/>
      <c r="G156" s="232"/>
      <c r="H156" s="232"/>
      <c r="I156" s="232"/>
      <c r="J156" s="232"/>
      <c r="K156" s="232"/>
      <c r="L156" s="232"/>
      <c r="M156" s="232"/>
    </row>
    <row r="157" ht="15.6" spans="1:13">
      <c r="A157" s="286" t="s">
        <v>164</v>
      </c>
      <c r="B157" s="287"/>
      <c r="C157" s="287"/>
      <c r="D157" s="288" t="s">
        <v>149</v>
      </c>
      <c r="E157" s="232"/>
      <c r="F157" s="232"/>
      <c r="G157" s="232"/>
      <c r="H157" s="232"/>
      <c r="I157" s="232"/>
      <c r="J157" s="232"/>
      <c r="K157" s="232"/>
      <c r="L157" s="232"/>
      <c r="M157" s="232"/>
    </row>
    <row r="158" ht="15.6" spans="1:13">
      <c r="A158" s="286"/>
      <c r="B158" s="289" t="s">
        <v>151</v>
      </c>
      <c r="C158" s="290" t="s">
        <v>152</v>
      </c>
      <c r="D158" s="291">
        <v>1.5</v>
      </c>
      <c r="E158" s="232"/>
      <c r="F158" s="232"/>
      <c r="G158" s="232"/>
      <c r="H158" s="232"/>
      <c r="I158" s="232"/>
      <c r="J158" s="232"/>
      <c r="K158" s="232"/>
      <c r="L158" s="232"/>
      <c r="M158" s="232"/>
    </row>
    <row r="159" ht="13.8" spans="1:13">
      <c r="A159" s="286"/>
      <c r="B159" s="235">
        <v>0</v>
      </c>
      <c r="C159" s="235">
        <v>200</v>
      </c>
      <c r="D159" s="292">
        <v>1</v>
      </c>
      <c r="E159" s="232"/>
      <c r="F159" s="232"/>
      <c r="G159" s="232"/>
      <c r="H159" s="232"/>
      <c r="I159" s="232"/>
      <c r="J159" s="232"/>
      <c r="K159" s="232"/>
      <c r="L159" s="232"/>
      <c r="M159" s="232"/>
    </row>
    <row r="160" ht="13.8" spans="1:13">
      <c r="A160" s="286"/>
      <c r="B160" s="235">
        <v>201</v>
      </c>
      <c r="C160" s="235">
        <v>500</v>
      </c>
      <c r="D160" s="292">
        <v>0.95</v>
      </c>
      <c r="E160" s="232"/>
      <c r="F160" s="232"/>
      <c r="G160" s="232"/>
      <c r="H160" s="232"/>
      <c r="I160" s="232"/>
      <c r="J160" s="232"/>
      <c r="K160" s="232"/>
      <c r="L160" s="232"/>
      <c r="M160" s="232"/>
    </row>
    <row r="161" ht="13.8" spans="1:13">
      <c r="A161" s="286"/>
      <c r="B161" s="235">
        <v>501</v>
      </c>
      <c r="C161" s="235">
        <v>1000</v>
      </c>
      <c r="D161" s="292">
        <v>0.9</v>
      </c>
      <c r="E161" s="232"/>
      <c r="F161" s="232"/>
      <c r="G161" s="232"/>
      <c r="H161" s="232"/>
      <c r="I161" s="232"/>
      <c r="J161" s="232"/>
      <c r="K161" s="232"/>
      <c r="L161" s="232"/>
      <c r="M161" s="232"/>
    </row>
    <row r="162" ht="13.8" spans="1:13">
      <c r="A162" s="286"/>
      <c r="B162" s="235">
        <v>1001</v>
      </c>
      <c r="C162" s="235">
        <v>1500</v>
      </c>
      <c r="D162" s="292">
        <v>0.85</v>
      </c>
      <c r="E162" s="232"/>
      <c r="F162" s="232"/>
      <c r="G162" s="232"/>
      <c r="H162" s="232"/>
      <c r="I162" s="232"/>
      <c r="J162" s="232"/>
      <c r="K162" s="232"/>
      <c r="L162" s="232"/>
      <c r="M162" s="232"/>
    </row>
    <row r="163" ht="13.8" spans="1:13">
      <c r="A163" s="286"/>
      <c r="B163" s="235">
        <v>1501</v>
      </c>
      <c r="C163" s="235">
        <v>2000</v>
      </c>
      <c r="D163" s="292">
        <v>0.8</v>
      </c>
      <c r="E163" s="232"/>
      <c r="F163" s="232"/>
      <c r="G163" s="232"/>
      <c r="H163" s="232"/>
      <c r="I163" s="232"/>
      <c r="J163" s="232"/>
      <c r="K163" s="232"/>
      <c r="L163" s="232"/>
      <c r="M163" s="232"/>
    </row>
    <row r="164" ht="13.8" spans="1:13">
      <c r="A164" s="286"/>
      <c r="B164" s="235">
        <v>2001</v>
      </c>
      <c r="C164" s="235">
        <v>9999</v>
      </c>
      <c r="D164" s="292">
        <v>0.75</v>
      </c>
      <c r="E164" s="232"/>
      <c r="F164" s="232"/>
      <c r="G164" s="232"/>
      <c r="H164" s="232"/>
      <c r="I164" s="232"/>
      <c r="J164" s="232"/>
      <c r="K164" s="232"/>
      <c r="L164" s="232"/>
      <c r="M164" s="232"/>
    </row>
    <row r="165" ht="15.6" spans="1:13">
      <c r="A165" s="286" t="s">
        <v>165</v>
      </c>
      <c r="B165" s="287"/>
      <c r="C165" s="287"/>
      <c r="D165" s="288" t="s">
        <v>149</v>
      </c>
      <c r="E165" s="232"/>
      <c r="F165" s="232"/>
      <c r="G165" s="232"/>
      <c r="H165" s="232"/>
      <c r="I165" s="232"/>
      <c r="J165" s="232"/>
      <c r="K165" s="232"/>
      <c r="L165" s="232"/>
      <c r="M165" s="232"/>
    </row>
    <row r="166" ht="15.6" spans="1:13">
      <c r="A166" s="286"/>
      <c r="B166" s="289" t="s">
        <v>151</v>
      </c>
      <c r="C166" s="290" t="s">
        <v>152</v>
      </c>
      <c r="D166" s="291">
        <v>1.5</v>
      </c>
      <c r="E166" s="232"/>
      <c r="F166" s="232"/>
      <c r="G166" s="232"/>
      <c r="H166" s="232"/>
      <c r="I166" s="232"/>
      <c r="J166" s="232"/>
      <c r="K166" s="232"/>
      <c r="L166" s="232"/>
      <c r="M166" s="232"/>
    </row>
    <row r="167" ht="13.8" spans="1:13">
      <c r="A167" s="286"/>
      <c r="B167" s="235">
        <v>0</v>
      </c>
      <c r="C167" s="235">
        <v>200</v>
      </c>
      <c r="D167" s="292">
        <v>1</v>
      </c>
      <c r="E167" s="232"/>
      <c r="F167" s="232"/>
      <c r="G167" s="232"/>
      <c r="H167" s="232"/>
      <c r="I167" s="232"/>
      <c r="J167" s="232"/>
      <c r="K167" s="232"/>
      <c r="L167" s="232"/>
      <c r="M167" s="232"/>
    </row>
    <row r="168" ht="13.8" spans="1:13">
      <c r="A168" s="286"/>
      <c r="B168" s="235">
        <v>201</v>
      </c>
      <c r="C168" s="235">
        <v>500</v>
      </c>
      <c r="D168" s="292">
        <v>0.95</v>
      </c>
      <c r="E168" s="232"/>
      <c r="F168" s="232"/>
      <c r="G168" s="232"/>
      <c r="H168" s="232"/>
      <c r="I168" s="232"/>
      <c r="J168" s="232"/>
      <c r="K168" s="232"/>
      <c r="L168" s="232"/>
      <c r="M168" s="232"/>
    </row>
    <row r="169" ht="13.8" spans="1:13">
      <c r="A169" s="286"/>
      <c r="B169" s="235">
        <v>501</v>
      </c>
      <c r="C169" s="235">
        <v>1000</v>
      </c>
      <c r="D169" s="292">
        <v>0.9</v>
      </c>
      <c r="E169" s="232"/>
      <c r="F169" s="232"/>
      <c r="G169" s="232"/>
      <c r="H169" s="232"/>
      <c r="I169" s="232"/>
      <c r="J169" s="232"/>
      <c r="K169" s="232"/>
      <c r="L169" s="232"/>
      <c r="M169" s="232"/>
    </row>
    <row r="170" ht="13.8" spans="1:13">
      <c r="A170" s="286"/>
      <c r="B170" s="235">
        <v>1001</v>
      </c>
      <c r="C170" s="235">
        <v>1500</v>
      </c>
      <c r="D170" s="292">
        <v>0.85</v>
      </c>
      <c r="E170" s="232"/>
      <c r="F170" s="232"/>
      <c r="G170" s="232"/>
      <c r="H170" s="232"/>
      <c r="I170" s="232"/>
      <c r="J170" s="232"/>
      <c r="K170" s="232"/>
      <c r="L170" s="232"/>
      <c r="M170" s="232"/>
    </row>
    <row r="171" ht="13.8" spans="1:13">
      <c r="A171" s="286"/>
      <c r="B171" s="235">
        <v>1501</v>
      </c>
      <c r="C171" s="235">
        <v>2000</v>
      </c>
      <c r="D171" s="292">
        <v>0.8</v>
      </c>
      <c r="E171" s="232"/>
      <c r="F171" s="232"/>
      <c r="G171" s="232"/>
      <c r="H171" s="232"/>
      <c r="I171" s="232"/>
      <c r="J171" s="232"/>
      <c r="K171" s="232"/>
      <c r="L171" s="232"/>
      <c r="M171" s="232"/>
    </row>
    <row r="172" ht="13.8" spans="1:13">
      <c r="A172" s="286"/>
      <c r="B172" s="235">
        <v>2001</v>
      </c>
      <c r="C172" s="235">
        <v>9999</v>
      </c>
      <c r="D172" s="292">
        <v>0.75</v>
      </c>
      <c r="E172" s="232"/>
      <c r="F172" s="232"/>
      <c r="G172" s="232"/>
      <c r="H172" s="232"/>
      <c r="I172" s="232"/>
      <c r="J172" s="232"/>
      <c r="K172" s="232"/>
      <c r="L172" s="232"/>
      <c r="M172" s="232"/>
    </row>
  </sheetData>
  <mergeCells count="18">
    <mergeCell ref="E21:F21"/>
    <mergeCell ref="G21:H21"/>
    <mergeCell ref="I21:J21"/>
    <mergeCell ref="E27:H27"/>
    <mergeCell ref="A61:A68"/>
    <mergeCell ref="A69:A76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  <mergeCell ref="A165:A17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"/>
  <sheetViews>
    <sheetView zoomScale="127" zoomScaleNormal="127" topLeftCell="D2" workbookViewId="0">
      <selection activeCell="I18" sqref="I18"/>
    </sheetView>
  </sheetViews>
  <sheetFormatPr defaultColWidth="9" defaultRowHeight="13.8"/>
  <cols>
    <col min="1" max="1" width="17.6666666666667" customWidth="1"/>
  </cols>
  <sheetData>
    <row r="1" customHeight="1" spans="1:34">
      <c r="A1" s="214" t="s">
        <v>166</v>
      </c>
      <c r="B1" s="215" t="s">
        <v>167</v>
      </c>
      <c r="C1" s="215" t="s">
        <v>168</v>
      </c>
      <c r="D1" s="215"/>
      <c r="E1" s="215"/>
      <c r="F1" s="215"/>
      <c r="G1" s="215" t="s">
        <v>148</v>
      </c>
      <c r="H1" s="216" t="s">
        <v>169</v>
      </c>
      <c r="I1" s="217">
        <v>1</v>
      </c>
      <c r="J1" s="217">
        <v>2</v>
      </c>
      <c r="K1" s="217">
        <v>3</v>
      </c>
      <c r="L1" s="217">
        <v>4</v>
      </c>
      <c r="M1" s="217">
        <v>5</v>
      </c>
      <c r="N1" s="217">
        <v>6</v>
      </c>
      <c r="O1" s="217">
        <v>7</v>
      </c>
      <c r="P1" s="217">
        <v>8</v>
      </c>
      <c r="Q1" s="217">
        <v>9</v>
      </c>
      <c r="R1" s="217">
        <v>10</v>
      </c>
      <c r="S1" s="217">
        <v>11</v>
      </c>
      <c r="T1" s="217">
        <v>12</v>
      </c>
      <c r="U1" s="217">
        <v>13</v>
      </c>
      <c r="V1" s="217">
        <v>14</v>
      </c>
      <c r="W1" s="217">
        <v>15</v>
      </c>
      <c r="X1" s="217">
        <v>16</v>
      </c>
      <c r="Y1" s="217">
        <v>17</v>
      </c>
      <c r="Z1" s="217">
        <v>18</v>
      </c>
      <c r="AA1" s="217">
        <v>19</v>
      </c>
      <c r="AB1" s="217">
        <v>20</v>
      </c>
      <c r="AC1" s="217">
        <v>21</v>
      </c>
      <c r="AD1" s="217">
        <v>22</v>
      </c>
      <c r="AE1" s="217">
        <v>23</v>
      </c>
      <c r="AF1" s="217">
        <v>24</v>
      </c>
      <c r="AG1" s="217">
        <v>25</v>
      </c>
      <c r="AH1" s="217">
        <v>26</v>
      </c>
    </row>
    <row r="2" spans="1:34">
      <c r="A2" s="214"/>
      <c r="B2" s="215"/>
      <c r="C2" s="217" t="s">
        <v>170</v>
      </c>
      <c r="D2" s="217" t="s">
        <v>171</v>
      </c>
      <c r="E2" s="217" t="s">
        <v>172</v>
      </c>
      <c r="F2" s="217" t="s">
        <v>173</v>
      </c>
      <c r="G2" s="215"/>
      <c r="H2" s="218" t="s">
        <v>174</v>
      </c>
      <c r="I2" s="217" t="s">
        <v>175</v>
      </c>
      <c r="J2" s="223" t="s">
        <v>175</v>
      </c>
      <c r="K2" s="217" t="s">
        <v>175</v>
      </c>
      <c r="L2" s="223" t="s">
        <v>175</v>
      </c>
      <c r="M2" s="217" t="s">
        <v>176</v>
      </c>
      <c r="N2" s="217" t="s">
        <v>176</v>
      </c>
      <c r="O2" s="217" t="s">
        <v>176</v>
      </c>
      <c r="P2" s="223" t="s">
        <v>176</v>
      </c>
      <c r="Q2" s="223" t="s">
        <v>176</v>
      </c>
      <c r="R2" s="217" t="s">
        <v>177</v>
      </c>
      <c r="S2" s="223" t="s">
        <v>177</v>
      </c>
      <c r="T2" s="217" t="s">
        <v>177</v>
      </c>
      <c r="U2" s="217" t="s">
        <v>177</v>
      </c>
      <c r="V2" s="223" t="s">
        <v>178</v>
      </c>
      <c r="W2" s="223" t="s">
        <v>178</v>
      </c>
      <c r="X2" s="217" t="s">
        <v>178</v>
      </c>
      <c r="Y2" s="217" t="s">
        <v>178</v>
      </c>
      <c r="Z2" s="223" t="s">
        <v>175</v>
      </c>
      <c r="AA2" s="217"/>
      <c r="AB2" s="217"/>
      <c r="AC2" s="217"/>
      <c r="AD2" s="217"/>
      <c r="AE2" s="217"/>
      <c r="AF2" s="217"/>
      <c r="AG2" s="217"/>
      <c r="AH2" s="217"/>
    </row>
    <row r="3" spans="1:34">
      <c r="A3" s="214"/>
      <c r="B3" s="215"/>
      <c r="C3" s="217"/>
      <c r="D3" s="217"/>
      <c r="E3" s="217"/>
      <c r="F3" s="217"/>
      <c r="G3" s="219"/>
      <c r="H3" s="220" t="s">
        <v>179</v>
      </c>
      <c r="I3" s="224" t="str">
        <f>IF(I4=1,1,IF(I5=1,2,IF(I6=1,3,"")))&amp;IF(I7=1,1,IF(I8=1,2,IF(I9=1,3,"")))&amp;IF(I10=1,1,IF(I11=1,2,IF(I12=1,3,IF(I13=1,4,""))))&amp;IF(I14=1,1,"")&amp;IF(I15=1,2,"")&amp;IF(I16=1,3,"")&amp;IF(I17=1,4,"")</f>
        <v>113</v>
      </c>
      <c r="J3" s="225" t="str">
        <f t="shared" ref="J3:L3" si="0">IF(J4=1,1,IF(J5=1,2,IF(J6=1,3,"")))&amp;IF(J7=1,1,IF(J8=1,2,IF(J9=1,3,"")))&amp;IF(J10=1,1,IF(J11=1,2,IF(J12=1,3,IF(J13=1,4,""))))&amp;IF(J14=1,1,"")&amp;IF(J15=1,2,"")&amp;IF(J16=1,3,"")&amp;IF(J17=1,4,"")</f>
        <v>3333</v>
      </c>
      <c r="K3" s="224" t="str">
        <f t="shared" si="0"/>
        <v>1112</v>
      </c>
      <c r="L3" s="225" t="str">
        <f t="shared" si="0"/>
        <v>13334</v>
      </c>
      <c r="M3" s="224" t="str">
        <f t="shared" ref="M3" si="1">IF(M4=1,1,IF(M5=1,2,IF(M6=1,3,"")))&amp;IF(M7=1,1,IF(M8=1,2,IF(M9=1,3,"")))&amp;IF(M10=1,1,IF(M11=1,2,IF(M12=1,3,IF(M13=1,4,""))))&amp;IF(M14=1,1,"")&amp;IF(M15=1,2,"")&amp;IF(M16=1,3,"")&amp;IF(M17=1,4,"")</f>
        <v>1111</v>
      </c>
      <c r="N3" s="224" t="str">
        <f t="shared" ref="N3" si="2">IF(N4=1,1,IF(N5=1,2,IF(N6=1,3,"")))&amp;IF(N7=1,1,IF(N8=1,2,IF(N9=1,3,"")))&amp;IF(N10=1,1,IF(N11=1,2,IF(N12=1,3,IF(N13=1,4,""))))&amp;IF(N14=1,1,"")&amp;IF(N15=1,2,"")&amp;IF(N16=1,3,"")&amp;IF(N17=1,4,"")</f>
        <v>113</v>
      </c>
      <c r="O3" s="224" t="str">
        <f t="shared" ref="O3" si="3">IF(O4=1,1,IF(O5=1,2,IF(O6=1,3,"")))&amp;IF(O7=1,1,IF(O8=1,2,IF(O9=1,3,"")))&amp;IF(O10=1,1,IF(O11=1,2,IF(O12=1,3,IF(O13=1,4,""))))&amp;IF(O14=1,1,"")&amp;IF(O15=1,2,"")&amp;IF(O16=1,3,"")&amp;IF(O17=1,4,"")</f>
        <v>1121</v>
      </c>
      <c r="P3" s="225" t="str">
        <f t="shared" ref="P3" si="4">IF(P4=1,1,IF(P5=1,2,IF(P6=1,3,"")))&amp;IF(P7=1,1,IF(P8=1,2,IF(P9=1,3,"")))&amp;IF(P10=1,1,IF(P11=1,2,IF(P12=1,3,IF(P13=1,4,""))))&amp;IF(P14=1,1,"")&amp;IF(P15=1,2,"")&amp;IF(P16=1,3,"")&amp;IF(P17=1,4,"")</f>
        <v>1331</v>
      </c>
      <c r="Q3" s="225" t="str">
        <f t="shared" ref="Q3" si="5">IF(Q4=1,1,IF(Q5=1,2,IF(Q6=1,3,"")))&amp;IF(Q7=1,1,IF(Q8=1,2,IF(Q9=1,3,"")))&amp;IF(Q10=1,1,IF(Q11=1,2,IF(Q12=1,3,IF(Q13=1,4,""))))&amp;IF(Q14=1,1,"")&amp;IF(Q15=1,2,"")&amp;IF(Q16=1,3,"")&amp;IF(Q17=1,4,"")</f>
        <v>13113</v>
      </c>
      <c r="R3" s="224" t="str">
        <f t="shared" ref="R3" si="6">IF(R4=1,1,IF(R5=1,2,IF(R6=1,3,"")))&amp;IF(R7=1,1,IF(R8=1,2,IF(R9=1,3,"")))&amp;IF(R10=1,1,IF(R11=1,2,IF(R12=1,3,IF(R13=1,4,""))))&amp;IF(R14=1,1,"")&amp;IF(R15=1,2,"")&amp;IF(R16=1,3,"")&amp;IF(R17=1,4,"")</f>
        <v>212</v>
      </c>
      <c r="S3" s="225" t="str">
        <f t="shared" ref="S3" si="7">IF(S4=1,1,IF(S5=1,2,IF(S6=1,3,"")))&amp;IF(S7=1,1,IF(S8=1,2,IF(S9=1,3,"")))&amp;IF(S10=1,1,IF(S11=1,2,IF(S12=1,3,IF(S13=1,4,""))))&amp;IF(S14=1,1,"")&amp;IF(S15=1,2,"")&amp;IF(S16=1,3,"")&amp;IF(S17=1,4,"")</f>
        <v>1121</v>
      </c>
      <c r="T3" s="224" t="str">
        <f t="shared" ref="T3" si="8">IF(T4=1,1,IF(T5=1,2,IF(T6=1,3,"")))&amp;IF(T7=1,1,IF(T8=1,2,IF(T9=1,3,"")))&amp;IF(T10=1,1,IF(T11=1,2,IF(T12=1,3,IF(T13=1,4,""))))&amp;IF(T14=1,1,"")&amp;IF(T15=1,2,"")&amp;IF(T16=1,3,"")&amp;IF(T17=1,4,"")</f>
        <v>112</v>
      </c>
      <c r="U3" s="224" t="str">
        <f t="shared" ref="U3" si="9">IF(U4=1,1,IF(U5=1,2,IF(U6=1,3,"")))&amp;IF(U7=1,1,IF(U8=1,2,IF(U9=1,3,"")))&amp;IF(U10=1,1,IF(U11=1,2,IF(U12=1,3,IF(U13=1,4,""))))&amp;IF(U14=1,1,"")&amp;IF(U15=1,2,"")&amp;IF(U16=1,3,"")&amp;IF(U17=1,4,"")</f>
        <v>211</v>
      </c>
      <c r="V3" s="225" t="str">
        <f t="shared" ref="V3" si="10">IF(V4=1,1,IF(V5=1,2,IF(V6=1,3,"")))&amp;IF(V7=1,1,IF(V8=1,2,IF(V9=1,3,"")))&amp;IF(V10=1,1,IF(V11=1,2,IF(V12=1,3,IF(V13=1,4,""))))&amp;IF(V14=1,1,"")&amp;IF(V15=1,2,"")&amp;IF(V16=1,3,"")&amp;IF(V17=1,4,"")</f>
        <v>121</v>
      </c>
      <c r="W3" s="225" t="str">
        <f t="shared" ref="W3" si="11">IF(W4=1,1,IF(W5=1,2,IF(W6=1,3,"")))&amp;IF(W7=1,1,IF(W8=1,2,IF(W9=1,3,"")))&amp;IF(W10=1,1,IF(W11=1,2,IF(W12=1,3,IF(W13=1,4,""))))&amp;IF(W14=1,1,"")&amp;IF(W15=1,2,"")&amp;IF(W16=1,3,"")&amp;IF(W17=1,4,"")</f>
        <v>122</v>
      </c>
      <c r="X3" s="224" t="str">
        <f t="shared" ref="X3" si="12">IF(X4=1,1,IF(X5=1,2,IF(X6=1,3,"")))&amp;IF(X7=1,1,IF(X8=1,2,IF(X9=1,3,"")))&amp;IF(X10=1,1,IF(X11=1,2,IF(X12=1,3,IF(X13=1,4,""))))&amp;IF(X14=1,1,"")&amp;IF(X15=1,2,"")&amp;IF(X16=1,3,"")&amp;IF(X17=1,4,"")</f>
        <v>111</v>
      </c>
      <c r="Y3" s="224" t="str">
        <f t="shared" ref="Y3" si="13">IF(Y4=1,1,IF(Y5=1,2,IF(Y6=1,3,"")))&amp;IF(Y7=1,1,IF(Y8=1,2,IF(Y9=1,3,"")))&amp;IF(Y10=1,1,IF(Y11=1,2,IF(Y12=1,3,IF(Y13=1,4,""))))&amp;IF(Y14=1,1,"")&amp;IF(Y15=1,2,"")&amp;IF(Y16=1,3,"")&amp;IF(Y17=1,4,"")</f>
        <v/>
      </c>
      <c r="Z3" s="225" t="str">
        <f t="shared" ref="Z3" si="14">IF(Z4=1,1,IF(Z5=1,2,IF(Z6=1,3,"")))&amp;IF(Z7=1,1,IF(Z8=1,2,IF(Z9=1,3,"")))&amp;IF(Z10=1,1,IF(Z11=1,2,IF(Z12=1,3,IF(Z13=1,4,""))))&amp;IF(Z14=1,1,"")&amp;IF(Z15=1,2,"")&amp;IF(Z16=1,3,"")&amp;IF(Z17=1,4,"")</f>
        <v>1333</v>
      </c>
      <c r="AA3" s="224" t="str">
        <f t="shared" ref="AA3" si="15">IF(AA4=1,1,IF(AA5=1,2,IF(AA6=1,3,"")))&amp;IF(AA7=1,1,IF(AA8=1,2,IF(AA9=1,3,"")))&amp;IF(AA10=1,1,IF(AA11=1,2,IF(AA12=1,3,IF(AA13=1,4,""))))&amp;IF(AA14=1,1,"")&amp;IF(AA15=1,2,"")&amp;IF(AA16=1,3,"")&amp;IF(AA17=1,4,"")</f>
        <v/>
      </c>
      <c r="AB3" s="224" t="str">
        <f t="shared" ref="AB3" si="16">IF(AB4=1,1,IF(AB5=1,2,IF(AB6=1,3,"")))&amp;IF(AB7=1,1,IF(AB8=1,2,IF(AB9=1,3,"")))&amp;IF(AB10=1,1,IF(AB11=1,2,IF(AB12=1,3,IF(AB13=1,4,""))))&amp;IF(AB14=1,1,"")&amp;IF(AB15=1,2,"")&amp;IF(AB16=1,3,"")&amp;IF(AB17=1,4,"")</f>
        <v/>
      </c>
      <c r="AC3" s="224" t="str">
        <f t="shared" ref="AC3" si="17">IF(AC4=1,1,IF(AC5=1,2,IF(AC6=1,3,"")))&amp;IF(AC7=1,1,IF(AC8=1,2,IF(AC9=1,3,"")))&amp;IF(AC10=1,1,IF(AC11=1,2,IF(AC12=1,3,IF(AC13=1,4,""))))&amp;IF(AC14=1,1,"")&amp;IF(AC15=1,2,"")&amp;IF(AC16=1,3,"")&amp;IF(AC17=1,4,"")</f>
        <v/>
      </c>
      <c r="AD3" s="224" t="str">
        <f t="shared" ref="AD3" si="18">IF(AD4=1,1,IF(AD5=1,2,IF(AD6=1,3,"")))&amp;IF(AD7=1,1,IF(AD8=1,2,IF(AD9=1,3,"")))&amp;IF(AD10=1,1,IF(AD11=1,2,IF(AD12=1,3,IF(AD13=1,4,""))))&amp;IF(AD14=1,1,"")&amp;IF(AD15=1,2,"")&amp;IF(AD16=1,3,"")&amp;IF(AD17=1,4,"")</f>
        <v/>
      </c>
      <c r="AE3" s="224" t="str">
        <f t="shared" ref="AE3" si="19">IF(AE4=1,1,IF(AE5=1,2,IF(AE6=1,3,"")))&amp;IF(AE7=1,1,IF(AE8=1,2,IF(AE9=1,3,"")))&amp;IF(AE10=1,1,IF(AE11=1,2,IF(AE12=1,3,IF(AE13=1,4,""))))&amp;IF(AE14=1,1,"")&amp;IF(AE15=1,2,"")&amp;IF(AE16=1,3,"")&amp;IF(AE17=1,4,"")</f>
        <v/>
      </c>
      <c r="AF3" s="224" t="str">
        <f t="shared" ref="AF3" si="20">IF(AF4=1,1,IF(AF5=1,2,IF(AF6=1,3,"")))&amp;IF(AF7=1,1,IF(AF8=1,2,IF(AF9=1,3,"")))&amp;IF(AF10=1,1,IF(AF11=1,2,IF(AF12=1,3,IF(AF13=1,4,""))))&amp;IF(AF14=1,1,"")&amp;IF(AF15=1,2,"")&amp;IF(AF16=1,3,"")&amp;IF(AF17=1,4,"")</f>
        <v/>
      </c>
      <c r="AG3" s="224" t="str">
        <f t="shared" ref="AG3" si="21">IF(AG4=1,1,IF(AG5=1,2,IF(AG6=1,3,"")))&amp;IF(AG7=1,1,IF(AG8=1,2,IF(AG9=1,3,"")))&amp;IF(AG10=1,1,IF(AG11=1,2,IF(AG12=1,3,IF(AG13=1,4,""))))&amp;IF(AG14=1,1,"")&amp;IF(AG15=1,2,"")&amp;IF(AG16=1,3,"")&amp;IF(AG17=1,4,"")</f>
        <v/>
      </c>
      <c r="AH3" s="224" t="str">
        <f t="shared" ref="AH3" si="22">IF(AH4=1,1,IF(AH5=1,2,IF(AH6=1,3,"")))&amp;IF(AH7=1,1,IF(AH8=1,2,IF(AH9=1,3,"")))&amp;IF(AH10=1,1,IF(AH11=1,2,IF(AH12=1,3,IF(AH13=1,4,""))))&amp;IF(AH14=1,1,"")&amp;IF(AH15=1,2,"")&amp;IF(AH16=1,3,"")&amp;IF(AH17=1,4,"")</f>
        <v/>
      </c>
    </row>
    <row r="4" spans="1:34">
      <c r="A4" s="217" t="s">
        <v>180</v>
      </c>
      <c r="B4" s="217" t="s">
        <v>181</v>
      </c>
      <c r="C4" s="221">
        <v>1</v>
      </c>
      <c r="D4" s="221">
        <v>1</v>
      </c>
      <c r="E4" s="221">
        <v>1</v>
      </c>
      <c r="F4" s="91">
        <v>10</v>
      </c>
      <c r="G4" s="217">
        <v>0.1</v>
      </c>
      <c r="H4" s="222" t="s">
        <v>182</v>
      </c>
      <c r="I4" s="192">
        <v>1</v>
      </c>
      <c r="J4" s="192"/>
      <c r="K4" s="192">
        <v>1</v>
      </c>
      <c r="L4" s="192">
        <v>1</v>
      </c>
      <c r="M4" s="192">
        <v>1</v>
      </c>
      <c r="N4" s="192">
        <v>1</v>
      </c>
      <c r="O4" s="192">
        <v>1</v>
      </c>
      <c r="P4" s="192">
        <v>1</v>
      </c>
      <c r="Q4" s="192">
        <v>1</v>
      </c>
      <c r="R4" s="192"/>
      <c r="S4" s="192">
        <v>1</v>
      </c>
      <c r="T4" s="192">
        <v>1</v>
      </c>
      <c r="U4" s="192"/>
      <c r="V4" s="192">
        <v>1</v>
      </c>
      <c r="W4" s="192">
        <v>1</v>
      </c>
      <c r="X4" s="192">
        <v>1</v>
      </c>
      <c r="Y4" s="192"/>
      <c r="Z4" s="192">
        <v>1</v>
      </c>
      <c r="AA4" s="192"/>
      <c r="AB4" s="192"/>
      <c r="AC4" s="192"/>
      <c r="AD4" s="192"/>
      <c r="AE4" s="192"/>
      <c r="AF4" s="192"/>
      <c r="AG4" s="192"/>
      <c r="AH4" s="192"/>
    </row>
    <row r="5" spans="1:34">
      <c r="A5" s="217"/>
      <c r="B5" s="217" t="s">
        <v>183</v>
      </c>
      <c r="C5" s="221">
        <v>1</v>
      </c>
      <c r="D5" s="221">
        <v>1</v>
      </c>
      <c r="E5" s="91">
        <v>10</v>
      </c>
      <c r="F5" s="91">
        <v>1</v>
      </c>
      <c r="G5" s="217">
        <v>0.2</v>
      </c>
      <c r="H5" s="222"/>
      <c r="I5" s="192"/>
      <c r="J5" s="192"/>
      <c r="K5" s="192"/>
      <c r="L5" s="192"/>
      <c r="M5" s="192"/>
      <c r="N5" s="192"/>
      <c r="O5" s="192"/>
      <c r="P5" s="192"/>
      <c r="Q5" s="192"/>
      <c r="R5" s="192">
        <v>1</v>
      </c>
      <c r="S5" s="192"/>
      <c r="T5" s="192"/>
      <c r="U5" s="192">
        <v>1</v>
      </c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</row>
    <row r="6" spans="1:34">
      <c r="A6" s="217"/>
      <c r="B6" s="217" t="s">
        <v>184</v>
      </c>
      <c r="C6" s="91">
        <v>10</v>
      </c>
      <c r="D6" s="91">
        <v>10</v>
      </c>
      <c r="E6" s="91">
        <v>1</v>
      </c>
      <c r="F6" s="91">
        <v>1</v>
      </c>
      <c r="G6" s="217">
        <v>0.3</v>
      </c>
      <c r="H6" s="222"/>
      <c r="I6" s="192"/>
      <c r="J6" s="192">
        <v>1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</row>
    <row r="7" spans="1:34">
      <c r="A7" s="217" t="s">
        <v>185</v>
      </c>
      <c r="B7" s="217" t="s">
        <v>155</v>
      </c>
      <c r="C7" s="91">
        <v>1</v>
      </c>
      <c r="D7" s="91">
        <v>1</v>
      </c>
      <c r="E7" s="91">
        <v>10</v>
      </c>
      <c r="F7" s="91">
        <v>1</v>
      </c>
      <c r="G7" s="217">
        <v>0.1</v>
      </c>
      <c r="H7" s="222"/>
      <c r="I7" s="226">
        <v>1</v>
      </c>
      <c r="J7" s="226"/>
      <c r="K7" s="226">
        <v>1</v>
      </c>
      <c r="L7" s="226"/>
      <c r="M7" s="226">
        <v>1</v>
      </c>
      <c r="N7" s="226">
        <v>1</v>
      </c>
      <c r="O7" s="226">
        <v>1</v>
      </c>
      <c r="P7" s="226"/>
      <c r="Q7" s="226"/>
      <c r="R7" s="226">
        <v>1</v>
      </c>
      <c r="S7" s="226">
        <v>1</v>
      </c>
      <c r="T7" s="226">
        <v>1</v>
      </c>
      <c r="U7" s="226">
        <v>1</v>
      </c>
      <c r="V7" s="226"/>
      <c r="W7" s="226"/>
      <c r="X7" s="226">
        <v>1</v>
      </c>
      <c r="Y7" s="226"/>
      <c r="Z7" s="226"/>
      <c r="AA7" s="226"/>
      <c r="AB7" s="226"/>
      <c r="AC7" s="226"/>
      <c r="AD7" s="226"/>
      <c r="AE7" s="226"/>
      <c r="AF7" s="226"/>
      <c r="AG7" s="226"/>
      <c r="AH7" s="226"/>
    </row>
    <row r="8" spans="1:34">
      <c r="A8" s="217"/>
      <c r="B8" s="217" t="s">
        <v>156</v>
      </c>
      <c r="C8" s="91">
        <v>1</v>
      </c>
      <c r="D8" s="91">
        <v>1</v>
      </c>
      <c r="E8" s="91">
        <v>1</v>
      </c>
      <c r="F8" s="91">
        <v>10</v>
      </c>
      <c r="G8" s="217">
        <v>0.2</v>
      </c>
      <c r="H8" s="22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>
        <v>1</v>
      </c>
      <c r="W8" s="226">
        <v>1</v>
      </c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</row>
    <row r="9" spans="1:34">
      <c r="A9" s="217"/>
      <c r="B9" s="217" t="s">
        <v>157</v>
      </c>
      <c r="C9" s="91">
        <v>10</v>
      </c>
      <c r="D9" s="91">
        <v>10</v>
      </c>
      <c r="E9" s="91">
        <v>1</v>
      </c>
      <c r="F9" s="91">
        <v>10</v>
      </c>
      <c r="G9" s="217">
        <v>0.3</v>
      </c>
      <c r="H9" s="222"/>
      <c r="I9" s="226"/>
      <c r="J9" s="226">
        <v>1</v>
      </c>
      <c r="K9" s="226"/>
      <c r="L9" s="226">
        <v>1</v>
      </c>
      <c r="M9" s="226"/>
      <c r="N9" s="226"/>
      <c r="O9" s="226"/>
      <c r="P9" s="226">
        <v>1</v>
      </c>
      <c r="Q9" s="226">
        <v>1</v>
      </c>
      <c r="R9" s="226"/>
      <c r="S9" s="226"/>
      <c r="T9" s="226"/>
      <c r="U9" s="226"/>
      <c r="V9" s="226"/>
      <c r="W9" s="226"/>
      <c r="X9" s="226"/>
      <c r="Y9" s="226"/>
      <c r="Z9" s="226">
        <v>1</v>
      </c>
      <c r="AA9" s="226"/>
      <c r="AB9" s="226"/>
      <c r="AC9" s="226"/>
      <c r="AD9" s="226"/>
      <c r="AE9" s="226"/>
      <c r="AF9" s="226"/>
      <c r="AG9" s="226"/>
      <c r="AH9" s="226"/>
    </row>
    <row r="10" spans="1:34">
      <c r="A10" s="217" t="s">
        <v>186</v>
      </c>
      <c r="B10" s="217" t="s">
        <v>158</v>
      </c>
      <c r="C10" s="91">
        <v>1</v>
      </c>
      <c r="D10" s="91">
        <v>1</v>
      </c>
      <c r="E10" s="91">
        <v>1</v>
      </c>
      <c r="F10" s="91">
        <v>10</v>
      </c>
      <c r="G10" s="217">
        <v>0.1</v>
      </c>
      <c r="H10" s="222"/>
      <c r="I10" s="227"/>
      <c r="J10" s="227"/>
      <c r="K10" s="227">
        <v>1</v>
      </c>
      <c r="L10" s="227"/>
      <c r="M10" s="227">
        <v>1</v>
      </c>
      <c r="N10" s="227"/>
      <c r="O10" s="227"/>
      <c r="P10" s="227"/>
      <c r="Q10" s="227">
        <v>1</v>
      </c>
      <c r="R10" s="227"/>
      <c r="S10" s="227"/>
      <c r="T10" s="227"/>
      <c r="U10" s="227">
        <v>1</v>
      </c>
      <c r="V10" s="227">
        <v>1</v>
      </c>
      <c r="W10" s="227"/>
      <c r="X10" s="227">
        <v>1</v>
      </c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</row>
    <row r="11" spans="1:34">
      <c r="A11" s="217"/>
      <c r="B11" s="217" t="s">
        <v>159</v>
      </c>
      <c r="C11" s="91">
        <v>1</v>
      </c>
      <c r="D11" s="91">
        <v>1</v>
      </c>
      <c r="E11" s="91">
        <v>10</v>
      </c>
      <c r="F11" s="91">
        <v>10</v>
      </c>
      <c r="G11" s="217">
        <v>0.15</v>
      </c>
      <c r="H11" s="222"/>
      <c r="I11" s="227"/>
      <c r="J11" s="227"/>
      <c r="K11" s="227"/>
      <c r="L11" s="227"/>
      <c r="M11" s="227"/>
      <c r="N11" s="227"/>
      <c r="O11" s="227">
        <v>1</v>
      </c>
      <c r="P11" s="227"/>
      <c r="Q11" s="227"/>
      <c r="R11" s="227">
        <v>1</v>
      </c>
      <c r="S11" s="227">
        <v>1</v>
      </c>
      <c r="T11" s="227">
        <v>1</v>
      </c>
      <c r="U11" s="227"/>
      <c r="V11" s="227"/>
      <c r="W11" s="227">
        <v>1</v>
      </c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</row>
    <row r="12" spans="1:34">
      <c r="A12" s="217"/>
      <c r="B12" s="217" t="s">
        <v>160</v>
      </c>
      <c r="C12" s="91">
        <v>10</v>
      </c>
      <c r="D12" s="91">
        <v>10</v>
      </c>
      <c r="E12" s="91">
        <v>10</v>
      </c>
      <c r="F12" s="91">
        <v>10</v>
      </c>
      <c r="G12" s="217">
        <v>0.2</v>
      </c>
      <c r="H12" s="222"/>
      <c r="I12" s="227">
        <v>1</v>
      </c>
      <c r="J12" s="227">
        <v>1</v>
      </c>
      <c r="K12" s="227"/>
      <c r="L12" s="227">
        <v>1</v>
      </c>
      <c r="M12" s="227"/>
      <c r="N12" s="227">
        <v>1</v>
      </c>
      <c r="O12" s="227"/>
      <c r="P12" s="227">
        <v>1</v>
      </c>
      <c r="Q12" s="227"/>
      <c r="R12" s="227"/>
      <c r="S12" s="227"/>
      <c r="T12" s="227"/>
      <c r="U12" s="227"/>
      <c r="V12" s="227"/>
      <c r="W12" s="227"/>
      <c r="X12" s="227"/>
      <c r="Y12" s="227"/>
      <c r="Z12" s="227">
        <v>1</v>
      </c>
      <c r="AA12" s="227"/>
      <c r="AB12" s="227"/>
      <c r="AC12" s="227"/>
      <c r="AD12" s="227"/>
      <c r="AE12" s="227"/>
      <c r="AF12" s="227"/>
      <c r="AG12" s="227"/>
      <c r="AH12" s="227"/>
    </row>
    <row r="13" spans="1:34">
      <c r="A13" s="217"/>
      <c r="B13" s="217" t="s">
        <v>161</v>
      </c>
      <c r="C13" s="91">
        <v>10</v>
      </c>
      <c r="D13" s="91">
        <v>10</v>
      </c>
      <c r="E13" s="91">
        <v>10</v>
      </c>
      <c r="F13" s="91">
        <v>10</v>
      </c>
      <c r="G13" s="217">
        <v>0.3</v>
      </c>
      <c r="H13" s="222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</row>
    <row r="14" spans="1:34">
      <c r="A14" s="217" t="s">
        <v>187</v>
      </c>
      <c r="B14" s="217" t="s">
        <v>188</v>
      </c>
      <c r="C14" s="91">
        <v>1</v>
      </c>
      <c r="D14" s="91">
        <v>10</v>
      </c>
      <c r="E14" s="91">
        <v>10</v>
      </c>
      <c r="F14" s="91">
        <v>10</v>
      </c>
      <c r="G14" s="217">
        <v>0.1</v>
      </c>
      <c r="H14" s="222"/>
      <c r="I14" s="228"/>
      <c r="J14" s="228"/>
      <c r="K14" s="228"/>
      <c r="L14" s="228"/>
      <c r="M14" s="228">
        <v>1</v>
      </c>
      <c r="N14" s="228"/>
      <c r="O14" s="228">
        <v>1</v>
      </c>
      <c r="P14" s="228">
        <v>1</v>
      </c>
      <c r="Q14" s="228">
        <v>1</v>
      </c>
      <c r="R14" s="228"/>
      <c r="S14" s="228">
        <v>1</v>
      </c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</row>
    <row r="15" spans="1:34">
      <c r="A15" s="217"/>
      <c r="B15" s="217" t="s">
        <v>189</v>
      </c>
      <c r="C15" s="91">
        <v>5</v>
      </c>
      <c r="D15" s="91">
        <v>1</v>
      </c>
      <c r="E15" s="91">
        <v>1</v>
      </c>
      <c r="F15" s="91">
        <v>10</v>
      </c>
      <c r="G15" s="217">
        <v>0.1</v>
      </c>
      <c r="H15" s="222"/>
      <c r="I15" s="228"/>
      <c r="J15" s="228"/>
      <c r="K15" s="228">
        <v>1</v>
      </c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</row>
    <row r="16" spans="1:34">
      <c r="A16" s="217"/>
      <c r="B16" s="217" t="s">
        <v>190</v>
      </c>
      <c r="C16" s="91">
        <v>10</v>
      </c>
      <c r="D16" s="91">
        <v>10</v>
      </c>
      <c r="E16" s="91">
        <v>10</v>
      </c>
      <c r="F16" s="221">
        <v>1</v>
      </c>
      <c r="G16" s="217">
        <v>0.2</v>
      </c>
      <c r="H16" s="222"/>
      <c r="I16" s="228"/>
      <c r="J16" s="228">
        <v>1</v>
      </c>
      <c r="K16" s="228"/>
      <c r="L16" s="228">
        <v>1</v>
      </c>
      <c r="M16" s="228"/>
      <c r="N16" s="228"/>
      <c r="O16" s="228"/>
      <c r="P16" s="228"/>
      <c r="Q16" s="228">
        <v>1</v>
      </c>
      <c r="R16" s="228"/>
      <c r="S16" s="228"/>
      <c r="T16" s="228"/>
      <c r="U16" s="228"/>
      <c r="V16" s="228"/>
      <c r="W16" s="228"/>
      <c r="X16" s="228"/>
      <c r="Y16" s="228"/>
      <c r="Z16" s="228">
        <v>1</v>
      </c>
      <c r="AA16" s="228"/>
      <c r="AB16" s="228"/>
      <c r="AC16" s="228"/>
      <c r="AD16" s="228"/>
      <c r="AE16" s="228"/>
      <c r="AF16" s="228"/>
      <c r="AG16" s="228"/>
      <c r="AH16" s="228"/>
    </row>
    <row r="17" spans="1:34">
      <c r="A17" s="217"/>
      <c r="B17" s="217" t="s">
        <v>165</v>
      </c>
      <c r="C17" s="91">
        <v>10</v>
      </c>
      <c r="D17" s="221">
        <v>1</v>
      </c>
      <c r="E17" s="221">
        <v>1</v>
      </c>
      <c r="F17" s="221">
        <v>1</v>
      </c>
      <c r="G17" s="217">
        <v>0.2</v>
      </c>
      <c r="H17" s="222"/>
      <c r="I17" s="228"/>
      <c r="J17" s="228"/>
      <c r="K17" s="228"/>
      <c r="L17" s="228">
        <v>1</v>
      </c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</row>
    <row r="18" spans="1:34">
      <c r="A18" s="217"/>
      <c r="B18" s="217"/>
      <c r="C18" s="217"/>
      <c r="D18" s="217"/>
      <c r="E18" s="217"/>
      <c r="F18" s="217"/>
      <c r="G18" s="217"/>
      <c r="H18" s="217" t="s">
        <v>191</v>
      </c>
      <c r="I18" s="217">
        <f>IF(I2="S",SUMPRODUCT($C$4:$C$17,I4:I17),IF(I2="B",SUMPRODUCT($D$4:$D$17,I4:I17),IF(I2="Q",SUMPRODUCT($E$4:$E$17,I4:I17),SUMPRODUCT($F$4:$F$17,I4:I17))))</f>
        <v>12</v>
      </c>
      <c r="J18" s="217">
        <f t="shared" ref="J18:U18" si="23">IF(J2="S",SUMPRODUCT($C$4:$C$17,J4:J17),IF(J2="B",SUMPRODUCT($D$4:$D$17,J4:J17),IF(J2="Q",SUMPRODUCT($E$4:$E$17,J4:J17),SUMPRODUCT($F$4:$F$17,J4:J17))))</f>
        <v>40</v>
      </c>
      <c r="K18" s="217">
        <f t="shared" si="23"/>
        <v>8</v>
      </c>
      <c r="L18" s="217">
        <f t="shared" si="23"/>
        <v>41</v>
      </c>
      <c r="M18" s="217">
        <f t="shared" si="23"/>
        <v>13</v>
      </c>
      <c r="N18" s="217">
        <f t="shared" si="23"/>
        <v>12</v>
      </c>
      <c r="O18" s="217">
        <f t="shared" si="23"/>
        <v>13</v>
      </c>
      <c r="P18" s="217">
        <f t="shared" si="23"/>
        <v>31</v>
      </c>
      <c r="Q18" s="217">
        <f t="shared" si="23"/>
        <v>32</v>
      </c>
      <c r="R18" s="217">
        <f t="shared" si="23"/>
        <v>30</v>
      </c>
      <c r="S18" s="217">
        <f t="shared" si="23"/>
        <v>31</v>
      </c>
      <c r="T18" s="217">
        <f t="shared" si="23"/>
        <v>21</v>
      </c>
      <c r="U18" s="217">
        <f t="shared" si="23"/>
        <v>21</v>
      </c>
      <c r="V18" s="217">
        <f t="shared" ref="V18" si="24">IF(V2="S",SUMPRODUCT($C$4:$C$17,V4:V17),IF(V2="B",SUMPRODUCT($D$4:$D$17,V4:V17),IF(V2="Q",SUMPRODUCT($E$4:$E$17,V4:V17),SUMPRODUCT($F$4:$F$17,V4:V17))))</f>
        <v>30</v>
      </c>
      <c r="W18" s="217">
        <f t="shared" ref="W18" si="25">IF(W2="S",SUMPRODUCT($C$4:$C$17,W4:W17),IF(W2="B",SUMPRODUCT($D$4:$D$17,W4:W17),IF(W2="Q",SUMPRODUCT($E$4:$E$17,W4:W17),SUMPRODUCT($F$4:$F$17,W4:W17))))</f>
        <v>30</v>
      </c>
      <c r="X18" s="217">
        <f t="shared" ref="X18" si="26">IF(X2="S",SUMPRODUCT($C$4:$C$17,X4:X17),IF(X2="B",SUMPRODUCT($D$4:$D$17,X4:X17),IF(X2="Q",SUMPRODUCT($E$4:$E$17,X4:X17),SUMPRODUCT($F$4:$F$17,X4:X17))))</f>
        <v>21</v>
      </c>
      <c r="Y18" s="217">
        <f t="shared" ref="Y18" si="27">IF(Y2="S",SUMPRODUCT($C$4:$C$17,Y4:Y17),IF(Y2="B",SUMPRODUCT($D$4:$D$17,Y4:Y17),IF(Y2="Q",SUMPRODUCT($E$4:$E$17,Y4:Y17),SUMPRODUCT($F$4:$F$17,Y4:Y17))))</f>
        <v>0</v>
      </c>
      <c r="Z18" s="217">
        <f t="shared" ref="Z18" si="28">IF(Z2="S",SUMPRODUCT($C$4:$C$17,Z4:Z17),IF(Z2="B",SUMPRODUCT($D$4:$D$17,Z4:Z17),IF(Z2="Q",SUMPRODUCT($E$4:$E$17,Z4:Z17),SUMPRODUCT($F$4:$F$17,Z4:Z17))))</f>
        <v>31</v>
      </c>
      <c r="AA18" s="217">
        <f t="shared" ref="AA18" si="29">IF(AA2="S",SUMPRODUCT($C$4:$C$17,AA4:AA17),IF(AA2="B",SUMPRODUCT($D$4:$D$17,AA4:AA17),IF(AA2="Q",SUMPRODUCT($E$4:$E$17,AA4:AA17),SUMPRODUCT($F$4:$F$17,AA4:AA17))))</f>
        <v>0</v>
      </c>
      <c r="AB18" s="217">
        <f t="shared" ref="AB18" si="30">IF(AB2="S",SUMPRODUCT($C$4:$C$17,AB4:AB17),IF(AB2="B",SUMPRODUCT($D$4:$D$17,AB4:AB17),IF(AB2="Q",SUMPRODUCT($E$4:$E$17,AB4:AB17),SUMPRODUCT($F$4:$F$17,AB4:AB17))))</f>
        <v>0</v>
      </c>
      <c r="AC18" s="217">
        <f t="shared" ref="AC18" si="31">IF(AC2="S",SUMPRODUCT($C$4:$C$17,AC4:AC17),IF(AC2="B",SUMPRODUCT($D$4:$D$17,AC4:AC17),IF(AC2="Q",SUMPRODUCT($E$4:$E$17,AC4:AC17),SUMPRODUCT($F$4:$F$17,AC4:AC17))))</f>
        <v>0</v>
      </c>
      <c r="AD18" s="217">
        <f t="shared" ref="AD18" si="32">IF(AD2="S",SUMPRODUCT($C$4:$C$17,AD4:AD17),IF(AD2="B",SUMPRODUCT($D$4:$D$17,AD4:AD17),IF(AD2="Q",SUMPRODUCT($E$4:$E$17,AD4:AD17),SUMPRODUCT($F$4:$F$17,AD4:AD17))))</f>
        <v>0</v>
      </c>
      <c r="AE18" s="217">
        <f t="shared" ref="AE18" si="33">IF(AE2="S",SUMPRODUCT($C$4:$C$17,AE4:AE17),IF(AE2="B",SUMPRODUCT($D$4:$D$17,AE4:AE17),IF(AE2="Q",SUMPRODUCT($E$4:$E$17,AE4:AE17),SUMPRODUCT($F$4:$F$17,AE4:AE17))))</f>
        <v>0</v>
      </c>
      <c r="AF18" s="217">
        <f t="shared" ref="AF18" si="34">IF(AF2="S",SUMPRODUCT($C$4:$C$17,AF4:AF17),IF(AF2="B",SUMPRODUCT($D$4:$D$17,AF4:AF17),IF(AF2="Q",SUMPRODUCT($E$4:$E$17,AF4:AF17),SUMPRODUCT($F$4:$F$17,AF4:AF17))))</f>
        <v>0</v>
      </c>
      <c r="AG18" s="217">
        <f t="shared" ref="AG18" si="35">IF(AG2="S",SUMPRODUCT($C$4:$C$17,AG4:AG17),IF(AG2="B",SUMPRODUCT($D$4:$D$17,AG4:AG17),IF(AG2="Q",SUMPRODUCT($E$4:$E$17,AG4:AG17),SUMPRODUCT($F$4:$F$17,AG4:AG17))))</f>
        <v>0</v>
      </c>
      <c r="AH18" s="217">
        <f t="shared" ref="AH18" si="36">IF(AH2="S",SUMPRODUCT($C$4:$C$17,AH4:AH17),IF(AH2="B",SUMPRODUCT($D$4:$D$17,AH4:AH17),IF(AH2="Q",SUMPRODUCT($E$4:$E$17,AH4:AH17),SUMPRODUCT($F$4:$F$17,AH4:AH17))))</f>
        <v>0</v>
      </c>
    </row>
  </sheetData>
  <mergeCells count="13">
    <mergeCell ref="C1:F1"/>
    <mergeCell ref="A1:A3"/>
    <mergeCell ref="A4:A6"/>
    <mergeCell ref="A7:A9"/>
    <mergeCell ref="A10:A13"/>
    <mergeCell ref="A14:A17"/>
    <mergeCell ref="B1:B3"/>
    <mergeCell ref="C2:C3"/>
    <mergeCell ref="D2:D3"/>
    <mergeCell ref="E2:E3"/>
    <mergeCell ref="F2:F3"/>
    <mergeCell ref="G1:G3"/>
    <mergeCell ref="H4:H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V73"/>
  <sheetViews>
    <sheetView workbookViewId="0">
      <selection activeCell="X19" sqref="X19"/>
    </sheetView>
  </sheetViews>
  <sheetFormatPr defaultColWidth="9" defaultRowHeight="13.8"/>
  <cols>
    <col min="1" max="1" width="16.6666666666667" customWidth="1"/>
    <col min="2" max="2" width="16.1111111111111" customWidth="1"/>
    <col min="3" max="6" width="8.88888888888889" hidden="1" customWidth="1"/>
    <col min="7" max="7" width="11.7777777777778" customWidth="1"/>
    <col min="12" max="14" width="8.88888888888889" hidden="1" customWidth="1"/>
    <col min="15" max="15" width="10.5555555555556" hidden="1" customWidth="1"/>
    <col min="16" max="16" width="12.5555555555556" hidden="1" customWidth="1"/>
    <col min="17" max="17" width="12.4444444444444" customWidth="1"/>
    <col min="18" max="18" width="12.6666666666667" customWidth="1"/>
    <col min="19" max="19" width="12.8888888888889" customWidth="1"/>
    <col min="23" max="23" width="11.5555555555556" customWidth="1"/>
    <col min="24" max="24" width="14.2222222222222" customWidth="1"/>
    <col min="25" max="25" width="15.1111111111111" customWidth="1"/>
    <col min="26" max="26" width="14.4444444444444" customWidth="1"/>
    <col min="27" max="29" width="9" hidden="1" customWidth="1"/>
    <col min="30" max="30" width="11.1111111111111" customWidth="1"/>
    <col min="31" max="31" width="11.4444444444444" customWidth="1"/>
    <col min="32" max="32" width="14.4444444444444" customWidth="1"/>
    <col min="33" max="33" width="18.6666666666667" customWidth="1"/>
    <col min="34" max="34" width="11.2222222222222" customWidth="1"/>
    <col min="35" max="35" width="14.1111111111111" customWidth="1"/>
    <col min="36" max="36" width="19.5555555555556" customWidth="1"/>
    <col min="37" max="37" width="17.2222222222222" customWidth="1"/>
    <col min="40" max="40" width="12.1111111111111" customWidth="1"/>
    <col min="41" max="41" width="16.8888888888889" customWidth="1"/>
    <col min="42" max="42" width="25.5555555555556" customWidth="1"/>
    <col min="48" max="48" width="8.88888888888889" customWidth="1"/>
  </cols>
  <sheetData>
    <row r="1" spans="1:20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145" t="s">
        <v>196</v>
      </c>
      <c r="H1" s="166" t="s">
        <v>197</v>
      </c>
      <c r="Q1" s="133" t="s">
        <v>198</v>
      </c>
      <c r="R1" s="133"/>
      <c r="S1" s="133"/>
      <c r="T1" s="133"/>
    </row>
    <row r="2" spans="1:42">
      <c r="A2" s="69"/>
      <c r="B2" s="72"/>
      <c r="C2" s="73"/>
      <c r="D2" s="29"/>
      <c r="E2" s="29"/>
      <c r="F2" s="69"/>
      <c r="G2" s="147"/>
      <c r="H2" s="166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201</v>
      </c>
      <c r="R2" s="89" t="s">
        <v>202</v>
      </c>
      <c r="S2" s="89" t="s">
        <v>203</v>
      </c>
      <c r="T2" s="89" t="s">
        <v>204</v>
      </c>
      <c r="U2" s="89" t="s">
        <v>205</v>
      </c>
      <c r="V2" s="202" t="s">
        <v>206</v>
      </c>
      <c r="W2" s="89" t="s">
        <v>207</v>
      </c>
      <c r="X2" s="43" t="s">
        <v>208</v>
      </c>
      <c r="Y2" s="89" t="s">
        <v>207</v>
      </c>
      <c r="AD2" s="104" t="s">
        <v>209</v>
      </c>
      <c r="AE2" s="106"/>
      <c r="AF2" s="106"/>
      <c r="AG2" s="52"/>
      <c r="AI2" s="107" t="s">
        <v>210</v>
      </c>
      <c r="AJ2" s="108"/>
      <c r="AK2" s="100">
        <f>AG31</f>
        <v>0.400000000023283</v>
      </c>
      <c r="AL2" s="107" t="s">
        <v>211</v>
      </c>
      <c r="AM2" s="108"/>
      <c r="AN2" s="120">
        <v>22850.5</v>
      </c>
      <c r="AO2" s="31" t="s">
        <v>212</v>
      </c>
      <c r="AP2" s="31" t="s">
        <v>213</v>
      </c>
    </row>
    <row r="3" ht="14.55" spans="1:48">
      <c r="A3" s="75" t="s">
        <v>214</v>
      </c>
      <c r="B3" s="76">
        <f>SUMIF($L$3:$L$14,1,$Q$3:$Q$14)+SUMIF($L$3:$L$14,1,$R$3:$R$14)+SUMIF($L$3:$L$14,1,$S$3:$S$14)+SUMIF($L$3:$L$14,1,$T$3:$T$14)</f>
        <v>82</v>
      </c>
      <c r="C3" s="77">
        <f>参数调整!B45</f>
        <v>40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40</v>
      </c>
      <c r="E3" s="77">
        <f>参数调整!I45</f>
        <v>1</v>
      </c>
      <c r="F3" s="77">
        <f>D3*G3*(参数调整!$B$6+1)</f>
        <v>3837.6</v>
      </c>
      <c r="G3" s="78">
        <f>IF(B3-E38&lt;=0,0,B3-E38)</f>
        <v>82</v>
      </c>
      <c r="H3" s="193"/>
      <c r="J3" s="196" t="s">
        <v>175</v>
      </c>
      <c r="K3" s="197">
        <v>113</v>
      </c>
      <c r="L3" s="43" t="str">
        <f>LEFT(K3,1)</f>
        <v>1</v>
      </c>
      <c r="M3" s="43" t="str">
        <f>MID(K3,2,1)</f>
        <v>1</v>
      </c>
      <c r="N3" s="43" t="str">
        <f>MID(K3,3,1)</f>
        <v>3</v>
      </c>
      <c r="O3" s="43" t="str">
        <f>MID(K3,4,1)</f>
        <v/>
      </c>
      <c r="P3" s="43" t="str">
        <f>MID(K3,5,1)</f>
        <v/>
      </c>
      <c r="Q3" s="203">
        <v>42</v>
      </c>
      <c r="R3" s="54">
        <v>0</v>
      </c>
      <c r="S3" s="54">
        <v>0</v>
      </c>
      <c r="T3" s="54">
        <v>0</v>
      </c>
      <c r="U3" s="99">
        <f>TRUNC(Q3*参数调整!$I$30)+TRUNC(R3*参数调整!$H$30)+TRUNC(S3*参数调整!$G$30)+TRUNC(T3*参数调整!$F$30)</f>
        <v>31</v>
      </c>
      <c r="V3" s="99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30.68786</v>
      </c>
      <c r="W3" s="204">
        <v>1200</v>
      </c>
      <c r="X3" s="43">
        <f>IF(J3="S",W3*参数调整!$H$11/($T$19*$J$18),IF(J3="B",W3*参数调整!$H$12/($T$20*$J$18),IF(J3="Q",W3*参数调整!$H$13/($T$21*$J$18),W3*参数调整!$H$14/($T$22*$J$18))))</f>
        <v>0.0924</v>
      </c>
      <c r="Y3" s="43">
        <f>SUMIF(J3:J14,"S",W3:W14)</f>
        <v>1200</v>
      </c>
      <c r="AD3" s="104" t="s">
        <v>215</v>
      </c>
      <c r="AE3" s="106"/>
      <c r="AF3" s="52"/>
      <c r="AG3" s="209">
        <f>参数调整!$B$1-参数调整!$B$2-参数调整!$B$3</f>
        <v>587000</v>
      </c>
      <c r="AI3" s="73"/>
      <c r="AJ3" s="109"/>
      <c r="AK3" s="102"/>
      <c r="AL3" s="73"/>
      <c r="AM3" s="109"/>
      <c r="AN3" s="124"/>
      <c r="AO3" s="54">
        <v>65449.8</v>
      </c>
      <c r="AP3" s="54">
        <v>0</v>
      </c>
      <c r="AV3" s="48"/>
    </row>
    <row r="4" ht="18" customHeight="1" spans="1:48">
      <c r="A4" s="75" t="s">
        <v>216</v>
      </c>
      <c r="B4" s="76">
        <f>SUMIF($L$3:$L$14,2,$Q$3:$Q$14)+SUMIF($L$3:$L$14,2,$R$3:$R$14)+SUMIF($L$3:$L$14,2,$S$3:$S$14)+SUMIF($L$3:$L$14,2,$T$3:$T$14)</f>
        <v>44</v>
      </c>
      <c r="C4" s="77">
        <f>参数调整!B46</f>
        <v>80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77">
        <f>参数调整!I46</f>
        <v>1</v>
      </c>
      <c r="F4" s="77">
        <f>D4*G4*(参数调整!$B$6+1)</f>
        <v>4118.4</v>
      </c>
      <c r="G4" s="78">
        <f>IF(B4-E39&lt;=0,0,B4-E39)</f>
        <v>44</v>
      </c>
      <c r="H4" s="193"/>
      <c r="J4" s="198" t="s">
        <v>175</v>
      </c>
      <c r="K4" s="198">
        <v>3333</v>
      </c>
      <c r="L4" s="43" t="str">
        <f>LEFT(K4,1)</f>
        <v>3</v>
      </c>
      <c r="M4" s="43" t="str">
        <f>MID(K4,2,1)</f>
        <v>3</v>
      </c>
      <c r="N4" s="43" t="str">
        <f>MID(K4,3,1)</f>
        <v>3</v>
      </c>
      <c r="O4" s="43" t="str">
        <f>MID(K4,4,1)</f>
        <v>3</v>
      </c>
      <c r="P4" s="43" t="str">
        <f t="shared" ref="P4:P14" si="0">MID(K4,5,1)</f>
        <v/>
      </c>
      <c r="Q4" s="198"/>
      <c r="R4" s="54">
        <v>0</v>
      </c>
      <c r="S4" s="54">
        <v>0</v>
      </c>
      <c r="T4" s="54"/>
      <c r="U4" s="99">
        <f>TRUNC(Q4*参数调整!$I$30)+TRUNC(R4*参数调整!$H$30)+TRUNC(S4*参数调整!$G$30)+TRUNC(T4*参数调整!$F$30)</f>
        <v>0</v>
      </c>
      <c r="V4" s="99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29.75</v>
      </c>
      <c r="W4" s="205"/>
      <c r="X4" s="43">
        <f>IF(J4="S",W4*参数调整!$H$11/($T$19*$J$18),IF(J4="B",W4*参数调整!$H$12/($T$20*$J$18),IF(J4="Q",W4*参数调整!$H$13/($T$21*$J$18),W4*参数调整!$H$14/($T$22*$J$18))))</f>
        <v>0</v>
      </c>
      <c r="Y4" s="43">
        <f>SUMIF(J3:J14,"B",W3:W14)</f>
        <v>3680</v>
      </c>
      <c r="AD4" s="70" t="s">
        <v>217</v>
      </c>
      <c r="AE4" s="31" t="s">
        <v>218</v>
      </c>
      <c r="AF4" s="159"/>
      <c r="AG4" s="89">
        <f>AF4*参数调整!$J$23</f>
        <v>0</v>
      </c>
      <c r="AI4" s="110" t="s">
        <v>219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  <c r="AV4" s="48"/>
    </row>
    <row r="5" ht="14.55" spans="1:48">
      <c r="A5" s="75" t="s">
        <v>154</v>
      </c>
      <c r="B5" s="79">
        <f>SUMIF($L$3:$L$14,3,$Q$3:$Q$14)+SUMIF($L$3:$L$14,3,$R$3:$R$14)+SUMIF($L$3:$L$14,3,$S$3:$S$14)+SUMIF($L$3:$L$14,3,$T$3:$T$14)</f>
        <v>0</v>
      </c>
      <c r="C5" s="77">
        <f>参数调整!B47</f>
        <v>110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77">
        <f>参数调整!I47</f>
        <v>1</v>
      </c>
      <c r="F5" s="77">
        <f>D5*G5*(参数调整!$B$6+1)</f>
        <v>0</v>
      </c>
      <c r="G5" s="78">
        <f t="shared" ref="G5:G16" si="1">IF(B5-E40&lt;=0,0,B5-E40)</f>
        <v>0</v>
      </c>
      <c r="H5" s="194">
        <v>60</v>
      </c>
      <c r="J5" s="199" t="s">
        <v>176</v>
      </c>
      <c r="K5" s="200">
        <v>1111</v>
      </c>
      <c r="L5" s="43" t="str">
        <f>LEFT(K5,1)</f>
        <v>1</v>
      </c>
      <c r="M5" s="43" t="str">
        <f>MID(K5,2,1)</f>
        <v>1</v>
      </c>
      <c r="N5" s="43" t="str">
        <f>MID(K5,3,1)</f>
        <v>1</v>
      </c>
      <c r="O5" s="43" t="str">
        <f>MID(K5,4,1)</f>
        <v>1</v>
      </c>
      <c r="P5" s="43" t="str">
        <f t="shared" si="0"/>
        <v/>
      </c>
      <c r="Q5" s="198">
        <v>40</v>
      </c>
      <c r="R5" s="54">
        <v>0</v>
      </c>
      <c r="S5" s="54">
        <v>0</v>
      </c>
      <c r="T5" s="54"/>
      <c r="U5" s="99">
        <f>TRUNC(Q5*参数调整!$I$30)+TRUNC(R5*参数调整!$H$30)+TRUNC(S5*参数调整!$G$30)+TRUNC(T5*参数调整!$F$30)</f>
        <v>30</v>
      </c>
      <c r="V5" s="99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27.646112</v>
      </c>
      <c r="W5" s="205">
        <v>3680</v>
      </c>
      <c r="X5" s="43">
        <f>IF(J5="S",W5*参数调整!$H$11/($T$19*$J$18),IF(J5="B",W5*参数调整!$H$12/($T$20*$J$18),IF(J5="Q",W5*参数调整!$H$13/($T$21*$J$18),W5*参数调整!$H$14/($T$22*$J$18))))</f>
        <v>0.3929</v>
      </c>
      <c r="Y5" s="43">
        <f>SUMIF(J3:J14,"Q",W3:W14)</f>
        <v>1500</v>
      </c>
      <c r="AD5" s="112"/>
      <c r="AE5" s="31" t="s">
        <v>224</v>
      </c>
      <c r="AF5" s="159">
        <v>1</v>
      </c>
      <c r="AG5" s="89">
        <f>AF5*参数调整!$H$23</f>
        <v>80000</v>
      </c>
      <c r="AI5" s="111"/>
      <c r="AJ5" s="70" t="s">
        <v>225</v>
      </c>
      <c r="AK5" s="70" t="s">
        <v>226</v>
      </c>
      <c r="AL5" s="31" t="s">
        <v>101</v>
      </c>
      <c r="AM5" s="43">
        <f>SUM(Q3:Q14)</f>
        <v>126</v>
      </c>
      <c r="AN5" s="31">
        <f>AM5*参数调整!$I$32</f>
        <v>3780</v>
      </c>
      <c r="AO5" s="131">
        <f>AN2+AO36*(1-参数调整!B23)+AP36*(1-参数调整!B24)</f>
        <v>22850.5</v>
      </c>
      <c r="AP5" s="131"/>
      <c r="AV5" s="48"/>
    </row>
    <row r="6" ht="14.4" customHeight="1" spans="1:48">
      <c r="A6" s="75" t="s">
        <v>155</v>
      </c>
      <c r="B6" s="80">
        <f>SUMIF($M$3:$M$14,1,$Q$3:$Q$14)+SUMIF($M$3:$M$14,1,$R$3:$R$14)+SUMIF($M$3:$M$14,1,$S$3:$S$14)+SUMIF($M$3:$M$14,1,$T$3:$T$14)</f>
        <v>126</v>
      </c>
      <c r="C6" s="77">
        <f>参数调整!B48</f>
        <v>10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</v>
      </c>
      <c r="E6" s="77">
        <f>参数调整!I48</f>
        <v>0</v>
      </c>
      <c r="F6" s="77">
        <f>D6*G6*(参数调整!$B$6+1)</f>
        <v>1474.2</v>
      </c>
      <c r="G6" s="81">
        <f t="shared" si="1"/>
        <v>126</v>
      </c>
      <c r="H6" s="193"/>
      <c r="J6" s="199" t="s">
        <v>176</v>
      </c>
      <c r="K6" s="198">
        <v>1331</v>
      </c>
      <c r="L6" s="43" t="str">
        <f>LEFT(K6,1)</f>
        <v>1</v>
      </c>
      <c r="M6" s="43" t="str">
        <f>MID(K6,2,1)</f>
        <v>3</v>
      </c>
      <c r="N6" s="43" t="str">
        <f>MID(K6,3,1)</f>
        <v>3</v>
      </c>
      <c r="O6" s="43" t="str">
        <f>MID(K6,4,1)</f>
        <v>1</v>
      </c>
      <c r="P6" s="43" t="str">
        <f t="shared" si="0"/>
        <v/>
      </c>
      <c r="Q6" s="198"/>
      <c r="R6" s="54">
        <v>0</v>
      </c>
      <c r="S6" s="54">
        <v>0</v>
      </c>
      <c r="T6" s="54"/>
      <c r="U6" s="99">
        <f>TRUNC(Q6*参数调整!$I$30)+TRUNC(R6*参数调整!$H$30)+TRUNC(S6*参数调整!$G$30)+TRUNC(T6*参数调整!$F$30)</f>
        <v>0</v>
      </c>
      <c r="V6" s="99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24</v>
      </c>
      <c r="W6" s="205"/>
      <c r="X6" s="43">
        <f>IF(J6="S",W6*参数调整!$H$11/($T$19*$J$18),IF(J6="B",W6*参数调整!$H$12/($T$20*$J$18),IF(J6="Q",W6*参数调整!$H$13/($T$21*$J$18),W6*参数调整!$H$14/($T$22*$J$18))))</f>
        <v>0</v>
      </c>
      <c r="Y6" s="43">
        <f>SUMIF(J3:J14,"L",W3:W14)</f>
        <v>0</v>
      </c>
      <c r="AD6" s="113"/>
      <c r="AE6" s="31" t="s">
        <v>227</v>
      </c>
      <c r="AF6" s="159">
        <v>0</v>
      </c>
      <c r="AG6" s="89">
        <f>AF6*参数调整!$F$23</f>
        <v>0</v>
      </c>
      <c r="AI6" s="111"/>
      <c r="AJ6" s="112"/>
      <c r="AK6" s="112"/>
      <c r="AL6" s="31" t="s">
        <v>98</v>
      </c>
      <c r="AM6" s="43">
        <f>SUM(T3:T14)</f>
        <v>0</v>
      </c>
      <c r="AN6" s="31">
        <f>AM6*参数调整!$F$32</f>
        <v>0</v>
      </c>
      <c r="AO6" s="131"/>
      <c r="AP6" s="131"/>
      <c r="AV6" s="48"/>
    </row>
    <row r="7" ht="14.4" customHeight="1" spans="1:48">
      <c r="A7" s="75" t="s">
        <v>156</v>
      </c>
      <c r="B7" s="80">
        <f>SUMIF($M$3:$M$14,2,$Q$3:$Q$14)+SUMIF($M$3:$M$14,2,$R$3:$R$14)+SUMIF($M$3:$M$14,2,$S$3:$S$14)+SUMIF($M$3:$M$14,2,$T$3:$T$14)</f>
        <v>0</v>
      </c>
      <c r="C7" s="77">
        <f>参数调整!B49</f>
        <v>20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77">
        <f>参数调整!I49</f>
        <v>1</v>
      </c>
      <c r="F7" s="77">
        <f>D7*G7*(参数调整!$B$6+1)</f>
        <v>0</v>
      </c>
      <c r="G7" s="81">
        <f t="shared" si="1"/>
        <v>0</v>
      </c>
      <c r="H7" s="193"/>
      <c r="J7" s="200" t="s">
        <v>176</v>
      </c>
      <c r="K7" s="198">
        <v>1121</v>
      </c>
      <c r="L7" s="43" t="str">
        <f t="shared" ref="L7:L14" si="2">LEFT(K7,1)</f>
        <v>1</v>
      </c>
      <c r="M7" s="43" t="str">
        <f t="shared" ref="M7:M14" si="3">MID(K7,2,1)</f>
        <v>1</v>
      </c>
      <c r="N7" s="43" t="str">
        <f t="shared" ref="N7:N14" si="4">MID(K7,3,1)</f>
        <v>2</v>
      </c>
      <c r="O7" s="43" t="str">
        <f t="shared" ref="O7:O14" si="5">MID(K7,4,1)</f>
        <v>1</v>
      </c>
      <c r="P7" s="43" t="str">
        <f t="shared" si="0"/>
        <v/>
      </c>
      <c r="Q7" s="198"/>
      <c r="R7" s="54">
        <v>0</v>
      </c>
      <c r="S7" s="54">
        <v>0</v>
      </c>
      <c r="T7" s="54">
        <v>0</v>
      </c>
      <c r="U7" s="99">
        <f>TRUNC(Q7*参数调整!$I$30)+TRUNC(R7*参数调整!$H$30)+TRUNC(S7*参数调整!$G$30)+TRUNC(T7*参数调整!$F$30)</f>
        <v>0</v>
      </c>
      <c r="V7" s="99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24</v>
      </c>
      <c r="W7" s="205"/>
      <c r="X7" s="43">
        <f>IF(J7="S",W7*参数调整!$H$11/($T$19*$J$18),IF(J7="B",W7*参数调整!$H$12/($T$20*$J$18),IF(J7="Q",W7*参数调整!$H$13/($T$21*$J$18),W7*参数调整!$H$14/($T$22*$J$18))))</f>
        <v>0</v>
      </c>
      <c r="AD7" s="70" t="s">
        <v>228</v>
      </c>
      <c r="AE7" s="31" t="s">
        <v>229</v>
      </c>
      <c r="AF7" s="159">
        <v>1</v>
      </c>
      <c r="AG7" s="100">
        <v>0</v>
      </c>
      <c r="AH7" s="69"/>
      <c r="AI7" s="111"/>
      <c r="AJ7" s="112"/>
      <c r="AK7" s="112"/>
      <c r="AL7" s="31" t="s">
        <v>100</v>
      </c>
      <c r="AM7" s="43">
        <f>SUM(R3:R14)</f>
        <v>0</v>
      </c>
      <c r="AN7" s="31">
        <f>AM7*参数调整!$H$32</f>
        <v>0</v>
      </c>
      <c r="AO7" s="48"/>
      <c r="AP7" s="48"/>
      <c r="AV7" s="48"/>
    </row>
    <row r="8" ht="14.4" customHeight="1" spans="1:48">
      <c r="A8" s="75" t="s">
        <v>157</v>
      </c>
      <c r="B8" s="80">
        <f>SUMIF($M$3:$M$14,3,$Q$3:$Q$14)+SUMIF($M$3:$M$14,3,$R$3:$R$14)+SUMIF($M$3:$M$14,3,$S$3:$S$14)+SUMIF($M$3:$M$14,3,$T$3:$T$14)</f>
        <v>0</v>
      </c>
      <c r="C8" s="77">
        <f>参数调整!B50</f>
        <v>35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77">
        <f>参数调整!I50</f>
        <v>1</v>
      </c>
      <c r="F8" s="77">
        <f>D8*G8*(参数调整!$B$6+1)</f>
        <v>0</v>
      </c>
      <c r="G8" s="81">
        <f t="shared" si="1"/>
        <v>0</v>
      </c>
      <c r="H8" s="193"/>
      <c r="J8" s="198" t="s">
        <v>177</v>
      </c>
      <c r="K8" s="198">
        <v>212</v>
      </c>
      <c r="L8" s="43" t="str">
        <f t="shared" si="2"/>
        <v>2</v>
      </c>
      <c r="M8" s="43" t="str">
        <f t="shared" si="3"/>
        <v>1</v>
      </c>
      <c r="N8" s="43" t="str">
        <f t="shared" si="4"/>
        <v>2</v>
      </c>
      <c r="O8" s="43" t="str">
        <f t="shared" si="5"/>
        <v/>
      </c>
      <c r="P8" s="43" t="str">
        <f t="shared" si="0"/>
        <v/>
      </c>
      <c r="Q8" s="198">
        <v>44</v>
      </c>
      <c r="R8" s="54">
        <v>0</v>
      </c>
      <c r="S8" s="54">
        <v>0</v>
      </c>
      <c r="T8" s="54"/>
      <c r="U8" s="99">
        <f>TRUNC(Q8*参数调整!$I$30)+TRUNC(R8*参数调整!$H$30)+TRUNC(S8*参数调整!$G$30)+TRUNC(T8*参数调整!$F$30)</f>
        <v>33</v>
      </c>
      <c r="V8" s="99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32.8585597297297</v>
      </c>
      <c r="W8" s="205">
        <v>1500</v>
      </c>
      <c r="X8" s="43">
        <f>IF(J8="S",W8*参数调整!$H$11/($T$19*$J$18),IF(J8="B",W8*参数调整!$H$12/($T$20*$J$18),IF(J8="Q",W8*参数调整!$H$13/($T$21*$J$18),W8*参数调整!$H$14/($T$22*$J$18))))</f>
        <v>0.2206</v>
      </c>
      <c r="AD8" s="112"/>
      <c r="AE8" s="31" t="s">
        <v>230</v>
      </c>
      <c r="AF8" s="159">
        <v>0</v>
      </c>
      <c r="AG8" s="101"/>
      <c r="AH8" s="69"/>
      <c r="AI8" s="111"/>
      <c r="AJ8" s="112"/>
      <c r="AK8" s="113"/>
      <c r="AL8" s="31" t="s">
        <v>99</v>
      </c>
      <c r="AM8" s="43">
        <f>SUM(S3:S14)</f>
        <v>0</v>
      </c>
      <c r="AN8" s="31">
        <f>AM8*参数调整!$G$32</f>
        <v>0</v>
      </c>
      <c r="AO8" s="48"/>
      <c r="AP8" s="48"/>
      <c r="AV8" s="48"/>
    </row>
    <row r="9" ht="14.4" customHeight="1" spans="1:48">
      <c r="A9" s="75" t="s">
        <v>158</v>
      </c>
      <c r="B9" s="82">
        <f>SUMIF($N$3:$N$14,1,$Q$3:$Q$14)+SUMIF($N$3:$N$14,1,$R$3:$R$14)+SUMIF($N$3:$N$14,1,$S$3:$S$14)+SUMIF($N$3:$N$14,1,$T$3:$T$14)</f>
        <v>40</v>
      </c>
      <c r="C9" s="77">
        <f>参数调整!B51</f>
        <v>50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77">
        <f>参数调整!I51</f>
        <v>0</v>
      </c>
      <c r="F9" s="77">
        <f>D9*G9*(参数调整!$B$6+1)</f>
        <v>2340</v>
      </c>
      <c r="G9" s="83">
        <f t="shared" si="1"/>
        <v>40</v>
      </c>
      <c r="H9" s="193"/>
      <c r="J9" s="198" t="s">
        <v>177</v>
      </c>
      <c r="K9" s="198">
        <v>1121</v>
      </c>
      <c r="L9" s="43" t="str">
        <f t="shared" si="2"/>
        <v>1</v>
      </c>
      <c r="M9" s="43" t="str">
        <f t="shared" si="3"/>
        <v>1</v>
      </c>
      <c r="N9" s="43" t="str">
        <f t="shared" si="4"/>
        <v>2</v>
      </c>
      <c r="O9" s="43" t="str">
        <f t="shared" si="5"/>
        <v>1</v>
      </c>
      <c r="P9" s="43" t="str">
        <f t="shared" si="0"/>
        <v/>
      </c>
      <c r="Q9" s="198"/>
      <c r="R9" s="54">
        <v>0</v>
      </c>
      <c r="S9" s="54">
        <v>0</v>
      </c>
      <c r="T9" s="54"/>
      <c r="U9" s="99">
        <f>TRUNC(Q9*参数调整!$I$30)+TRUNC(R9*参数调整!$H$30)+TRUNC(S9*参数调整!$G$30)+TRUNC(T9*参数调整!$F$30)</f>
        <v>0</v>
      </c>
      <c r="V9" s="99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29.9797297297297</v>
      </c>
      <c r="W9" s="206"/>
      <c r="X9" s="43">
        <f>IF(J9="S",W9*参数调整!$H$11/($T$19*$J$18),IF(J9="B",W9*参数调整!$H$12/($T$20*$J$18),IF(J9="Q",W9*参数调整!$H$13/($T$21*$J$18),W9*参数调整!$H$14/($T$22*$J$18))))</f>
        <v>0</v>
      </c>
      <c r="AD9" s="113"/>
      <c r="AE9" s="31" t="s">
        <v>231</v>
      </c>
      <c r="AF9" s="159">
        <v>0</v>
      </c>
      <c r="AG9" s="102"/>
      <c r="AH9" s="69"/>
      <c r="AI9" s="111"/>
      <c r="AJ9" s="112"/>
      <c r="AK9" s="70" t="s">
        <v>232</v>
      </c>
      <c r="AL9" s="31" t="s">
        <v>77</v>
      </c>
      <c r="AM9" s="43">
        <f>AF7</f>
        <v>1</v>
      </c>
      <c r="AN9" s="31">
        <f>AM9*参数调整!$J$24</f>
        <v>5000</v>
      </c>
      <c r="AO9" s="48"/>
      <c r="AP9" s="48"/>
      <c r="AV9" s="48"/>
    </row>
    <row r="10" ht="14.4" customHeight="1" spans="1:48">
      <c r="A10" s="75" t="s">
        <v>159</v>
      </c>
      <c r="B10" s="82">
        <f>SUMIF($N$3:$N$14,2,$Q$3:$Q$14)+SUMIF($N$3:$N$14,2,$R$3:$R$14)+SUMIF($N$3:$N$14,2,$S$3:$S$14)+SUMIF($N$3:$N$14,2,$T$3:$T$14)</f>
        <v>44</v>
      </c>
      <c r="C10" s="77">
        <f>参数调整!B52</f>
        <v>80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77">
        <f>参数调整!I52</f>
        <v>1</v>
      </c>
      <c r="F10" s="77">
        <f>D10*G10*(参数调整!$B$6+1)</f>
        <v>4118.4</v>
      </c>
      <c r="G10" s="83">
        <f t="shared" si="1"/>
        <v>44</v>
      </c>
      <c r="H10" s="193"/>
      <c r="J10" s="198" t="s">
        <v>178</v>
      </c>
      <c r="K10" s="198">
        <v>121</v>
      </c>
      <c r="L10" s="43" t="str">
        <f t="shared" si="2"/>
        <v>1</v>
      </c>
      <c r="M10" s="43" t="str">
        <f t="shared" si="3"/>
        <v>2</v>
      </c>
      <c r="N10" s="43" t="str">
        <f t="shared" si="4"/>
        <v>1</v>
      </c>
      <c r="O10" s="43" t="str">
        <f t="shared" si="5"/>
        <v/>
      </c>
      <c r="P10" s="43" t="str">
        <f t="shared" si="0"/>
        <v/>
      </c>
      <c r="Q10" s="54"/>
      <c r="R10" s="54">
        <v>0</v>
      </c>
      <c r="S10" s="54">
        <v>0</v>
      </c>
      <c r="T10" s="54"/>
      <c r="U10" s="99">
        <f>TRUNC(Q10*参数调整!$I$30)+TRUNC(R10*参数调整!$H$30)+TRUNC(S10*参数调整!$G$30)+TRUNC(T10*参数调整!$F$30)</f>
        <v>0</v>
      </c>
      <c r="V10" s="99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206"/>
      <c r="X10" s="43" t="e">
        <f>IF(J10="S",W10*参数调整!$H$11/($T$19*$J$18),IF(J10="B",W10*参数调整!$H$12/($T$20*$J$18),IF(J10="Q",W10*参数调整!$H$13/($T$21*$J$18),W10*参数调整!$H$14/($T$22*$J$18))))</f>
        <v>#DIV/0!</v>
      </c>
      <c r="Y10" s="137" t="s">
        <v>233</v>
      </c>
      <c r="AD10" s="70" t="s">
        <v>234</v>
      </c>
      <c r="AE10" s="31" t="s">
        <v>101</v>
      </c>
      <c r="AF10" s="159">
        <v>3</v>
      </c>
      <c r="AG10" s="89">
        <f>AF10*参数调整!$I$29</f>
        <v>150000</v>
      </c>
      <c r="AI10" s="111"/>
      <c r="AJ10" s="112"/>
      <c r="AK10" s="112"/>
      <c r="AL10" s="31" t="s">
        <v>76</v>
      </c>
      <c r="AM10" s="43">
        <f>AF8</f>
        <v>0</v>
      </c>
      <c r="AN10" s="31">
        <f>AM10*参数调整!$H$24</f>
        <v>0</v>
      </c>
      <c r="AO10" s="48"/>
      <c r="AP10" s="48"/>
      <c r="AV10" s="48"/>
    </row>
    <row r="11" ht="14.4" customHeight="1" spans="1:48">
      <c r="A11" s="75" t="s">
        <v>160</v>
      </c>
      <c r="B11" s="82">
        <f>SUMIF($N$3:$N$14,3,$Q$3:$Q$14)+SUMIF($N$3:$N$14,3,$R$3:$R$14)+SUMIF($N$3:$N$14,3,$S$3:$S$14)+SUMIF($N$3:$N$14,3,$T$3:$T$14)</f>
        <v>42</v>
      </c>
      <c r="C11" s="77">
        <f>参数调整!B53</f>
        <v>110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77">
        <f>参数调整!I53</f>
        <v>0</v>
      </c>
      <c r="F11" s="77">
        <f>D11*G11*(参数调整!$B$6+1)</f>
        <v>5405.4</v>
      </c>
      <c r="G11" s="83">
        <f t="shared" si="1"/>
        <v>42</v>
      </c>
      <c r="H11" s="193"/>
      <c r="J11" s="124"/>
      <c r="K11" s="54">
        <v>212</v>
      </c>
      <c r="L11" s="43" t="str">
        <f t="shared" si="2"/>
        <v>2</v>
      </c>
      <c r="M11" s="43" t="str">
        <f t="shared" si="3"/>
        <v>1</v>
      </c>
      <c r="N11" s="43" t="str">
        <f t="shared" si="4"/>
        <v>2</v>
      </c>
      <c r="O11" s="43" t="str">
        <f t="shared" si="5"/>
        <v/>
      </c>
      <c r="P11" s="43" t="str">
        <f t="shared" si="0"/>
        <v/>
      </c>
      <c r="Q11" s="54"/>
      <c r="R11" s="54">
        <v>0</v>
      </c>
      <c r="S11" s="54">
        <v>0</v>
      </c>
      <c r="T11" s="54"/>
      <c r="U11" s="99">
        <f>TRUNC(Q11*参数调整!$I$30)+TRUNC(R11*参数调整!$H$30)+TRUNC(S11*参数调整!$G$30)+TRUNC(T11*参数调整!$F$30)</f>
        <v>0</v>
      </c>
      <c r="V11" s="99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06"/>
      <c r="X11" s="43" t="e">
        <f>IF(J11="S",W11*参数调整!$H$11/($T$19*$J$18),IF(J11="B",W11*参数调整!$H$12/($T$20*$J$18),IF(J11="Q",W11*参数调整!$H$13/($T$21*$J$18),W11*参数调整!$H$14/($T$22*$J$18))))</f>
        <v>#DIV/0!</v>
      </c>
      <c r="Y11" s="208">
        <f>AG31</f>
        <v>0.400000000023283</v>
      </c>
      <c r="AD11" s="112"/>
      <c r="AE11" s="31" t="s">
        <v>100</v>
      </c>
      <c r="AF11" s="159">
        <v>0</v>
      </c>
      <c r="AG11" s="89">
        <f>AF11*参数调整!$H$29</f>
        <v>0</v>
      </c>
      <c r="AI11" s="111"/>
      <c r="AJ11" s="112"/>
      <c r="AK11" s="113"/>
      <c r="AL11" s="31" t="s">
        <v>75</v>
      </c>
      <c r="AM11" s="43">
        <f t="shared" ref="AM11" si="6">AF9</f>
        <v>0</v>
      </c>
      <c r="AN11" s="31">
        <f>AM11*参数调整!$F$24</f>
        <v>0</v>
      </c>
      <c r="AO11" s="48"/>
      <c r="AP11" s="48"/>
      <c r="AV11" s="48"/>
    </row>
    <row r="12" ht="14.4" customHeight="1" spans="1:48">
      <c r="A12" s="75" t="s">
        <v>161</v>
      </c>
      <c r="B12" s="82">
        <f>SUMIF($N$3:$N$14,4,$Q$3:$Q$14)+SUMIF($N$3:$N$14,4,$R$3:$R$14)+SUMIF($N$3:$N$14,4,$S$3:$S$14)+SUMIF($N$3:$N$14,4,$T$3:$T$14)</f>
        <v>0</v>
      </c>
      <c r="C12" s="77">
        <f>参数调整!B54</f>
        <v>160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77">
        <f>参数调整!I54</f>
        <v>1</v>
      </c>
      <c r="F12" s="77">
        <f>D12*G12*(参数调整!$B$6+1)</f>
        <v>0</v>
      </c>
      <c r="G12" s="83">
        <f t="shared" si="1"/>
        <v>0</v>
      </c>
      <c r="H12" s="193"/>
      <c r="J12" s="124"/>
      <c r="K12" s="54">
        <v>1121</v>
      </c>
      <c r="L12" s="43" t="str">
        <f t="shared" si="2"/>
        <v>1</v>
      </c>
      <c r="M12" s="43" t="str">
        <f t="shared" si="3"/>
        <v>1</v>
      </c>
      <c r="N12" s="43" t="str">
        <f t="shared" si="4"/>
        <v>2</v>
      </c>
      <c r="O12" s="43" t="str">
        <f t="shared" si="5"/>
        <v>1</v>
      </c>
      <c r="P12" s="43" t="str">
        <f t="shared" si="0"/>
        <v/>
      </c>
      <c r="Q12" s="54"/>
      <c r="R12" s="54">
        <v>0</v>
      </c>
      <c r="S12" s="54">
        <v>0</v>
      </c>
      <c r="T12" s="54"/>
      <c r="U12" s="99">
        <f>TRUNC(Q12*参数调整!$I$30)+TRUNC(R12*参数调整!$H$30)+TRUNC(S12*参数调整!$G$30)+TRUNC(T12*参数调整!$F$30)</f>
        <v>0</v>
      </c>
      <c r="V12" s="99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159"/>
      <c r="X12" s="43" t="e">
        <f>IF(J12="S",W12*参数调整!$H$11/($T$19*$J$18),IF(J12="B",W12*参数调整!$H$12/($T$20*$J$18),IF(J12="Q",W12*参数调整!$H$13/($T$21*$J$18),W12*参数调整!$H$14/($T$22*$J$18))))</f>
        <v>#DIV/0!</v>
      </c>
      <c r="AD12" s="112"/>
      <c r="AE12" s="31" t="s">
        <v>235</v>
      </c>
      <c r="AF12" s="159">
        <v>0</v>
      </c>
      <c r="AG12" s="89">
        <f>AF12*参数调整!$G$29</f>
        <v>0</v>
      </c>
      <c r="AI12" s="111"/>
      <c r="AJ12" s="112"/>
      <c r="AK12" s="114" t="s">
        <v>236</v>
      </c>
      <c r="AL12" s="115"/>
      <c r="AM12" s="43">
        <f>AF24</f>
        <v>3</v>
      </c>
      <c r="AN12" s="31">
        <f>AM12*参数调整!$J$18*(1+参数调整!$B$12+参数调整!$B$13+参数调整!$B$14+参数调整!$B$15+参数调整!$B$16)</f>
        <v>14536.8</v>
      </c>
      <c r="AO12" s="48"/>
      <c r="AP12" s="48"/>
      <c r="AV12" s="48"/>
    </row>
    <row r="13" ht="14.4" customHeight="1" spans="1:48">
      <c r="A13" s="75" t="s">
        <v>162</v>
      </c>
      <c r="B13" s="84">
        <f>SUMIF($O$3:$O$14,1,$Q$3:$Q$14)+SUMIF($O$3:$O$14,1,$R$3:$R$14)+SUMIF($O$3:$O$14,1,$S$3:$S$14)+SUMIF($O$3:$O$14,1,$T$3:$T$14)+SUMIF($P$3:$P$14,1,$Q$3:$Q$14)+SUMIF($P$3:$P$14,1,$R$3:$R$14)+SUMIF($P$3:$P$14,1,$S$3:$S$14)+SUMIF($P$3:$P$14,1,$T$3:$T$14)</f>
        <v>40</v>
      </c>
      <c r="C13" s="77">
        <f>参数调整!B55</f>
        <v>50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77">
        <f>参数调整!I55</f>
        <v>1</v>
      </c>
      <c r="F13" s="77">
        <f>D13*G13*(参数调整!$B$6+1)</f>
        <v>2340</v>
      </c>
      <c r="G13" s="85">
        <f t="shared" si="1"/>
        <v>40</v>
      </c>
      <c r="H13" s="194">
        <v>220</v>
      </c>
      <c r="J13" s="124"/>
      <c r="K13" s="54">
        <v>121</v>
      </c>
      <c r="L13" s="43" t="str">
        <f t="shared" si="2"/>
        <v>1</v>
      </c>
      <c r="M13" s="43" t="str">
        <f t="shared" si="3"/>
        <v>2</v>
      </c>
      <c r="N13" s="43" t="str">
        <f t="shared" si="4"/>
        <v>1</v>
      </c>
      <c r="O13" s="43" t="str">
        <f t="shared" si="5"/>
        <v/>
      </c>
      <c r="P13" s="43" t="str">
        <f t="shared" si="0"/>
        <v/>
      </c>
      <c r="Q13" s="54"/>
      <c r="R13" s="54">
        <v>0</v>
      </c>
      <c r="S13" s="54">
        <v>0</v>
      </c>
      <c r="T13" s="54"/>
      <c r="U13" s="99">
        <f>TRUNC(Q13*参数调整!$I$30)+TRUNC(R13*参数调整!$H$30)+TRUNC(S13*参数调整!$G$30)+TRUNC(T13*参数调整!$F$30)</f>
        <v>0</v>
      </c>
      <c r="V13" s="99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159"/>
      <c r="X13" s="43" t="e">
        <f>IF(J13="S",W13*参数调整!$H$11/($T$19*$J$18),IF(J13="B",W13*参数调整!$H$12/($T$20*$J$18),IF(J13="Q",W13*参数调整!$H$13/($T$21*$J$18),W13*参数调整!$H$14/($T$22*$J$18))))</f>
        <v>#DIV/0!</v>
      </c>
      <c r="AD13" s="113"/>
      <c r="AE13" s="31" t="s">
        <v>98</v>
      </c>
      <c r="AF13" s="159">
        <v>2</v>
      </c>
      <c r="AG13" s="89">
        <f>AF13*参数调整!$F$29</f>
        <v>240000</v>
      </c>
      <c r="AI13" s="111"/>
      <c r="AJ13" s="112"/>
      <c r="AK13" s="70" t="s">
        <v>237</v>
      </c>
      <c r="AL13" s="31" t="s">
        <v>101</v>
      </c>
      <c r="AM13" s="54">
        <v>3</v>
      </c>
      <c r="AN13" s="56">
        <f>AM13*参数调整!$I$33</f>
        <v>4500</v>
      </c>
      <c r="AO13" s="48"/>
      <c r="AP13" s="48"/>
      <c r="AV13" s="48"/>
    </row>
    <row r="14" ht="14.4" customHeight="1" spans="1:48">
      <c r="A14" s="75" t="s">
        <v>163</v>
      </c>
      <c r="B14" s="84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77">
        <f>参数调整!B56</f>
        <v>50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77">
        <f>参数调整!I56</f>
        <v>1</v>
      </c>
      <c r="F14" s="77">
        <f>D14*G14*(参数调整!$B$6+1)</f>
        <v>0</v>
      </c>
      <c r="G14" s="85">
        <f t="shared" si="1"/>
        <v>0</v>
      </c>
      <c r="H14" s="194"/>
      <c r="J14" s="124"/>
      <c r="K14" s="54">
        <v>122</v>
      </c>
      <c r="L14" s="43" t="str">
        <f t="shared" si="2"/>
        <v>1</v>
      </c>
      <c r="M14" s="43" t="str">
        <f t="shared" si="3"/>
        <v>2</v>
      </c>
      <c r="N14" s="43" t="str">
        <f t="shared" si="4"/>
        <v>2</v>
      </c>
      <c r="O14" s="43" t="str">
        <f t="shared" si="5"/>
        <v/>
      </c>
      <c r="P14" s="43" t="str">
        <f t="shared" si="0"/>
        <v/>
      </c>
      <c r="Q14" s="54"/>
      <c r="R14" s="54">
        <v>0</v>
      </c>
      <c r="S14" s="54">
        <v>0</v>
      </c>
      <c r="T14" s="54"/>
      <c r="U14" s="99">
        <f>TRUNC(Q14*参数调整!$I$30)+TRUNC(R14*参数调整!$H$30)+TRUNC(S14*参数调整!$G$30)+TRUNC(T14*参数调整!$F$30)</f>
        <v>0</v>
      </c>
      <c r="V14" s="99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159"/>
      <c r="X14" s="43" t="e">
        <f>IF(J14="S",W14*参数调整!$H$11/($T$19*$J$18),IF(J14="B",W14*参数调整!$H$12/($T$20*$J$18),IF(J14="Q",W14*参数调整!$H$13/($T$21*$J$18),W14*参数调整!$H$14/($T$22*$J$18))))</f>
        <v>#DIV/0!</v>
      </c>
      <c r="AD14" s="104" t="s">
        <v>238</v>
      </c>
      <c r="AE14" s="52"/>
      <c r="AF14" s="159">
        <v>5</v>
      </c>
      <c r="AG14" s="89">
        <f>AF14*参数调整!$B$31</f>
        <v>150000</v>
      </c>
      <c r="AI14" s="111"/>
      <c r="AJ14" s="112"/>
      <c r="AK14" s="112"/>
      <c r="AL14" s="31" t="s">
        <v>98</v>
      </c>
      <c r="AM14" s="54">
        <v>0</v>
      </c>
      <c r="AN14" s="31">
        <f>AM14*参数调整!$F$33</f>
        <v>0</v>
      </c>
      <c r="AO14" s="48"/>
      <c r="AP14" s="48"/>
      <c r="AV14" s="48"/>
    </row>
    <row r="15" ht="14.4" customHeight="1" spans="1:42">
      <c r="A15" s="75" t="s">
        <v>164</v>
      </c>
      <c r="B15" s="84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77">
        <f>参数调整!B57</f>
        <v>80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77">
        <f>参数调整!I57</f>
        <v>1</v>
      </c>
      <c r="F15" s="77">
        <f>D15*G15*(参数调整!$B$6+1)</f>
        <v>0</v>
      </c>
      <c r="G15" s="85">
        <f t="shared" si="1"/>
        <v>0</v>
      </c>
      <c r="H15" s="194">
        <v>60</v>
      </c>
      <c r="Q15" s="43">
        <f>SUM(Q3:Q14)</f>
        <v>126</v>
      </c>
      <c r="R15" s="43">
        <f t="shared" ref="R15:T15" si="7">SUM(R3:R14)</f>
        <v>0</v>
      </c>
      <c r="S15" s="43">
        <f t="shared" si="7"/>
        <v>0</v>
      </c>
      <c r="T15" s="43">
        <f t="shared" si="7"/>
        <v>0</v>
      </c>
      <c r="AD15" s="104" t="s">
        <v>239</v>
      </c>
      <c r="AE15" s="52"/>
      <c r="AF15" s="159">
        <v>2</v>
      </c>
      <c r="AG15" s="89">
        <f>AF15*参数调整!$B$32</f>
        <v>40000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ht="14.4" customHeight="1" spans="1:42">
      <c r="A16" s="75" t="s">
        <v>165</v>
      </c>
      <c r="B16" s="84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77">
        <f>参数调整!B58</f>
        <v>90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77">
        <f>参数调整!I58</f>
        <v>1</v>
      </c>
      <c r="F16" s="77">
        <f>D16*G16*(参数调整!$B$6+1)</f>
        <v>0</v>
      </c>
      <c r="G16" s="85">
        <f t="shared" si="1"/>
        <v>0</v>
      </c>
      <c r="H16" s="194">
        <v>0</v>
      </c>
      <c r="AD16" s="70" t="s">
        <v>240</v>
      </c>
      <c r="AE16" s="31" t="s">
        <v>10</v>
      </c>
      <c r="AF16" s="159">
        <v>1</v>
      </c>
      <c r="AG16" s="89">
        <f>AF16*参数调整!$F$3</f>
        <v>20000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48"/>
    </row>
    <row r="17" customHeight="1" spans="10:42">
      <c r="J17" s="77" t="s">
        <v>241</v>
      </c>
      <c r="K17" s="77"/>
      <c r="AD17" s="112"/>
      <c r="AE17" s="31" t="s">
        <v>13</v>
      </c>
      <c r="AF17" s="159">
        <v>1</v>
      </c>
      <c r="AG17" s="89">
        <f>AF17*参数调整!$F$4</f>
        <v>20000</v>
      </c>
      <c r="AH17" s="69"/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86" t="s">
        <v>243</v>
      </c>
      <c r="B18" s="87"/>
      <c r="G18" s="88">
        <f>SUMIF(E3:E16,0,F3:F16)</f>
        <v>9219.6</v>
      </c>
      <c r="J18" s="94">
        <v>29</v>
      </c>
      <c r="K18" s="95"/>
      <c r="Q18" s="89" t="s">
        <v>244</v>
      </c>
      <c r="R18" s="89" t="s">
        <v>245</v>
      </c>
      <c r="S18" s="89" t="s">
        <v>246</v>
      </c>
      <c r="T18" s="202" t="s">
        <v>247</v>
      </c>
      <c r="U18" s="89" t="s">
        <v>248</v>
      </c>
      <c r="V18" s="69"/>
      <c r="AD18" s="112"/>
      <c r="AE18" s="31" t="s">
        <v>16</v>
      </c>
      <c r="AF18" s="159">
        <v>1</v>
      </c>
      <c r="AG18" s="89">
        <f>AF18*参数调整!$F$5</f>
        <v>20000</v>
      </c>
      <c r="AH18" s="210"/>
      <c r="AI18" s="111"/>
      <c r="AJ18" s="107" t="s">
        <v>249</v>
      </c>
      <c r="AK18" s="108"/>
      <c r="AL18" s="31" t="s">
        <v>67</v>
      </c>
      <c r="AM18" s="43">
        <f>AF24</f>
        <v>3</v>
      </c>
      <c r="AN18" s="116">
        <f>AM18*参数调整!$B$10</f>
        <v>3000</v>
      </c>
      <c r="AO18" s="48"/>
      <c r="AP18" s="48"/>
    </row>
    <row r="19" customHeight="1" spans="10:42">
      <c r="J19" s="94"/>
      <c r="K19" s="95"/>
      <c r="N19" s="69">
        <f>R19-(第二季度!R18-第二季度!W18)</f>
        <v>1008</v>
      </c>
      <c r="Q19" s="89" t="s">
        <v>175</v>
      </c>
      <c r="R19" s="54">
        <v>1015</v>
      </c>
      <c r="S19" s="54">
        <v>29</v>
      </c>
      <c r="T19" s="54">
        <v>6717.42051052396</v>
      </c>
      <c r="U19" s="43">
        <f>35*J22</f>
        <v>1015</v>
      </c>
      <c r="V19" s="105">
        <v>7784.72030022526</v>
      </c>
      <c r="AD19" s="112"/>
      <c r="AE19" s="31" t="s">
        <v>19</v>
      </c>
      <c r="AF19" s="159">
        <v>1</v>
      </c>
      <c r="AG19" s="89">
        <f>AF19*参数调整!$F$6</f>
        <v>20000</v>
      </c>
      <c r="AH19" s="69"/>
      <c r="AI19" s="111"/>
      <c r="AJ19" s="73"/>
      <c r="AK19" s="109"/>
      <c r="AL19" s="31" t="s">
        <v>250</v>
      </c>
      <c r="AM19" s="43">
        <f>AF25</f>
        <v>1</v>
      </c>
      <c r="AN19" s="31">
        <f>AM19*参数调整!$B$10</f>
        <v>1000</v>
      </c>
      <c r="AO19" s="48"/>
      <c r="AP19" s="48"/>
    </row>
    <row r="20" customHeight="1" spans="1:42">
      <c r="A20" s="77"/>
      <c r="B20" s="89" t="s">
        <v>251</v>
      </c>
      <c r="C20" s="89"/>
      <c r="D20" s="89"/>
      <c r="E20" s="89"/>
      <c r="F20" s="89"/>
      <c r="G20" s="89" t="s">
        <v>247</v>
      </c>
      <c r="H20" s="69"/>
      <c r="J20" s="94"/>
      <c r="K20" s="95"/>
      <c r="N20" s="69">
        <f>R20-(第二季度!R19-第二季度!W19)</f>
        <v>928</v>
      </c>
      <c r="Q20" s="89" t="s">
        <v>176</v>
      </c>
      <c r="R20" s="54">
        <v>928</v>
      </c>
      <c r="S20" s="54">
        <v>29</v>
      </c>
      <c r="T20" s="54">
        <v>8074.35427107011</v>
      </c>
      <c r="U20" s="43">
        <f>32*J22</f>
        <v>928</v>
      </c>
      <c r="V20" s="105">
        <v>9222.89190006604</v>
      </c>
      <c r="W20">
        <v>30</v>
      </c>
      <c r="AD20" s="112"/>
      <c r="AE20" s="31" t="s">
        <v>22</v>
      </c>
      <c r="AF20" s="159">
        <v>1</v>
      </c>
      <c r="AG20" s="89">
        <f>AF20*参数调整!$F$7</f>
        <v>20000</v>
      </c>
      <c r="AH20" s="69"/>
      <c r="AI20" s="111"/>
      <c r="AJ20" s="107" t="s">
        <v>252</v>
      </c>
      <c r="AK20" s="108"/>
      <c r="AL20" s="31" t="s">
        <v>101</v>
      </c>
      <c r="AM20" s="54">
        <v>3</v>
      </c>
      <c r="AN20" s="31">
        <f>AM20*参数调整!$I$29</f>
        <v>150000</v>
      </c>
      <c r="AO20" s="48"/>
      <c r="AP20" s="48"/>
    </row>
    <row r="21" customHeight="1" spans="1:42">
      <c r="A21" s="89" t="s">
        <v>175</v>
      </c>
      <c r="B21" s="159">
        <v>0.0924</v>
      </c>
      <c r="C21" s="69"/>
      <c r="D21" s="69"/>
      <c r="E21" s="69"/>
      <c r="F21" s="69"/>
      <c r="G21" s="89">
        <f>Y3*参数调整!H11/(B21*$J$18)</f>
        <v>6717.42051052396</v>
      </c>
      <c r="H21" s="195">
        <f>G21/3</f>
        <v>2239.14017017465</v>
      </c>
      <c r="J21" s="77" t="s">
        <v>253</v>
      </c>
      <c r="K21" s="96"/>
      <c r="N21" s="69">
        <f>R21-(第二季度!R20-第二季度!W20)</f>
        <v>1305</v>
      </c>
      <c r="Q21" s="89" t="s">
        <v>177</v>
      </c>
      <c r="R21" s="54">
        <v>1305</v>
      </c>
      <c r="S21" s="54">
        <v>37</v>
      </c>
      <c r="T21" s="54">
        <v>3517.05380310751</v>
      </c>
      <c r="U21" s="43">
        <f>45*J22</f>
        <v>1305</v>
      </c>
      <c r="V21" s="105">
        <v>6518.97440452931</v>
      </c>
      <c r="AD21" s="113"/>
      <c r="AE21" s="31" t="s">
        <v>25</v>
      </c>
      <c r="AF21" s="159">
        <v>0</v>
      </c>
      <c r="AG21" s="89">
        <f>AF21*参数调整!$F$8</f>
        <v>0</v>
      </c>
      <c r="AH21" s="69"/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customHeight="1" spans="1:42">
      <c r="A22" s="89" t="s">
        <v>176</v>
      </c>
      <c r="B22" s="159">
        <v>0.3929</v>
      </c>
      <c r="C22" s="69"/>
      <c r="D22" s="69"/>
      <c r="E22" s="69"/>
      <c r="F22" s="69"/>
      <c r="G22" s="89">
        <f>Y4*参数调整!H12/(B22*$J$18)</f>
        <v>8074.35427107011</v>
      </c>
      <c r="H22" s="195">
        <f>G22/5</f>
        <v>1614.87085421402</v>
      </c>
      <c r="J22" s="94">
        <v>29</v>
      </c>
      <c r="K22" s="95"/>
      <c r="N22" s="69">
        <f>R22-(第二季度!R21-第二季度!W21)</f>
        <v>0</v>
      </c>
      <c r="Q22" s="89" t="s">
        <v>178</v>
      </c>
      <c r="R22" s="54">
        <v>0</v>
      </c>
      <c r="S22" s="54"/>
      <c r="T22" s="54">
        <v>0</v>
      </c>
      <c r="U22" s="43">
        <f>50*J22</f>
        <v>1450</v>
      </c>
      <c r="V22" s="105">
        <v>0</v>
      </c>
      <c r="AD22" s="104" t="s">
        <v>254</v>
      </c>
      <c r="AE22" s="52"/>
      <c r="AF22" s="159">
        <v>0</v>
      </c>
      <c r="AG22" s="89">
        <f>AF22*参数调整!$C$40</f>
        <v>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customHeight="1" spans="1:42">
      <c r="A23" s="89" t="s">
        <v>177</v>
      </c>
      <c r="B23" s="159">
        <v>0.2206</v>
      </c>
      <c r="C23" s="69"/>
      <c r="D23" s="69"/>
      <c r="E23" s="69"/>
      <c r="F23" s="69"/>
      <c r="G23" s="89">
        <f>Y5*参数调整!H13/(B23*$J$18)</f>
        <v>3517.05380310751</v>
      </c>
      <c r="H23" s="195">
        <f>G23/3</f>
        <v>1172.3512677025</v>
      </c>
      <c r="J23" s="94"/>
      <c r="K23" s="95"/>
      <c r="Q23" s="181" t="s">
        <v>255</v>
      </c>
      <c r="R23" s="69"/>
      <c r="S23" s="69"/>
      <c r="T23" s="69"/>
      <c r="U23" s="69"/>
      <c r="V23" s="69"/>
      <c r="AD23" s="104" t="s">
        <v>256</v>
      </c>
      <c r="AE23" s="52"/>
      <c r="AF23" s="159">
        <v>0</v>
      </c>
      <c r="AG23" s="89">
        <f>AF23*参数调整!$C$41</f>
        <v>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customHeight="1" spans="1:42">
      <c r="A24" s="89" t="s">
        <v>178</v>
      </c>
      <c r="B24" s="159">
        <v>0</v>
      </c>
      <c r="C24" s="69"/>
      <c r="D24" s="69"/>
      <c r="E24" s="69"/>
      <c r="F24" s="69"/>
      <c r="G24" s="89">
        <v>0</v>
      </c>
      <c r="H24" s="195"/>
      <c r="J24" s="94"/>
      <c r="K24" s="95"/>
      <c r="Q24" s="207">
        <f>J22-J18</f>
        <v>0</v>
      </c>
      <c r="R24" s="69"/>
      <c r="S24" s="69"/>
      <c r="T24" s="69"/>
      <c r="U24" s="69"/>
      <c r="V24" s="69"/>
      <c r="AD24" s="104" t="s">
        <v>257</v>
      </c>
      <c r="AE24" s="52"/>
      <c r="AF24" s="159">
        <v>3</v>
      </c>
      <c r="AG24" s="89">
        <f>AF24*参数调整!$F$18</f>
        <v>900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customHeight="1" spans="30:42">
      <c r="AD25" s="104" t="s">
        <v>259</v>
      </c>
      <c r="AE25" s="52"/>
      <c r="AF25" s="159">
        <v>1</v>
      </c>
      <c r="AG25" s="89">
        <f>AF25*参数调整!$F$17</f>
        <v>500</v>
      </c>
      <c r="AI25" s="111"/>
      <c r="AJ25" s="72"/>
      <c r="AK25" s="117"/>
      <c r="AL25" s="31" t="s">
        <v>76</v>
      </c>
      <c r="AM25" s="54">
        <v>1</v>
      </c>
      <c r="AN25" s="31">
        <f>AM25*参数调整!$H$23</f>
        <v>80000</v>
      </c>
      <c r="AO25" s="48"/>
      <c r="AP25" s="48"/>
    </row>
    <row r="26" customHeight="1" spans="9:42">
      <c r="I26" s="201" t="s">
        <v>175</v>
      </c>
      <c r="J26" s="201">
        <v>49</v>
      </c>
      <c r="AD26" s="104" t="s">
        <v>260</v>
      </c>
      <c r="AE26" s="106"/>
      <c r="AF26" s="52"/>
      <c r="AG26" s="89">
        <f>SUM(W3:W14)</f>
        <v>6380</v>
      </c>
      <c r="AI26" s="111"/>
      <c r="AJ26" s="73"/>
      <c r="AK26" s="109"/>
      <c r="AL26" s="31" t="s">
        <v>77</v>
      </c>
      <c r="AM26" s="54"/>
      <c r="AN26" s="31">
        <f>AM26*参数调整!$J$23</f>
        <v>0</v>
      </c>
      <c r="AO26" s="48"/>
      <c r="AP26" s="48"/>
    </row>
    <row r="27" customHeight="1" spans="9:42">
      <c r="I27" s="201" t="s">
        <v>176</v>
      </c>
      <c r="J27" s="201">
        <v>40</v>
      </c>
      <c r="AD27" s="104" t="s">
        <v>261</v>
      </c>
      <c r="AE27" s="106"/>
      <c r="AF27" s="52"/>
      <c r="AG27" s="89">
        <f>G18</f>
        <v>9219.6</v>
      </c>
      <c r="AI27" s="111"/>
      <c r="AJ27" s="104" t="s">
        <v>262</v>
      </c>
      <c r="AK27" s="106"/>
      <c r="AL27" s="52"/>
      <c r="AM27" s="43">
        <f>AM19</f>
        <v>1</v>
      </c>
      <c r="AN27" s="31">
        <f>AM27*参数调整!$J$17*(1+参数调整!$B$12+参数调整!$B$13+参数调整!$B$14+参数调整!$B$15+参数调整!$B$16)</f>
        <v>5384</v>
      </c>
      <c r="AO27" s="48"/>
      <c r="AP27" s="48"/>
    </row>
    <row r="28" customHeight="1" spans="9:42">
      <c r="I28" s="201" t="s">
        <v>177</v>
      </c>
      <c r="J28" s="201">
        <v>35</v>
      </c>
      <c r="AD28" s="104" t="s">
        <v>263</v>
      </c>
      <c r="AE28" s="106"/>
      <c r="AF28" s="52"/>
      <c r="AG28" s="211">
        <f>AG3-SUM(AG4:AG27)</f>
        <v>-189999.6</v>
      </c>
      <c r="AH28" s="212">
        <f>AG28/(1-参数调整!B18)</f>
        <v>-199999.578947368</v>
      </c>
      <c r="AI28" s="111"/>
      <c r="AJ28" s="70" t="s">
        <v>264</v>
      </c>
      <c r="AK28" s="118" t="s">
        <v>265</v>
      </c>
      <c r="AL28" s="119" t="s">
        <v>175</v>
      </c>
      <c r="AM28" s="120">
        <v>0</v>
      </c>
      <c r="AN28" s="70">
        <f>AM28*参数调整!$B$30*参数调整!F11</f>
        <v>0</v>
      </c>
      <c r="AO28" s="48"/>
      <c r="AP28" s="48"/>
    </row>
    <row r="29" customHeight="1" spans="30:42">
      <c r="AD29" s="104" t="s">
        <v>266</v>
      </c>
      <c r="AE29" s="106"/>
      <c r="AF29" s="52"/>
      <c r="AG29" s="54">
        <v>200000</v>
      </c>
      <c r="AI29" s="111"/>
      <c r="AJ29" s="112"/>
      <c r="AK29" s="122"/>
      <c r="AL29" s="123"/>
      <c r="AM29" s="124"/>
      <c r="AN29" s="113"/>
      <c r="AO29" s="48"/>
      <c r="AP29" s="48"/>
    </row>
    <row r="30" customHeight="1" spans="30:42">
      <c r="AD30" s="104" t="s">
        <v>267</v>
      </c>
      <c r="AE30" s="106"/>
      <c r="AF30" s="52"/>
      <c r="AG30" s="54">
        <v>0</v>
      </c>
      <c r="AI30" s="111"/>
      <c r="AJ30" s="112"/>
      <c r="AK30" s="122"/>
      <c r="AL30" s="119" t="s">
        <v>176</v>
      </c>
      <c r="AM30" s="120">
        <v>0</v>
      </c>
      <c r="AN30" s="70">
        <f>参数调整!F12*AM30*参数调整!$B$30</f>
        <v>0</v>
      </c>
      <c r="AO30" s="48"/>
      <c r="AP30" s="48"/>
    </row>
    <row r="31" customHeight="1" spans="30:42">
      <c r="AD31" s="31" t="s">
        <v>263</v>
      </c>
      <c r="AE31" s="31"/>
      <c r="AF31" s="31"/>
      <c r="AG31" s="213">
        <f>AG29*(1-参数调整!B18)+AG28+AG30*(1-参数调整!B23)</f>
        <v>0.400000000023283</v>
      </c>
      <c r="AI31" s="111"/>
      <c r="AJ31" s="112"/>
      <c r="AK31" s="122"/>
      <c r="AL31" s="123"/>
      <c r="AM31" s="124"/>
      <c r="AN31" s="113"/>
      <c r="AO31" s="48"/>
      <c r="AP31" s="48"/>
    </row>
    <row r="32" customHeight="1" spans="35:42">
      <c r="AI32" s="111"/>
      <c r="AJ32" s="112"/>
      <c r="AK32" s="122"/>
      <c r="AL32" s="119" t="s">
        <v>177</v>
      </c>
      <c r="AM32" s="120">
        <v>0</v>
      </c>
      <c r="AN32" s="70">
        <f>参数调整!F13*AM32*参数调整!$B$30</f>
        <v>0</v>
      </c>
      <c r="AO32" s="48"/>
      <c r="AP32" s="48"/>
    </row>
    <row r="33" customHeight="1" spans="35:42">
      <c r="AI33" s="111"/>
      <c r="AJ33" s="112"/>
      <c r="AK33" s="122"/>
      <c r="AL33" s="123"/>
      <c r="AM33" s="124"/>
      <c r="AN33" s="113"/>
      <c r="AO33" s="48"/>
      <c r="AP33" s="48"/>
    </row>
    <row r="34" customHeight="1" spans="35:42"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customHeight="1" spans="35:42"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customHeight="1" spans="4:42">
      <c r="D36" s="30" t="s">
        <v>270</v>
      </c>
      <c r="E36" s="30" t="s">
        <v>271</v>
      </c>
      <c r="F36" s="30" t="s">
        <v>272</v>
      </c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AN2-SUM(AN5:AN19)+SUM(AN20:AN26)-SUM(AN27:AN35)+AO36*(1-参数调整!B23)+第一季度!AP36*(1-参数调整!B24)</f>
        <v>202189.7</v>
      </c>
      <c r="AO36" s="54">
        <v>0</v>
      </c>
      <c r="AP36" s="54">
        <v>0</v>
      </c>
    </row>
    <row r="37" customHeight="1" spans="4:42">
      <c r="D37" s="30"/>
      <c r="E37" s="30"/>
      <c r="F37" s="30"/>
      <c r="AI37" s="127" t="s">
        <v>273</v>
      </c>
      <c r="AJ37" s="104" t="s">
        <v>274</v>
      </c>
      <c r="AK37" s="106"/>
      <c r="AL37" s="106"/>
      <c r="AM37" s="52"/>
      <c r="AN37" s="43">
        <f>AO3-AO36</f>
        <v>65449.8</v>
      </c>
      <c r="AO37" s="48"/>
      <c r="AP37" s="48"/>
    </row>
    <row r="38" customHeight="1" spans="4:42">
      <c r="D38" s="77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48">
        <v>0</v>
      </c>
      <c r="F38" s="48">
        <f>G3-B3</f>
        <v>0</v>
      </c>
      <c r="AI38" s="128"/>
      <c r="AJ38" s="104" t="s">
        <v>275</v>
      </c>
      <c r="AK38" s="106"/>
      <c r="AL38" s="106"/>
      <c r="AM38" s="52"/>
      <c r="AN38" s="43">
        <f>F3*E3+F4*E4+F5*E5*1.5+F6*E6+F7*E7+F8*E8+F9*E9+F10*E10+F11*E11+F12*E12+F13*E13*1.5+F14*E14*1.5+F15*E15*1.5+F16*E16*1.5</f>
        <v>15584.4</v>
      </c>
      <c r="AO38" s="48"/>
      <c r="AP38" s="48"/>
    </row>
    <row r="39" customHeight="1" spans="4:42">
      <c r="D39" s="77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48">
        <v>0</v>
      </c>
      <c r="F39" s="48">
        <f t="shared" ref="F39:F51" si="8">G4-B4</f>
        <v>0</v>
      </c>
      <c r="AI39" s="128"/>
      <c r="AJ39" s="104" t="s">
        <v>276</v>
      </c>
      <c r="AK39" s="106"/>
      <c r="AL39" s="106"/>
      <c r="AM39" s="52"/>
      <c r="AN39" s="43">
        <f>H5*D40*(1+参数调整!$B$6)+H13*D48*(1+参数调整!$B$6)+H14*D49*(1+参数调整!$B$6)+H15*D50*(1+参数调整!$B$6)+H16*D51*(1+参数调整!$B$6)</f>
        <v>25564.5</v>
      </c>
      <c r="AO39" s="48"/>
      <c r="AP39" s="48"/>
    </row>
    <row r="40" customHeight="1" spans="4:42">
      <c r="D40" s="77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48">
        <v>0</v>
      </c>
      <c r="F40" s="48">
        <f t="shared" si="8"/>
        <v>0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customHeight="1" spans="4:42">
      <c r="D41" s="77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48">
        <v>0</v>
      </c>
      <c r="F41" s="48">
        <f t="shared" si="8"/>
        <v>0</v>
      </c>
      <c r="AI41" s="128"/>
      <c r="AJ41" s="104" t="s">
        <v>277</v>
      </c>
      <c r="AK41" s="106"/>
      <c r="AL41" s="106"/>
      <c r="AM41" s="52"/>
      <c r="AN41" s="43">
        <f>(AN2+AO3-AK2)*参数调整!$B$6/(1+参数调整!$B$6)-(F3+F4+F5*1.5+F6+F7+F8+F9+F10+F11+F12+F13*1.5+F14*1.5+F15*1.5+F16*1.5)/(1+参数调整!$B$6)*参数调整!$B$6</f>
        <v>9225.9</v>
      </c>
      <c r="AO41" s="48"/>
      <c r="AP41" s="48"/>
    </row>
    <row r="42" customHeight="1" spans="4:42">
      <c r="D42" s="7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48">
        <v>0</v>
      </c>
      <c r="F42" s="48">
        <f t="shared" si="8"/>
        <v>0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1107.108</v>
      </c>
      <c r="AO42" s="48"/>
      <c r="AP42" s="48"/>
    </row>
    <row r="43" customHeight="1" spans="4:42">
      <c r="D43" s="7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48">
        <v>0</v>
      </c>
      <c r="F43" s="48">
        <f t="shared" si="8"/>
        <v>0</v>
      </c>
      <c r="AI43" s="128"/>
      <c r="AJ43" s="104" t="s">
        <v>279</v>
      </c>
      <c r="AK43" s="106"/>
      <c r="AL43" s="106"/>
      <c r="AM43" s="52"/>
      <c r="AN43" s="43">
        <v>0</v>
      </c>
      <c r="AO43" s="48"/>
      <c r="AP43" s="48"/>
    </row>
    <row r="44" customHeight="1" spans="4:42">
      <c r="D44" s="7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48">
        <v>0</v>
      </c>
      <c r="F44" s="48">
        <f t="shared" si="8"/>
        <v>0</v>
      </c>
      <c r="AI44" s="129"/>
      <c r="AJ44" s="104" t="s">
        <v>263</v>
      </c>
      <c r="AK44" s="106"/>
      <c r="AL44" s="106"/>
      <c r="AM44" s="52"/>
      <c r="AN44" s="121">
        <f>AN36+AN37-SUM(AN38:AN43)</f>
        <v>206157.592</v>
      </c>
      <c r="AO44" s="48"/>
      <c r="AP44" s="48"/>
    </row>
    <row r="45" customHeight="1" spans="4:6">
      <c r="D45" s="7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48">
        <v>0</v>
      </c>
      <c r="F45" s="48">
        <f t="shared" si="8"/>
        <v>0</v>
      </c>
    </row>
    <row r="46" customHeight="1" spans="4:6">
      <c r="D46" s="7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48">
        <v>0</v>
      </c>
      <c r="F46" s="48">
        <f t="shared" si="8"/>
        <v>0</v>
      </c>
    </row>
    <row r="47" customHeight="1" spans="4:6">
      <c r="D47" s="7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48">
        <v>0</v>
      </c>
      <c r="F47" s="48">
        <f t="shared" si="8"/>
        <v>0</v>
      </c>
    </row>
    <row r="48" customHeight="1" spans="4:6">
      <c r="D48" s="7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47.5</v>
      </c>
      <c r="E48" s="48">
        <v>0</v>
      </c>
      <c r="F48" s="48">
        <f t="shared" si="8"/>
        <v>0</v>
      </c>
    </row>
    <row r="49" customHeight="1" spans="4:6">
      <c r="D49" s="7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48">
        <v>0</v>
      </c>
      <c r="F49" s="48">
        <f t="shared" si="8"/>
        <v>0</v>
      </c>
    </row>
    <row r="50" customHeight="1" spans="4:6">
      <c r="D50" s="7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48">
        <v>0</v>
      </c>
      <c r="F50" s="48">
        <f t="shared" si="8"/>
        <v>0</v>
      </c>
    </row>
    <row r="51" customHeight="1" spans="4:6">
      <c r="D51" s="7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48">
        <v>0</v>
      </c>
      <c r="F51" s="48">
        <f t="shared" si="8"/>
        <v>0</v>
      </c>
    </row>
    <row r="52" customHeight="1" spans="3:6">
      <c r="C52" t="s">
        <v>280</v>
      </c>
      <c r="F52" s="48">
        <f>SUMPRODUCT(B3:B16,D3:D16)</f>
        <v>20200</v>
      </c>
    </row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ht="20.4" customHeight="1"/>
    <row r="69" ht="20.4" customHeight="1"/>
    <row r="70" ht="20.4" customHeight="1"/>
    <row r="71" ht="20.4" customHeight="1"/>
    <row r="72" ht="20.4" customHeight="1"/>
    <row r="73" ht="20.4" customHeight="1"/>
  </sheetData>
  <mergeCells count="76">
    <mergeCell ref="Q1:T1"/>
    <mergeCell ref="AD2:AG2"/>
    <mergeCell ref="AD3:AF3"/>
    <mergeCell ref="AJ4:AL4"/>
    <mergeCell ref="AO4:AP4"/>
    <mergeCell ref="AK12:AL12"/>
    <mergeCell ref="AD14:AE14"/>
    <mergeCell ref="AD15:AE15"/>
    <mergeCell ref="J17:K17"/>
    <mergeCell ref="AJ17:AL17"/>
    <mergeCell ref="A18:B18"/>
    <mergeCell ref="J21:K21"/>
    <mergeCell ref="AD22:AE22"/>
    <mergeCell ref="AD23:AE23"/>
    <mergeCell ref="AD24:AE24"/>
    <mergeCell ref="AD25:AE25"/>
    <mergeCell ref="AD26:AF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AD4:AD6"/>
    <mergeCell ref="AD7:AD9"/>
    <mergeCell ref="AD10:AD13"/>
    <mergeCell ref="AD16:AD21"/>
    <mergeCell ref="AG7:AG9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J18:K20"/>
    <mergeCell ref="J22:K24"/>
    <mergeCell ref="AJ18:AK19"/>
    <mergeCell ref="AJ20:AK23"/>
    <mergeCell ref="AJ24:AK26"/>
    <mergeCell ref="AI2:AJ3"/>
    <mergeCell ref="AL2:AM3"/>
    <mergeCell ref="AO5:AP6"/>
  </mergeCells>
  <dataValidations count="3">
    <dataValidation type="list" allowBlank="1" showInputMessage="1" showErrorMessage="1" sqref="AE4:AE6">
      <formula1>"购买小厂房,购买中厂房,购买大厂房"</formula1>
    </dataValidation>
    <dataValidation type="list" allowBlank="1" showInputMessage="1" showErrorMessage="1" sqref="AE7:AE9">
      <formula1>"租用小厂房,租用中厂房,租用大厂房"</formula1>
    </dataValidation>
    <dataValidation type="list" allowBlank="1" showInputMessage="1" showErrorMessage="1" sqref="AE10:AE13">
      <formula1>"手工线,半自动线,全自动线,柔性线"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P68"/>
  <sheetViews>
    <sheetView zoomScale="85" zoomScaleNormal="85" topLeftCell="A18" workbookViewId="0">
      <selection activeCell="J33" sqref="J33"/>
    </sheetView>
  </sheetViews>
  <sheetFormatPr defaultColWidth="9" defaultRowHeight="13.8"/>
  <cols>
    <col min="2" max="2" width="18.5555555555556" customWidth="1"/>
    <col min="3" max="3" width="11.3333333333333" hidden="1" customWidth="1"/>
    <col min="4" max="4" width="14.4444444444444" hidden="1" customWidth="1"/>
    <col min="5" max="5" width="15.8888888888889" hidden="1" customWidth="1"/>
    <col min="6" max="6" width="8.88888888888889" hidden="1" customWidth="1"/>
    <col min="7" max="7" width="12.5555555555556" customWidth="1"/>
    <col min="8" max="8" width="12.8888888888889" customWidth="1"/>
    <col min="10" max="10" width="11.1111111111111" customWidth="1"/>
    <col min="11" max="11" width="12.8888888888889" customWidth="1"/>
    <col min="12" max="16" width="8.88888888888889" hidden="1" customWidth="1"/>
    <col min="17" max="17" width="13.4444444444444" customWidth="1"/>
    <col min="18" max="18" width="12.4444444444444" customWidth="1"/>
    <col min="19" max="19" width="11.7777777777778" customWidth="1"/>
    <col min="20" max="20" width="11.2222222222222" customWidth="1"/>
    <col min="21" max="22" width="9.44444444444444" customWidth="1"/>
    <col min="23" max="23" width="14.3333333333333"/>
    <col min="24" max="24" width="11.1111111111111" customWidth="1"/>
    <col min="26" max="26" width="11.1111111111111" customWidth="1"/>
    <col min="27" max="27" width="12.6666666666667" customWidth="1"/>
    <col min="28" max="28" width="14.3333333333333"/>
    <col min="31" max="31" width="16.5555555555556" customWidth="1"/>
    <col min="33" max="33" width="12.5555555555556" customWidth="1"/>
    <col min="35" max="35" width="14.1111111111111" customWidth="1"/>
    <col min="36" max="36" width="19.5555555555556" customWidth="1"/>
    <col min="37" max="37" width="17.2222222222222" customWidth="1"/>
    <col min="40" max="40" width="24.3333333333333" customWidth="1"/>
    <col min="41" max="41" width="16.8888888888889" customWidth="1"/>
    <col min="42" max="42" width="25.5555555555556" customWidth="1"/>
  </cols>
  <sheetData>
    <row r="1" spans="1:21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145" t="s">
        <v>196</v>
      </c>
      <c r="H1" s="166" t="s">
        <v>197</v>
      </c>
      <c r="R1" s="133" t="s">
        <v>198</v>
      </c>
      <c r="S1" s="133"/>
      <c r="T1" s="133"/>
      <c r="U1" s="133"/>
    </row>
    <row r="2" spans="1:42">
      <c r="A2" s="69"/>
      <c r="B2" s="72"/>
      <c r="C2" s="73"/>
      <c r="D2" s="29"/>
      <c r="E2" s="29"/>
      <c r="F2" s="69"/>
      <c r="G2" s="147"/>
      <c r="H2" s="166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281</v>
      </c>
      <c r="R2" s="89" t="s">
        <v>201</v>
      </c>
      <c r="S2" s="89" t="s">
        <v>202</v>
      </c>
      <c r="T2" s="89" t="s">
        <v>203</v>
      </c>
      <c r="U2" s="89"/>
      <c r="V2" s="89" t="s">
        <v>205</v>
      </c>
      <c r="W2" s="89" t="s">
        <v>206</v>
      </c>
      <c r="X2" s="89" t="s">
        <v>207</v>
      </c>
      <c r="Y2" s="89" t="s">
        <v>282</v>
      </c>
      <c r="Z2" s="43" t="s">
        <v>208</v>
      </c>
      <c r="AA2" s="89" t="s">
        <v>207</v>
      </c>
      <c r="AD2" s="104" t="s">
        <v>209</v>
      </c>
      <c r="AE2" s="106"/>
      <c r="AF2" s="106"/>
      <c r="AG2" s="52"/>
      <c r="AI2" s="107" t="s">
        <v>210</v>
      </c>
      <c r="AJ2" s="108"/>
      <c r="AK2" s="120">
        <v>0.26</v>
      </c>
      <c r="AL2" s="107" t="s">
        <v>211</v>
      </c>
      <c r="AM2" s="108"/>
      <c r="AN2" s="120">
        <v>112320.26</v>
      </c>
      <c r="AO2" s="31" t="s">
        <v>212</v>
      </c>
      <c r="AP2" s="31" t="s">
        <v>213</v>
      </c>
    </row>
    <row r="3" ht="25.95" spans="1:42">
      <c r="A3" s="75" t="s">
        <v>214</v>
      </c>
      <c r="B3" s="76">
        <f>SUMIF($L$3:$L$14,1,$R$3:$R$14)+SUMIF($L$3:$L$14,1,$S$3:$S$14)+SUMIF($L$3:$L$14,1,$T$3:$T$14)+SUMIF($L$3:$L$14,1,$U$3:$U$14)</f>
        <v>472</v>
      </c>
      <c r="C3" s="77">
        <f>参数调整!C45</f>
        <v>42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39.9</v>
      </c>
      <c r="E3" s="77">
        <f>参数调整!I45</f>
        <v>1</v>
      </c>
      <c r="F3" s="69">
        <f>D3*G3*(参数调整!$B$6+1)</f>
        <v>22034.376</v>
      </c>
      <c r="G3" s="78">
        <f t="shared" ref="G3:G16" si="0">IF(B3-E38&lt;=0,0,B3-E38)</f>
        <v>472</v>
      </c>
      <c r="H3" s="29">
        <v>0</v>
      </c>
      <c r="J3" s="89" t="str">
        <f>第一季度!J3</f>
        <v>S</v>
      </c>
      <c r="K3" s="89">
        <f>第一季度!K3</f>
        <v>113</v>
      </c>
      <c r="L3" s="179" t="str">
        <f>LEFT(K3,1)</f>
        <v>1</v>
      </c>
      <c r="M3" s="179" t="str">
        <f>MID(K3,2,1)</f>
        <v>1</v>
      </c>
      <c r="N3" s="179" t="str">
        <f>MID(K3,3,1)</f>
        <v>3</v>
      </c>
      <c r="O3" s="179" t="str">
        <f>MID(K3,4,1)</f>
        <v/>
      </c>
      <c r="P3" s="179" t="str">
        <f>MID(K3,5,1)</f>
        <v/>
      </c>
      <c r="Q3" s="54"/>
      <c r="R3" s="54">
        <v>0</v>
      </c>
      <c r="S3" s="54">
        <v>0</v>
      </c>
      <c r="T3" s="54">
        <v>0</v>
      </c>
      <c r="U3" s="54">
        <v>60</v>
      </c>
      <c r="V3" s="99">
        <f>TRUNC(R3*参数调整!$I$30)+TRUNC(S3*参数调整!$H$30)+TRUNC(T3*参数调整!$G$30)+TRUNC(U3*参数调整!$F$30)+Q3</f>
        <v>54</v>
      </c>
      <c r="W3" s="99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49.5937161031024</v>
      </c>
      <c r="X3" s="54">
        <v>19877</v>
      </c>
      <c r="Y3" s="89">
        <f>X3+0.536537*第一季度!W3</f>
        <v>20520.8444</v>
      </c>
      <c r="Z3" s="89">
        <f>IF(J3="S",Y3*参数调整!$H$11/($V$18*$J$18),IF(J3="B",Y3*参数调整!$H$12/($V$19*$J$18),IF(J3="Q",Y3*参数调整!$H$13/($V$20*$J$18),Y3*参数调整!$H$14/($V$21*$J$18))))</f>
        <v>0.6256</v>
      </c>
      <c r="AA3" s="43">
        <f>SUMIF(J3:J14,"S",Y3:Y14)</f>
        <v>20520.8444</v>
      </c>
      <c r="AD3" s="104" t="s">
        <v>215</v>
      </c>
      <c r="AE3" s="106"/>
      <c r="AF3" s="52"/>
      <c r="AG3" s="54">
        <v>206157.59</v>
      </c>
      <c r="AI3" s="73"/>
      <c r="AJ3" s="109"/>
      <c r="AK3" s="124"/>
      <c r="AL3" s="73"/>
      <c r="AM3" s="109"/>
      <c r="AN3" s="124"/>
      <c r="AO3" s="54">
        <v>140458.5</v>
      </c>
      <c r="AP3" s="54">
        <v>135837</v>
      </c>
    </row>
    <row r="4" ht="27" customHeight="1" spans="1:42">
      <c r="A4" s="75" t="s">
        <v>216</v>
      </c>
      <c r="B4" s="76">
        <f>SUMIF($L$3:$L$14,2,$R$3:$R$14)+SUMIF($L$3:$L$14,2,$S$3:$S$14)+SUMIF($L$3:$L$14,2,$T$3:$T$14)+SUMIF($L$3:$L$14,2,$U$3:$U$14)</f>
        <v>78</v>
      </c>
      <c r="C4" s="77">
        <f>参数调整!C46</f>
        <v>82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77">
        <f>参数调整!I46</f>
        <v>1</v>
      </c>
      <c r="F4" s="69">
        <f>D4*G4*(参数调整!$B$6+1)</f>
        <v>7483.32</v>
      </c>
      <c r="G4" s="78">
        <f t="shared" si="0"/>
        <v>78</v>
      </c>
      <c r="H4" s="29">
        <v>0</v>
      </c>
      <c r="J4" s="89" t="str">
        <f>第一季度!J4</f>
        <v>S</v>
      </c>
      <c r="K4" s="89">
        <f>第一季度!K4</f>
        <v>3333</v>
      </c>
      <c r="L4" s="179" t="str">
        <f t="shared" ref="L4:L14" si="1">LEFT(K4,1)</f>
        <v>3</v>
      </c>
      <c r="M4" s="179" t="str">
        <f t="shared" ref="M4:M14" si="2">MID(K4,2,1)</f>
        <v>3</v>
      </c>
      <c r="N4" s="179" t="str">
        <f t="shared" ref="N4:N14" si="3">MID(K4,3,1)</f>
        <v>3</v>
      </c>
      <c r="O4" s="179" t="str">
        <f t="shared" ref="O4:O14" si="4">MID(K4,4,1)</f>
        <v>3</v>
      </c>
      <c r="P4" s="179" t="str">
        <f t="shared" ref="P4:P14" si="5">MID(K4,5,1)</f>
        <v/>
      </c>
      <c r="Q4" s="54"/>
      <c r="R4" s="54">
        <v>0</v>
      </c>
      <c r="S4" s="54">
        <v>0</v>
      </c>
      <c r="T4" s="54">
        <v>0</v>
      </c>
      <c r="U4" s="54">
        <v>80</v>
      </c>
      <c r="V4" s="99">
        <f>TRUNC(R4*参数调整!$I$30)+TRUNC(S4*参数调整!$H$30)+TRUNC(T4*参数调整!$G$30)+TRUNC(U4*参数调整!$F$30)+Q4</f>
        <v>72</v>
      </c>
      <c r="W4" s="99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68.1928275862069</v>
      </c>
      <c r="X4" s="54"/>
      <c r="Y4" s="89">
        <f>X4+0.536537*第一季度!W4</f>
        <v>0</v>
      </c>
      <c r="Z4" s="89">
        <f>IF(J4="S",Y4*参数调整!$H$11/($V$18*$J$18),IF(J4="B",Y4*参数调整!$H$12/($V$19*$J$18),IF(J4="Q",Y4*参数调整!$H$13/($V$20*$J$18),Y4*参数调整!$H$14/($V$21*$J$18))))</f>
        <v>0</v>
      </c>
      <c r="AA4" s="43">
        <f>SUMIF(J3:J14,"B",Y3:Y14)</f>
        <v>32774.45616</v>
      </c>
      <c r="AD4" s="104" t="s">
        <v>266</v>
      </c>
      <c r="AE4" s="106"/>
      <c r="AF4" s="52"/>
      <c r="AG4" s="54">
        <v>84579.42</v>
      </c>
      <c r="AI4" s="110" t="s">
        <v>283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</row>
    <row r="5" ht="25.95" spans="1:42">
      <c r="A5" s="75" t="s">
        <v>154</v>
      </c>
      <c r="B5" s="79">
        <f>SUMIF($L$3:$L$14,3,$R$3:$R$14)+SUMIF($L$3:$L$14,3,$S$3:$S$14)+SUMIF($L$3:$L$14,3,$T$3:$T$14)+SUMIF($L$3:$L$14,3,$U$3:$U$14)</f>
        <v>80</v>
      </c>
      <c r="C5" s="77">
        <f>参数调整!C47</f>
        <v>108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77">
        <f>参数调整!I47</f>
        <v>1</v>
      </c>
      <c r="F5" s="69">
        <f>D5*G5*(参数调整!$B$6+1)</f>
        <v>2527.2</v>
      </c>
      <c r="G5" s="78">
        <f t="shared" si="0"/>
        <v>20</v>
      </c>
      <c r="H5" s="38">
        <v>130</v>
      </c>
      <c r="J5" s="89" t="str">
        <f>第一季度!J5</f>
        <v>B</v>
      </c>
      <c r="K5" s="89">
        <f>第一季度!K5</f>
        <v>1111</v>
      </c>
      <c r="L5" s="179" t="str">
        <f t="shared" si="1"/>
        <v>1</v>
      </c>
      <c r="M5" s="179" t="str">
        <f t="shared" si="2"/>
        <v>1</v>
      </c>
      <c r="N5" s="179" t="str">
        <f t="shared" si="3"/>
        <v>1</v>
      </c>
      <c r="O5" s="179" t="str">
        <f t="shared" si="4"/>
        <v>1</v>
      </c>
      <c r="P5" s="179" t="str">
        <f t="shared" si="5"/>
        <v/>
      </c>
      <c r="Q5" s="54">
        <v>4</v>
      </c>
      <c r="R5" s="54">
        <v>0</v>
      </c>
      <c r="S5" s="54">
        <v>0</v>
      </c>
      <c r="T5" s="54">
        <v>0</v>
      </c>
      <c r="U5" s="54">
        <v>78</v>
      </c>
      <c r="V5" s="99">
        <f>TRUNC(R5*参数调整!$I$30)+TRUNC(S5*参数调整!$H$30)+TRUNC(T5*参数调整!$G$30)+TRUNC(U5*参数调整!$F$30)+Q5</f>
        <v>74</v>
      </c>
      <c r="W5" s="99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67.3731598149583</v>
      </c>
      <c r="X5" s="54">
        <v>30800</v>
      </c>
      <c r="Y5" s="89">
        <f>X5+0.536537*第一季度!W5</f>
        <v>32774.45616</v>
      </c>
      <c r="Z5" s="89">
        <f>IF(J5="S",Y5*参数调整!$H$11/($V$18*$J$18),IF(J5="B",Y5*参数调整!$H$12/($V$19*$J$18),IF(J5="Q",Y5*参数调整!$H$13/($V$20*$J$18),Y5*参数调整!$H$14/($V$21*$J$18))))</f>
        <v>1.1748</v>
      </c>
      <c r="AA5" s="43">
        <f>SUMIF(J3:J14,"Q",Y3:Y14)</f>
        <v>7829.8055</v>
      </c>
      <c r="AD5" s="70" t="s">
        <v>217</v>
      </c>
      <c r="AE5" s="31" t="s">
        <v>218</v>
      </c>
      <c r="AF5" s="54">
        <v>0</v>
      </c>
      <c r="AG5" s="89">
        <f>AF5*参数调整!$J$23</f>
        <v>0</v>
      </c>
      <c r="AI5" s="111"/>
      <c r="AJ5" s="70" t="s">
        <v>225</v>
      </c>
      <c r="AK5" s="70" t="s">
        <v>226</v>
      </c>
      <c r="AL5" s="31" t="s">
        <v>101</v>
      </c>
      <c r="AM5" s="43">
        <f>SUM(R3:R14)</f>
        <v>0</v>
      </c>
      <c r="AN5" s="31">
        <f>AM5*参数调整!$I$32</f>
        <v>0</v>
      </c>
      <c r="AO5" s="131">
        <f>AN2+AO36*(1-参数调整!B23)+AP36*(1-参数调整!B24)</f>
        <v>112320.26</v>
      </c>
      <c r="AP5" s="131"/>
    </row>
    <row r="6" ht="14.4" customHeight="1" spans="1:42">
      <c r="A6" s="75" t="s">
        <v>155</v>
      </c>
      <c r="B6" s="80">
        <f>SUMIF($M$3:$M$14,1,$R$3:$R$14)+SUMIF($M$3:$M$14,1,$S$3:$S$14)+SUMIF($M$3:$M$14,1,$T$3:$T$14)+SUMIF($M$3:$M$14,1,$U$3:$U$14)</f>
        <v>296</v>
      </c>
      <c r="C6" s="77">
        <f>参数调整!C48</f>
        <v>13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12.35</v>
      </c>
      <c r="E6" s="77">
        <f>参数调整!I48</f>
        <v>0</v>
      </c>
      <c r="F6" s="69">
        <f>D6*G6*(参数调整!$B$6+1)</f>
        <v>4277.052</v>
      </c>
      <c r="G6" s="81">
        <f t="shared" si="0"/>
        <v>296</v>
      </c>
      <c r="H6" s="29"/>
      <c r="J6" s="89" t="str">
        <f>第一季度!J6</f>
        <v>B</v>
      </c>
      <c r="K6" s="89">
        <f>第一季度!K6</f>
        <v>1331</v>
      </c>
      <c r="L6" s="179" t="str">
        <f t="shared" si="1"/>
        <v>1</v>
      </c>
      <c r="M6" s="179" t="str">
        <f t="shared" si="2"/>
        <v>3</v>
      </c>
      <c r="N6" s="179" t="str">
        <f t="shared" si="3"/>
        <v>3</v>
      </c>
      <c r="O6" s="179" t="str">
        <f t="shared" si="4"/>
        <v>1</v>
      </c>
      <c r="P6" s="179" t="str">
        <f t="shared" si="5"/>
        <v/>
      </c>
      <c r="Q6" s="54"/>
      <c r="R6" s="54">
        <v>0</v>
      </c>
      <c r="S6" s="54">
        <v>0</v>
      </c>
      <c r="T6" s="54">
        <v>0</v>
      </c>
      <c r="U6" s="54">
        <v>60</v>
      </c>
      <c r="V6" s="99">
        <f>TRUNC(R6*参数调整!$I$30)+TRUNC(S6*参数调整!$H$30)+TRUNC(T6*参数调整!$G$30)+TRUNC(U6*参数调整!$F$30)+Q6</f>
        <v>54</v>
      </c>
      <c r="W6" s="99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54.4817799723716</v>
      </c>
      <c r="X6" s="54"/>
      <c r="Y6" s="89">
        <f>X6+0.536537*第一季度!W6</f>
        <v>0</v>
      </c>
      <c r="Z6" s="89">
        <f>IF(J6="S",Y6*参数调整!$H$11/($V$18*$J$18),IF(J6="B",Y6*参数调整!$H$12/($V$19*$J$18),IF(J6="Q",Y6*参数调整!$H$13/($V$20*$J$18),Y6*参数调整!$H$14/($V$21*$J$18))))</f>
        <v>0</v>
      </c>
      <c r="AA6" s="43">
        <v>1000</v>
      </c>
      <c r="AD6" s="112"/>
      <c r="AE6" s="31" t="s">
        <v>224</v>
      </c>
      <c r="AF6" s="54">
        <v>0</v>
      </c>
      <c r="AG6" s="89">
        <f>AF6*参数调整!$H$23</f>
        <v>0</v>
      </c>
      <c r="AI6" s="111"/>
      <c r="AJ6" s="112"/>
      <c r="AK6" s="112"/>
      <c r="AL6" s="31" t="s">
        <v>98</v>
      </c>
      <c r="AM6" s="43">
        <f>SUM(U3:U14)</f>
        <v>630</v>
      </c>
      <c r="AN6" s="31">
        <f>AM6*参数调整!$F$32</f>
        <v>6300</v>
      </c>
      <c r="AO6" s="131"/>
      <c r="AP6" s="131"/>
    </row>
    <row r="7" ht="14.4" customHeight="1" spans="1:42">
      <c r="A7" s="75" t="s">
        <v>156</v>
      </c>
      <c r="B7" s="80">
        <f>SUMIF($M$3:$M$14,2,$R$3:$R$14)+SUMIF($M$3:$M$14,2,$S$3:$S$14)+SUMIF($M$3:$M$14,2,$T$3:$T$14)+SUMIF($M$3:$M$14,2,$U$3:$U$14)</f>
        <v>194</v>
      </c>
      <c r="C7" s="77">
        <f>参数调整!C49</f>
        <v>18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18</v>
      </c>
      <c r="E7" s="77">
        <f>参数调整!I49</f>
        <v>1</v>
      </c>
      <c r="F7" s="69">
        <f>D7*G7*(参数调整!$B$6+1)</f>
        <v>4085.64</v>
      </c>
      <c r="G7" s="81">
        <f t="shared" si="0"/>
        <v>194</v>
      </c>
      <c r="H7" s="29">
        <v>0</v>
      </c>
      <c r="J7" s="89" t="str">
        <f>第一季度!J7</f>
        <v>B</v>
      </c>
      <c r="K7" s="89">
        <f>第一季度!K7</f>
        <v>1121</v>
      </c>
      <c r="L7" s="179" t="str">
        <f t="shared" si="1"/>
        <v>1</v>
      </c>
      <c r="M7" s="179" t="str">
        <f t="shared" si="2"/>
        <v>1</v>
      </c>
      <c r="N7" s="179" t="str">
        <f t="shared" si="3"/>
        <v>2</v>
      </c>
      <c r="O7" s="179" t="str">
        <f t="shared" si="4"/>
        <v>1</v>
      </c>
      <c r="P7" s="179" t="str">
        <f t="shared" si="5"/>
        <v/>
      </c>
      <c r="Q7" s="54"/>
      <c r="R7" s="54">
        <v>0</v>
      </c>
      <c r="S7" s="54">
        <v>0</v>
      </c>
      <c r="T7" s="54">
        <v>0</v>
      </c>
      <c r="U7" s="54">
        <v>32</v>
      </c>
      <c r="V7" s="99">
        <f>TRUNC(R7*参数调整!$I$30)+TRUNC(S7*参数调整!$H$30)+TRUNC(T7*参数调整!$G$30)+TRUNC(U7*参数调整!$F$30)+Q7</f>
        <v>28</v>
      </c>
      <c r="W7" s="99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28.1539429209652</v>
      </c>
      <c r="X7" s="54"/>
      <c r="Y7" s="89">
        <f>X7+0.536537*第一季度!W7</f>
        <v>0</v>
      </c>
      <c r="Z7" s="89">
        <f>IF(J7="S",Y7*参数调整!$H$11/($V$18*$J$18),IF(J7="B",Y7*参数调整!$H$12/($V$19*$J$18),IF(J7="Q",Y7*参数调整!$H$13/($V$20*$J$18),Y7*参数调整!$H$14/($V$21*$J$18))))</f>
        <v>0</v>
      </c>
      <c r="AD7" s="113"/>
      <c r="AE7" s="31" t="s">
        <v>227</v>
      </c>
      <c r="AF7" s="54">
        <v>0</v>
      </c>
      <c r="AG7" s="89">
        <f>AF7*参数调整!$F$23</f>
        <v>0</v>
      </c>
      <c r="AI7" s="111"/>
      <c r="AJ7" s="112"/>
      <c r="AK7" s="112"/>
      <c r="AL7" s="31" t="s">
        <v>100</v>
      </c>
      <c r="AM7" s="43">
        <f>SUM(S3:S14)</f>
        <v>0</v>
      </c>
      <c r="AN7" s="31">
        <f>AM7*参数调整!H32</f>
        <v>0</v>
      </c>
      <c r="AO7" s="48"/>
      <c r="AP7" s="48"/>
    </row>
    <row r="8" ht="14.4" customHeight="1" spans="1:42">
      <c r="A8" s="75" t="s">
        <v>157</v>
      </c>
      <c r="B8" s="80">
        <f>SUMIF($M$3:$M$14,3,$R$3:$R$14)+SUMIF($M$3:$M$14,3,$S$3:$S$14)+SUMIF($M$3:$M$14,3,$T$3:$T$14)+SUMIF($M$3:$M$14,3,$U$3:$U$14)</f>
        <v>140</v>
      </c>
      <c r="C8" s="77">
        <f>参数调整!C50</f>
        <v>30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77">
        <f>参数调整!I50</f>
        <v>1</v>
      </c>
      <c r="F8" s="69">
        <f>D8*G8*(参数调整!$B$6+1)</f>
        <v>4914</v>
      </c>
      <c r="G8" s="81">
        <f t="shared" si="0"/>
        <v>140</v>
      </c>
      <c r="H8" s="29">
        <v>0</v>
      </c>
      <c r="J8" s="89" t="str">
        <f>第一季度!J8</f>
        <v>Q</v>
      </c>
      <c r="K8" s="89">
        <f>第一季度!K8</f>
        <v>212</v>
      </c>
      <c r="L8" s="179" t="str">
        <f t="shared" si="1"/>
        <v>2</v>
      </c>
      <c r="M8" s="179" t="str">
        <f t="shared" si="2"/>
        <v>1</v>
      </c>
      <c r="N8" s="179" t="str">
        <f t="shared" si="3"/>
        <v>2</v>
      </c>
      <c r="O8" s="179" t="str">
        <f t="shared" si="4"/>
        <v/>
      </c>
      <c r="P8" s="179" t="str">
        <f t="shared" si="5"/>
        <v/>
      </c>
      <c r="Q8" s="54">
        <v>2</v>
      </c>
      <c r="R8" s="54">
        <v>0</v>
      </c>
      <c r="S8" s="54">
        <v>0</v>
      </c>
      <c r="T8" s="54">
        <v>0</v>
      </c>
      <c r="U8" s="54">
        <v>78</v>
      </c>
      <c r="V8" s="99">
        <f>TRUNC(R8*参数调整!$I$30)+TRUNC(S8*参数调整!$H$30)+TRUNC(T8*参数调整!$G$30)+TRUNC(U8*参数调整!$F$30)+Q8</f>
        <v>72</v>
      </c>
      <c r="W8" s="99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62.7032305970031</v>
      </c>
      <c r="X8" s="54">
        <v>7025</v>
      </c>
      <c r="Y8" s="89">
        <f>X8+0.536537*第一季度!W8</f>
        <v>7829.8055</v>
      </c>
      <c r="Z8" s="89">
        <f>IF(J8="S",Y8*参数调整!$H$11/($V$18*$J$18),IF(J8="B",Y8*参数调整!$H$12/($V$19*$J$18),IF(J8="Q",Y8*参数调整!$H$13/($V$20*$J$18),Y8*参数调整!$H$14/($V$21*$J$18))))</f>
        <v>0.2517</v>
      </c>
      <c r="AD8" s="70" t="s">
        <v>228</v>
      </c>
      <c r="AE8" s="31" t="s">
        <v>229</v>
      </c>
      <c r="AF8" s="54">
        <v>1</v>
      </c>
      <c r="AG8" s="100">
        <v>0</v>
      </c>
      <c r="AI8" s="111"/>
      <c r="AJ8" s="112"/>
      <c r="AK8" s="113"/>
      <c r="AL8" s="31" t="s">
        <v>99</v>
      </c>
      <c r="AM8" s="43">
        <f>SUM(T3:T14)</f>
        <v>0</v>
      </c>
      <c r="AN8" s="31">
        <f>AM8*参数调整!G32</f>
        <v>0</v>
      </c>
      <c r="AO8" s="48"/>
      <c r="AP8" s="48"/>
    </row>
    <row r="9" ht="14.4" customHeight="1" spans="1:42">
      <c r="A9" s="75" t="s">
        <v>158</v>
      </c>
      <c r="B9" s="82">
        <f>SUMIF($N$3:$N$14,1,$R$3:$R$14)+SUMIF($N$3:$N$14,1,$S$3:$S$14)+SUMIF($N$3:$N$14,1,$T$3:$T$14)+SUMIF($N$3:$N$14,1,$U$3:$U$14)</f>
        <v>272</v>
      </c>
      <c r="C9" s="77">
        <f>参数调整!C51</f>
        <v>51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48.45</v>
      </c>
      <c r="E9" s="77">
        <f>参数调整!I51</f>
        <v>0</v>
      </c>
      <c r="F9" s="69">
        <f>D9*G9*(参数调整!$B$6+1)</f>
        <v>15418.728</v>
      </c>
      <c r="G9" s="83">
        <f t="shared" si="0"/>
        <v>272</v>
      </c>
      <c r="H9" s="29">
        <v>0</v>
      </c>
      <c r="J9" s="89" t="str">
        <f>第一季度!J9</f>
        <v>Q</v>
      </c>
      <c r="K9" s="89">
        <f>第一季度!K9</f>
        <v>1121</v>
      </c>
      <c r="L9" s="179" t="str">
        <f t="shared" si="1"/>
        <v>1</v>
      </c>
      <c r="M9" s="179" t="str">
        <f t="shared" si="2"/>
        <v>1</v>
      </c>
      <c r="N9" s="179" t="str">
        <f t="shared" si="3"/>
        <v>2</v>
      </c>
      <c r="O9" s="179" t="str">
        <f t="shared" si="4"/>
        <v>1</v>
      </c>
      <c r="P9" s="179" t="str">
        <f t="shared" si="5"/>
        <v/>
      </c>
      <c r="Q9" s="54"/>
      <c r="R9" s="54">
        <v>0</v>
      </c>
      <c r="S9" s="54">
        <v>0</v>
      </c>
      <c r="T9" s="54">
        <v>0</v>
      </c>
      <c r="U9" s="54">
        <v>48</v>
      </c>
      <c r="V9" s="99">
        <f>TRUNC(R9*参数调整!$I$30)+TRUNC(S9*参数调整!$H$30)+TRUNC(T9*参数调整!$G$30)+TRUNC(U9*参数调整!$F$30)+Q9</f>
        <v>43</v>
      </c>
      <c r="W9" s="99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42.1857553130385</v>
      </c>
      <c r="X9" s="54"/>
      <c r="Y9" s="89">
        <f>X9+0.536537*第一季度!W9</f>
        <v>0</v>
      </c>
      <c r="Z9" s="89">
        <f>IF(J9="S",Y9*参数调整!$H$11/($V$18*$J$18),IF(J9="B",Y9*参数调整!$H$12/($V$19*$J$18),IF(J9="Q",Y9*参数调整!$H$13/($V$20*$J$18),Y9*参数调整!$H$14/($V$21*$J$18))))</f>
        <v>0</v>
      </c>
      <c r="AD9" s="112"/>
      <c r="AE9" s="31" t="s">
        <v>230</v>
      </c>
      <c r="AF9" s="54">
        <v>0</v>
      </c>
      <c r="AG9" s="101"/>
      <c r="AI9" s="111"/>
      <c r="AJ9" s="112"/>
      <c r="AK9" s="70" t="s">
        <v>232</v>
      </c>
      <c r="AL9" s="31" t="s">
        <v>77</v>
      </c>
      <c r="AM9" s="43">
        <v>1</v>
      </c>
      <c r="AN9" s="31">
        <f>AM9*参数调整!$J$24</f>
        <v>5000</v>
      </c>
      <c r="AO9" s="48"/>
      <c r="AP9" s="48"/>
    </row>
    <row r="10" ht="14.4" customHeight="1" spans="1:42">
      <c r="A10" s="75" t="s">
        <v>159</v>
      </c>
      <c r="B10" s="82">
        <f>SUMIF($N$3:$N$14,2,$R$3:$R$14)+SUMIF($N$3:$N$14,2,$S$3:$S$14)+SUMIF($N$3:$N$14,2,$T$3:$T$14)+SUMIF($N$3:$N$14,2,$U$3:$U$14)</f>
        <v>158</v>
      </c>
      <c r="C10" s="77">
        <f>参数调整!C52</f>
        <v>75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75</v>
      </c>
      <c r="E10" s="77">
        <f>参数调整!I52</f>
        <v>1</v>
      </c>
      <c r="F10" s="69">
        <f>D10*G10*(参数调整!$B$6+1)</f>
        <v>13864.5</v>
      </c>
      <c r="G10" s="83">
        <f t="shared" si="0"/>
        <v>158</v>
      </c>
      <c r="H10" s="29">
        <v>0</v>
      </c>
      <c r="J10" s="89" t="str">
        <f>第一季度!J10</f>
        <v>L</v>
      </c>
      <c r="K10" s="89">
        <f>第一季度!K10</f>
        <v>121</v>
      </c>
      <c r="L10" s="179" t="str">
        <f t="shared" si="1"/>
        <v>1</v>
      </c>
      <c r="M10" s="179" t="str">
        <f t="shared" si="2"/>
        <v>2</v>
      </c>
      <c r="N10" s="179" t="str">
        <f t="shared" si="3"/>
        <v>1</v>
      </c>
      <c r="O10" s="179" t="str">
        <f t="shared" si="4"/>
        <v/>
      </c>
      <c r="P10" s="179" t="str">
        <f t="shared" si="5"/>
        <v/>
      </c>
      <c r="Q10" s="54"/>
      <c r="R10" s="54">
        <v>0</v>
      </c>
      <c r="S10" s="54">
        <v>0</v>
      </c>
      <c r="T10" s="54">
        <v>0</v>
      </c>
      <c r="U10" s="54">
        <v>194</v>
      </c>
      <c r="V10" s="99">
        <f>TRUNC(R10*参数调整!$I$30)+TRUNC(S10*参数调整!$H$30)+TRUNC(T10*参数调整!$G$30)+TRUNC(U10*参数调整!$F$30)+Q10</f>
        <v>174</v>
      </c>
      <c r="W10" s="99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74.2554230532932</v>
      </c>
      <c r="X10" s="54"/>
      <c r="Y10" s="89">
        <f>X10+0.536537*第一季度!W10</f>
        <v>0</v>
      </c>
      <c r="Z10" s="89">
        <f>IF(J10="S",Y10*参数调整!$H$11/($V$18*$J$18),IF(J10="B",Y10*参数调整!$H$12/($V$19*$J$18),IF(J10="Q",Y10*参数调整!$H$13/($V$20*$J$18),Y10*参数调整!$H$14/($V$21*$J$18))))</f>
        <v>0</v>
      </c>
      <c r="AA10" s="137" t="s">
        <v>233</v>
      </c>
      <c r="AD10" s="113"/>
      <c r="AE10" s="31" t="s">
        <v>231</v>
      </c>
      <c r="AF10" s="54">
        <v>0</v>
      </c>
      <c r="AG10" s="102"/>
      <c r="AI10" s="111"/>
      <c r="AJ10" s="112"/>
      <c r="AK10" s="112"/>
      <c r="AL10" s="31" t="s">
        <v>76</v>
      </c>
      <c r="AM10" s="43">
        <f>AF9</f>
        <v>0</v>
      </c>
      <c r="AN10" s="31">
        <f>AM10*参数调整!$H$24</f>
        <v>0</v>
      </c>
      <c r="AO10" s="48"/>
      <c r="AP10" s="48"/>
    </row>
    <row r="11" ht="14.4" customHeight="1" spans="1:42">
      <c r="A11" s="75" t="s">
        <v>160</v>
      </c>
      <c r="B11" s="82">
        <f>SUMIF($N$3:$N$14,3,$R$3:$R$14)+SUMIF($N$3:$N$14,3,$S$3:$S$14)+SUMIF($N$3:$N$14,3,$T$3:$T$14)+SUMIF($N$3:$N$14,3,$U$3:$U$14)</f>
        <v>200</v>
      </c>
      <c r="C11" s="77">
        <f>参数调整!C53</f>
        <v>115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77">
        <f>参数调整!I53</f>
        <v>0</v>
      </c>
      <c r="F11" s="69">
        <f>D11*G11*(参数调整!$B$6+1)</f>
        <v>26910</v>
      </c>
      <c r="G11" s="83">
        <f t="shared" si="0"/>
        <v>200</v>
      </c>
      <c r="H11" s="29"/>
      <c r="J11" s="89">
        <f>第一季度!J11</f>
        <v>0</v>
      </c>
      <c r="K11" s="89">
        <f>第一季度!K11</f>
        <v>212</v>
      </c>
      <c r="L11" s="179" t="str">
        <f t="shared" si="1"/>
        <v>2</v>
      </c>
      <c r="M11" s="179" t="str">
        <f t="shared" si="2"/>
        <v>1</v>
      </c>
      <c r="N11" s="179" t="str">
        <f t="shared" si="3"/>
        <v>2</v>
      </c>
      <c r="O11" s="179" t="str">
        <f t="shared" si="4"/>
        <v/>
      </c>
      <c r="P11" s="179" t="str">
        <f t="shared" si="5"/>
        <v/>
      </c>
      <c r="Q11" s="54"/>
      <c r="R11" s="54">
        <v>0</v>
      </c>
      <c r="S11" s="54">
        <v>0</v>
      </c>
      <c r="T11" s="54">
        <v>0</v>
      </c>
      <c r="U11" s="54"/>
      <c r="V11" s="99">
        <f>TRUNC(R11*参数调整!$I$30)+TRUNC(S11*参数调整!$H$30)+TRUNC(T11*参数调整!$G$30)+TRUNC(U11*参数调整!$F$30)+Q11</f>
        <v>0</v>
      </c>
      <c r="W11" s="99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49.3117408906883</v>
      </c>
      <c r="X11" s="54">
        <v>0</v>
      </c>
      <c r="Y11" s="89">
        <f>X11+0.536537*第一季度!W11</f>
        <v>0</v>
      </c>
      <c r="Z11" s="89">
        <f>IF(J11="S",Y11*参数调整!$H$11/($V$18*$J$18),IF(J11="B",Y11*参数调整!$H$12/($V$19*$J$18),IF(J11="Q",Y11*参数调整!$H$13/($V$20*$J$18),Y11*参数调整!$H$14/($V$21*$J$18))))</f>
        <v>0</v>
      </c>
      <c r="AA11" s="138">
        <f>AG31</f>
        <v>0.258999999961816</v>
      </c>
      <c r="AD11" s="70" t="s">
        <v>234</v>
      </c>
      <c r="AE11" s="31" t="s">
        <v>101</v>
      </c>
      <c r="AF11" s="54">
        <v>0</v>
      </c>
      <c r="AG11" s="89">
        <f>AF11*参数调整!$I$29</f>
        <v>0</v>
      </c>
      <c r="AI11" s="111"/>
      <c r="AJ11" s="112"/>
      <c r="AK11" s="113"/>
      <c r="AL11" s="31" t="s">
        <v>75</v>
      </c>
      <c r="AM11" s="43">
        <v>0</v>
      </c>
      <c r="AN11" s="31">
        <f>AM11*参数调整!$F$24</f>
        <v>0</v>
      </c>
      <c r="AO11" s="48"/>
      <c r="AP11" s="48"/>
    </row>
    <row r="12" ht="14.4" customHeight="1" spans="1:42">
      <c r="A12" s="75" t="s">
        <v>161</v>
      </c>
      <c r="B12" s="82">
        <f>SUMIF($N$3:$N$14,4,$R$3:$R$14)+SUMIF($N$3:$N$14,4,$S$3:$S$14)+SUMIF($N$3:$N$14,4,$T$3:$T$14)+SUMIF($N$3:$N$14,4,$U$3:$U$14)</f>
        <v>0</v>
      </c>
      <c r="C12" s="77">
        <f>参数调整!C54</f>
        <v>155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77">
        <f>参数调整!I54</f>
        <v>1</v>
      </c>
      <c r="F12" s="69">
        <f>D12*G12*(参数调整!$B$6+1)</f>
        <v>0</v>
      </c>
      <c r="G12" s="83">
        <f t="shared" si="0"/>
        <v>0</v>
      </c>
      <c r="H12" s="29"/>
      <c r="J12" s="89">
        <f>第一季度!J12</f>
        <v>0</v>
      </c>
      <c r="K12" s="89">
        <f>第一季度!K12</f>
        <v>1121</v>
      </c>
      <c r="L12" s="179" t="str">
        <f t="shared" si="1"/>
        <v>1</v>
      </c>
      <c r="M12" s="179" t="str">
        <f t="shared" si="2"/>
        <v>1</v>
      </c>
      <c r="N12" s="179" t="str">
        <f t="shared" si="3"/>
        <v>2</v>
      </c>
      <c r="O12" s="179" t="str">
        <f t="shared" si="4"/>
        <v>1</v>
      </c>
      <c r="P12" s="179" t="str">
        <f t="shared" si="5"/>
        <v/>
      </c>
      <c r="Q12" s="54"/>
      <c r="R12" s="54">
        <v>0</v>
      </c>
      <c r="S12" s="54">
        <v>0</v>
      </c>
      <c r="T12" s="54">
        <v>0</v>
      </c>
      <c r="U12" s="54"/>
      <c r="V12" s="99">
        <f>TRUNC(R12*参数调整!$I$30)+TRUNC(S12*参数调整!$H$30)+TRUNC(T12*参数调整!$G$30)+TRUNC(U12*参数调整!$F$30)+Q12</f>
        <v>0</v>
      </c>
      <c r="W12" s="99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49.3117408906883</v>
      </c>
      <c r="X12" s="54">
        <v>0</v>
      </c>
      <c r="Y12" s="89">
        <f>X12+0.536537*第一季度!W12</f>
        <v>0</v>
      </c>
      <c r="Z12" s="89">
        <f>IF(J12="S",Y12*参数调整!$H$11/($V$18*$J$18),IF(J12="B",Y12*参数调整!$H$12/($V$19*$J$18),IF(J12="Q",Y12*参数调整!$H$13/($V$20*$J$18),Y12*参数调整!$H$14/($V$21*$J$18))))</f>
        <v>0</v>
      </c>
      <c r="AD12" s="112"/>
      <c r="AE12" s="31" t="s">
        <v>100</v>
      </c>
      <c r="AF12" s="54">
        <v>0</v>
      </c>
      <c r="AG12" s="89">
        <f>AF12*参数调整!$H$29</f>
        <v>0</v>
      </c>
      <c r="AI12" s="111"/>
      <c r="AJ12" s="112"/>
      <c r="AK12" s="114" t="s">
        <v>236</v>
      </c>
      <c r="AL12" s="115"/>
      <c r="AM12" s="43">
        <f>AM18</f>
        <v>7</v>
      </c>
      <c r="AN12" s="31">
        <f>AM12*参数调整!$J$18*(1+参数调整!$B$12+参数调整!$B$13+参数调整!$B$14+参数调整!$B$15+参数调整!$B$16)</f>
        <v>33919.2</v>
      </c>
      <c r="AO12" s="48"/>
      <c r="AP12" s="48"/>
    </row>
    <row r="13" ht="14.4" customHeight="1" spans="1:42">
      <c r="A13" s="75" t="s">
        <v>162</v>
      </c>
      <c r="B13" s="84">
        <f>SUMIF($O$3:$O$14,1,$R$3:$R$14)+SUMIF($O$3:$O$14,1,$S$3:$S$14)+SUMIF($O$3:$O$14,1,$T$3:$T$14)+SUMIF($O$3:$O$14,1,$U$3:$U$14)+SUMIF($P$3:$P$14,1,$R$3:$R$14)+SUMIF($P$3:$P$14,1,$S$3:$S$14)+SUMIF($P$3:$P$14,1,$T$3:$T$14)+SUMIF($P$3:$P$14,1,$U$3:$U$14)</f>
        <v>218</v>
      </c>
      <c r="C13" s="77">
        <f>参数调整!C55</f>
        <v>48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77">
        <f>参数调整!I55</f>
        <v>1</v>
      </c>
      <c r="F13" s="69">
        <f>D13*G13*(参数调整!$B$6+1)</f>
        <v>0</v>
      </c>
      <c r="G13" s="85">
        <f t="shared" si="0"/>
        <v>0</v>
      </c>
      <c r="H13" s="38">
        <v>408</v>
      </c>
      <c r="J13" s="89">
        <f>第一季度!J13</f>
        <v>0</v>
      </c>
      <c r="K13" s="89">
        <f>第一季度!K13</f>
        <v>121</v>
      </c>
      <c r="L13" s="179" t="str">
        <f t="shared" si="1"/>
        <v>1</v>
      </c>
      <c r="M13" s="179" t="str">
        <f t="shared" si="2"/>
        <v>2</v>
      </c>
      <c r="N13" s="179" t="str">
        <f t="shared" si="3"/>
        <v>1</v>
      </c>
      <c r="O13" s="179" t="str">
        <f t="shared" si="4"/>
        <v/>
      </c>
      <c r="P13" s="179" t="str">
        <f t="shared" si="5"/>
        <v/>
      </c>
      <c r="Q13" s="54"/>
      <c r="R13" s="54"/>
      <c r="S13" s="54">
        <v>0</v>
      </c>
      <c r="T13" s="54">
        <v>0</v>
      </c>
      <c r="U13" s="54"/>
      <c r="V13" s="99">
        <f>TRUNC(R13*参数调整!$I$30)+TRUNC(S13*参数调整!$H$30)+TRUNC(T13*参数调整!$G$30)+TRUNC(U13*参数调整!$F$30)+Q13</f>
        <v>0</v>
      </c>
      <c r="W13" s="99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49.3117408906883</v>
      </c>
      <c r="X13" s="54"/>
      <c r="Y13" s="89">
        <f>X13+0.536537*第一季度!W13</f>
        <v>0</v>
      </c>
      <c r="Z13" s="89">
        <f>IF(J13="S",Y13*参数调整!$H$11/($V$18*$J$18),IF(J13="B",Y13*参数调整!$H$12/($V$19*$J$18),IF(J13="Q",Y13*参数调整!$H$13/($V$20*$J$18),Y13*参数调整!$H$14/($V$21*$J$18))))</f>
        <v>0</v>
      </c>
      <c r="AD13" s="112"/>
      <c r="AE13" s="31" t="s">
        <v>235</v>
      </c>
      <c r="AF13" s="54">
        <v>0</v>
      </c>
      <c r="AG13" s="89">
        <f>AF13*参数调整!$G$29</f>
        <v>0</v>
      </c>
      <c r="AI13" s="111"/>
      <c r="AJ13" s="112"/>
      <c r="AK13" s="70" t="s">
        <v>237</v>
      </c>
      <c r="AL13" s="31" t="s">
        <v>101</v>
      </c>
      <c r="AM13" s="54">
        <v>0</v>
      </c>
      <c r="AN13" s="56">
        <f>AM13*参数调整!$I$33</f>
        <v>0</v>
      </c>
      <c r="AO13" s="48"/>
      <c r="AP13" s="48"/>
    </row>
    <row r="14" ht="13.2" customHeight="1" spans="1:42">
      <c r="A14" s="75" t="s">
        <v>163</v>
      </c>
      <c r="B14" s="84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77">
        <f>参数调整!C56</f>
        <v>48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77">
        <f>参数调整!I56</f>
        <v>1</v>
      </c>
      <c r="F14" s="69">
        <f>D14*G14*(参数调整!$B$6+1)</f>
        <v>0</v>
      </c>
      <c r="G14" s="85">
        <f t="shared" si="0"/>
        <v>0</v>
      </c>
      <c r="H14" s="38">
        <v>0</v>
      </c>
      <c r="J14" s="89">
        <f>第一季度!J14</f>
        <v>0</v>
      </c>
      <c r="K14" s="89">
        <f>第一季度!K14</f>
        <v>122</v>
      </c>
      <c r="L14" s="179" t="str">
        <f t="shared" si="1"/>
        <v>1</v>
      </c>
      <c r="M14" s="179" t="str">
        <f t="shared" si="2"/>
        <v>2</v>
      </c>
      <c r="N14" s="179" t="str">
        <f t="shared" si="3"/>
        <v>2</v>
      </c>
      <c r="O14" s="179" t="str">
        <f t="shared" si="4"/>
        <v/>
      </c>
      <c r="P14" s="179" t="str">
        <f t="shared" si="5"/>
        <v/>
      </c>
      <c r="Q14" s="54"/>
      <c r="R14" s="54"/>
      <c r="S14" s="54">
        <v>0</v>
      </c>
      <c r="T14" s="54">
        <v>0</v>
      </c>
      <c r="U14" s="54"/>
      <c r="V14" s="99">
        <f>TRUNC(R14*参数调整!$I$30)+TRUNC(S14*参数调整!$H$30)+TRUNC(T14*参数调整!$G$30)+TRUNC(U14*参数调整!$F$30)+Q14</f>
        <v>0</v>
      </c>
      <c r="W14" s="99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49.3117408906883</v>
      </c>
      <c r="X14" s="54">
        <v>0</v>
      </c>
      <c r="Y14" s="89">
        <f>X14+0.536537*第一季度!W14</f>
        <v>0</v>
      </c>
      <c r="Z14" s="89">
        <f>IF(J14="S",Y14*参数调整!$H$11/($V$18*$J$18),IF(J14="B",Y14*参数调整!$H$12/($V$19*$J$18),IF(J14="Q",Y14*参数调整!$H$13/($V$20*$J$18),Y14*参数调整!$H$14/($V$21*$J$18))))</f>
        <v>0</v>
      </c>
      <c r="AD14" s="113"/>
      <c r="AE14" s="31" t="s">
        <v>98</v>
      </c>
      <c r="AF14" s="54">
        <v>0</v>
      </c>
      <c r="AG14" s="89">
        <f>AF14*参数调整!$F$29</f>
        <v>0</v>
      </c>
      <c r="AI14" s="111"/>
      <c r="AJ14" s="112"/>
      <c r="AK14" s="112"/>
      <c r="AL14" s="31" t="s">
        <v>98</v>
      </c>
      <c r="AM14" s="54">
        <v>2</v>
      </c>
      <c r="AN14" s="31">
        <f>AM14*参数调整!$F$33</f>
        <v>6000</v>
      </c>
      <c r="AO14" s="48"/>
      <c r="AP14" s="48"/>
    </row>
    <row r="15" ht="14.4" customHeight="1" spans="1:42">
      <c r="A15" s="75" t="s">
        <v>164</v>
      </c>
      <c r="B15" s="84">
        <f>SUMIF($O$3:$O$14,3,$R$3:$R$14)+SUMIF($O$3:$O$14,3,$S$3:$S$14)+SUMIF($O$3:$O$14,3,$T$3:$T$14)+SUMIF($O$3:$O$14,3,$U$3:$U$14)+SUMIF($P$3:$P$14,3,$R$3:$R$14)+SUMIF($P$3:$P$14,3,$S$3:$S$14)+SUMIF($P$3:$P$14,3,$T$3:$T$14)+SUMIF($P$3:$P$14,3,$U$3:$U$14)</f>
        <v>80</v>
      </c>
      <c r="C15" s="77">
        <f>参数调整!C57</f>
        <v>75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77">
        <f>参数调整!I57</f>
        <v>1</v>
      </c>
      <c r="F15" s="69">
        <f>D15*G15*(参数调整!$B$6+1)</f>
        <v>1755</v>
      </c>
      <c r="G15" s="85">
        <f t="shared" si="0"/>
        <v>20</v>
      </c>
      <c r="H15" s="38">
        <v>130</v>
      </c>
      <c r="R15" s="43">
        <f>SUM(R3:R14)</f>
        <v>0</v>
      </c>
      <c r="S15" s="43">
        <f t="shared" ref="S15:U15" si="6">SUM(S3:S14)</f>
        <v>0</v>
      </c>
      <c r="T15" s="43">
        <f t="shared" si="6"/>
        <v>0</v>
      </c>
      <c r="U15" s="43">
        <f t="shared" si="6"/>
        <v>630</v>
      </c>
      <c r="AD15" s="104" t="s">
        <v>238</v>
      </c>
      <c r="AE15" s="52"/>
      <c r="AF15" s="54">
        <v>3</v>
      </c>
      <c r="AG15" s="89">
        <f>AF15*参数调整!$B$31</f>
        <v>90000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ht="14.4" customHeight="1" spans="1:42">
      <c r="A16" s="75" t="s">
        <v>165</v>
      </c>
      <c r="B16" s="84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77">
        <f>参数调整!C58</f>
        <v>82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77">
        <f>参数调整!I58</f>
        <v>1</v>
      </c>
      <c r="F16" s="69">
        <f>D16*G16*(参数调整!$B$6+1)</f>
        <v>0</v>
      </c>
      <c r="G16" s="85">
        <f t="shared" si="0"/>
        <v>0</v>
      </c>
      <c r="H16" s="167">
        <v>0</v>
      </c>
      <c r="AD16" s="104" t="s">
        <v>239</v>
      </c>
      <c r="AE16" s="52"/>
      <c r="AF16" s="54">
        <v>0</v>
      </c>
      <c r="AG16" s="89">
        <f>AF16*参数调整!$B$32</f>
        <v>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48"/>
    </row>
    <row r="17" customHeight="1" spans="10:42">
      <c r="J17" s="77" t="s">
        <v>241</v>
      </c>
      <c r="K17" s="77"/>
      <c r="O17" s="69">
        <f>SUM(R18:T18)-(SUM(第三季度!R18:T18)-SUM(第三季度!R22:T22))</f>
        <v>2626</v>
      </c>
      <c r="Q17" s="89" t="s">
        <v>244</v>
      </c>
      <c r="R17" s="89" t="s">
        <v>245</v>
      </c>
      <c r="S17" s="89" t="s">
        <v>284</v>
      </c>
      <c r="T17" s="89" t="s">
        <v>285</v>
      </c>
      <c r="U17" s="89" t="s">
        <v>247</v>
      </c>
      <c r="V17" s="89" t="s">
        <v>286</v>
      </c>
      <c r="W17" s="43" t="s">
        <v>287</v>
      </c>
      <c r="X17" s="43"/>
      <c r="Y17" s="43"/>
      <c r="AD17" s="70" t="s">
        <v>240</v>
      </c>
      <c r="AE17" s="31" t="s">
        <v>10</v>
      </c>
      <c r="AF17" s="54">
        <v>0</v>
      </c>
      <c r="AG17" s="89">
        <f>AF17*参数调整!$F$3</f>
        <v>0</v>
      </c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168" t="s">
        <v>243</v>
      </c>
      <c r="B18" s="169"/>
      <c r="G18" s="88">
        <f>SUMIF(E3:E16,0,F3:F16)</f>
        <v>46605.78</v>
      </c>
      <c r="J18" s="94">
        <v>29</v>
      </c>
      <c r="K18" s="95"/>
      <c r="O18" s="69">
        <f>SUM(R19:T19)-(SUM(第三季度!R19:T19)-SUM(第三季度!R23:T23))</f>
        <v>2933</v>
      </c>
      <c r="Q18" s="89" t="s">
        <v>175</v>
      </c>
      <c r="R18" s="54">
        <v>1022</v>
      </c>
      <c r="S18" s="54">
        <v>870</v>
      </c>
      <c r="T18" s="54">
        <v>870</v>
      </c>
      <c r="U18" s="54">
        <v>13362.3353100951</v>
      </c>
      <c r="V18" s="89">
        <f>U18+第一季度!T19*0.536537</f>
        <v>16966.4799585501</v>
      </c>
      <c r="W18" s="43">
        <f>J22*35</f>
        <v>1015</v>
      </c>
      <c r="X18" s="43">
        <f>J22*30</f>
        <v>870</v>
      </c>
      <c r="Y18" s="43">
        <f>J22*30</f>
        <v>870</v>
      </c>
      <c r="AD18" s="112"/>
      <c r="AE18" s="31" t="s">
        <v>13</v>
      </c>
      <c r="AF18" s="54">
        <v>0</v>
      </c>
      <c r="AG18" s="89">
        <f>AF18*参数调整!$F$4</f>
        <v>0</v>
      </c>
      <c r="AI18" s="111"/>
      <c r="AJ18" s="107" t="s">
        <v>249</v>
      </c>
      <c r="AK18" s="108"/>
      <c r="AL18" s="31" t="s">
        <v>67</v>
      </c>
      <c r="AM18" s="43">
        <f>AF25+第一季度!AF24</f>
        <v>7</v>
      </c>
      <c r="AN18" s="116">
        <f>AM18*参数调整!$B$10</f>
        <v>7000</v>
      </c>
      <c r="AO18" s="48"/>
      <c r="AP18" s="48"/>
    </row>
    <row r="19" customHeight="1" spans="10:42">
      <c r="J19" s="94"/>
      <c r="K19" s="95"/>
      <c r="O19" s="69">
        <f>SUM(R20:T20)-(SUM(第三季度!R20:T20)-SUM(第三季度!R24:T24))</f>
        <v>3409</v>
      </c>
      <c r="Q19" s="89" t="s">
        <v>176</v>
      </c>
      <c r="R19" s="54">
        <v>986</v>
      </c>
      <c r="S19" s="54">
        <v>1015</v>
      </c>
      <c r="T19" s="54">
        <v>1015</v>
      </c>
      <c r="U19" s="54">
        <v>19717.7263530803</v>
      </c>
      <c r="V19" s="89">
        <f>U19+第一季度!T20*0.536537</f>
        <v>24049.9161706174</v>
      </c>
      <c r="W19" s="43">
        <f>J22*34</f>
        <v>986</v>
      </c>
      <c r="X19" s="43">
        <f>J22*35</f>
        <v>1015</v>
      </c>
      <c r="Y19" s="43">
        <f>J22*35</f>
        <v>1015</v>
      </c>
      <c r="AD19" s="112"/>
      <c r="AE19" s="31" t="s">
        <v>16</v>
      </c>
      <c r="AF19" s="54">
        <v>1</v>
      </c>
      <c r="AG19" s="89">
        <f>AF19*参数调整!$F$5</f>
        <v>20000</v>
      </c>
      <c r="AI19" s="111"/>
      <c r="AJ19" s="73"/>
      <c r="AK19" s="109"/>
      <c r="AL19" s="31" t="s">
        <v>250</v>
      </c>
      <c r="AM19" s="43">
        <f>AF26+第一季度!AF25</f>
        <v>3</v>
      </c>
      <c r="AN19" s="31">
        <f>AM19*参数调整!$B$10</f>
        <v>3000</v>
      </c>
      <c r="AO19" s="48"/>
      <c r="AP19" s="48"/>
    </row>
    <row r="20" customHeight="1" spans="1:42">
      <c r="A20" s="170"/>
      <c r="B20" s="170"/>
      <c r="C20" s="170"/>
      <c r="D20" s="170"/>
      <c r="E20" s="170"/>
      <c r="F20" s="170"/>
      <c r="G20" s="170"/>
      <c r="H20" s="170"/>
      <c r="J20" s="94"/>
      <c r="K20" s="95"/>
      <c r="O20" s="69">
        <f>SUM(R21:T21)-(SUM(第三季度!R21:T21)-SUM(第三季度!R25:T25))</f>
        <v>4024</v>
      </c>
      <c r="Q20" s="89" t="s">
        <v>177</v>
      </c>
      <c r="R20" s="54">
        <v>1160</v>
      </c>
      <c r="S20" s="54">
        <v>1160</v>
      </c>
      <c r="T20" s="54">
        <v>1160</v>
      </c>
      <c r="U20" s="54">
        <v>14203.1548363863</v>
      </c>
      <c r="V20" s="89">
        <f>U20+第一季度!T21*0.536537</f>
        <v>16090.1843327442</v>
      </c>
      <c r="W20" s="43">
        <f>J22*40</f>
        <v>1160</v>
      </c>
      <c r="X20" s="43">
        <f>J22*40</f>
        <v>1160</v>
      </c>
      <c r="Y20" s="43">
        <f>J22*40</f>
        <v>1160</v>
      </c>
      <c r="AD20" s="112"/>
      <c r="AE20" s="31" t="s">
        <v>19</v>
      </c>
      <c r="AF20" s="54">
        <v>1</v>
      </c>
      <c r="AG20" s="89">
        <f>AF20*参数调整!$F$6</f>
        <v>20000</v>
      </c>
      <c r="AI20" s="111"/>
      <c r="AJ20" s="107" t="s">
        <v>252</v>
      </c>
      <c r="AK20" s="108"/>
      <c r="AL20" s="31" t="s">
        <v>101</v>
      </c>
      <c r="AM20" s="54">
        <v>0</v>
      </c>
      <c r="AN20" s="31">
        <f>AM20*参数调整!$I$29</f>
        <v>0</v>
      </c>
      <c r="AO20" s="48"/>
      <c r="AP20" s="48"/>
    </row>
    <row r="21" customHeight="1" spans="1:42">
      <c r="A21" s="171"/>
      <c r="B21" s="171"/>
      <c r="C21" s="172"/>
      <c r="D21" s="172"/>
      <c r="E21" s="172"/>
      <c r="F21" s="172"/>
      <c r="G21" s="173" t="s">
        <v>288</v>
      </c>
      <c r="H21" s="171"/>
      <c r="J21" s="77" t="s">
        <v>253</v>
      </c>
      <c r="K21" s="96"/>
      <c r="O21" s="69"/>
      <c r="Q21" s="89" t="s">
        <v>178</v>
      </c>
      <c r="R21" s="54">
        <v>1305</v>
      </c>
      <c r="S21" s="54">
        <v>1450</v>
      </c>
      <c r="T21" s="54">
        <v>1305</v>
      </c>
      <c r="U21" s="54">
        <v>1645.58485813277</v>
      </c>
      <c r="V21" s="89">
        <f>U21+第一季度!T22*0.536537</f>
        <v>1645.58485813277</v>
      </c>
      <c r="W21" s="43">
        <f>J22*45</f>
        <v>1305</v>
      </c>
      <c r="X21" s="43">
        <f>J22*50</f>
        <v>1450</v>
      </c>
      <c r="Y21" s="43">
        <f>J22*45</f>
        <v>1305</v>
      </c>
      <c r="AD21" s="112"/>
      <c r="AE21" s="31" t="s">
        <v>22</v>
      </c>
      <c r="AF21" s="54">
        <v>0</v>
      </c>
      <c r="AG21" s="89">
        <f>AF21*参数调整!$F$7</f>
        <v>0</v>
      </c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ht="46.8" spans="1:42">
      <c r="A22" s="173" t="s">
        <v>170</v>
      </c>
      <c r="B22" s="173" t="s">
        <v>289</v>
      </c>
      <c r="C22" s="174"/>
      <c r="D22" s="174"/>
      <c r="E22" s="174"/>
      <c r="F22" s="174"/>
      <c r="G22" s="175">
        <v>20</v>
      </c>
      <c r="H22" s="176" t="s">
        <v>290</v>
      </c>
      <c r="J22" s="94">
        <v>29</v>
      </c>
      <c r="K22" s="95"/>
      <c r="Q22" s="181" t="s">
        <v>255</v>
      </c>
      <c r="U22" s="105">
        <v>10823.8757233386</v>
      </c>
      <c r="AD22" s="113"/>
      <c r="AE22" s="31" t="s">
        <v>25</v>
      </c>
      <c r="AF22" s="54">
        <v>1</v>
      </c>
      <c r="AG22" s="89">
        <f>AF22*参数调整!$F$8</f>
        <v>20000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ht="31.2" spans="1:42">
      <c r="A23" s="173"/>
      <c r="B23" s="173" t="s">
        <v>291</v>
      </c>
      <c r="C23" s="174"/>
      <c r="D23" s="174"/>
      <c r="E23" s="174"/>
      <c r="F23" s="174"/>
      <c r="G23" s="175">
        <v>30</v>
      </c>
      <c r="H23" s="176" t="s">
        <v>292</v>
      </c>
      <c r="J23" s="94"/>
      <c r="K23" s="95"/>
      <c r="Q23" s="31">
        <v>0</v>
      </c>
      <c r="U23" s="105">
        <v>17176.4776308639</v>
      </c>
      <c r="X23" s="182" t="s">
        <v>293</v>
      </c>
      <c r="AB23" s="160" t="s">
        <v>248</v>
      </c>
      <c r="AD23" s="104" t="s">
        <v>254</v>
      </c>
      <c r="AE23" s="52"/>
      <c r="AF23" s="54">
        <v>1</v>
      </c>
      <c r="AG23" s="89">
        <f>AF23*参数调整!$C$40</f>
        <v>30000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ht="62.4" spans="1:42">
      <c r="A24" s="173" t="s">
        <v>171</v>
      </c>
      <c r="B24" s="173" t="s">
        <v>289</v>
      </c>
      <c r="C24" s="174"/>
      <c r="D24" s="174"/>
      <c r="E24" s="174"/>
      <c r="F24" s="174"/>
      <c r="G24" s="175">
        <v>10</v>
      </c>
      <c r="H24" s="176" t="s">
        <v>294</v>
      </c>
      <c r="U24" s="105">
        <v>6589.58617922143</v>
      </c>
      <c r="W24" s="160" t="str">
        <f t="shared" ref="W24:W35" si="7">J3</f>
        <v>S</v>
      </c>
      <c r="X24" s="98">
        <f t="shared" ref="X24:X33" si="8">ROUNDUP(IF(J3="S",V3*$R$18/($R$18+$S$18+$T$18),IF(J3="B",V3*$R$19/($R$19+$S$19+$T$19),IF(J3="Q",V3*$R$20/($R$20+$S$20+$T$20),V3*$R$21/($R$21+$S$21+$T$21)))),1)</f>
        <v>20</v>
      </c>
      <c r="Y24" s="98">
        <f t="shared" ref="Y24:Y33" si="9">ROUNDUP(IF(J3="S",V3*$S$18/($R$18+$S$18+$T$18),IF(J3="B",V3*$S$19/($R$19+$S$19+$T$19),IF(J3="Q",V3*$S$20/($R$20+$S$20+$T$20),V3*$S$21/($R$21+$S$21+$T$21)))),1)</f>
        <v>17.1</v>
      </c>
      <c r="Z24" s="189">
        <f t="shared" ref="Z24:Z34" si="10">ROUNDUP(IF(J3="S",V3*$T$18/($R$18+$S$18+$T$18),IF(J3="B",V3*$T$19/($R$19+$S$19+$T$19),IF(J3="Q",V3*$T$20/($R$20+$S$20+$T$20),V3*$T$21/($R$21+$S$21+$T$21)))),1)</f>
        <v>17.1</v>
      </c>
      <c r="AA24" s="160">
        <f>V3-TRUNC(X24)-TRUNC(Y24)-TRUNC(Z24)</f>
        <v>0</v>
      </c>
      <c r="AB24" s="161">
        <v>32</v>
      </c>
      <c r="AD24" s="104" t="s">
        <v>256</v>
      </c>
      <c r="AE24" s="52"/>
      <c r="AF24" s="54">
        <v>0</v>
      </c>
      <c r="AG24" s="89">
        <f>AF24*参数调整!$C$41</f>
        <v>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customHeight="1" spans="1:42">
      <c r="A25" s="173"/>
      <c r="B25" s="173" t="s">
        <v>295</v>
      </c>
      <c r="C25" s="174"/>
      <c r="D25" s="174"/>
      <c r="E25" s="174"/>
      <c r="F25" s="174"/>
      <c r="G25" s="177">
        <f>H25-G24-G26</f>
        <v>49</v>
      </c>
      <c r="H25" s="178">
        <v>66</v>
      </c>
      <c r="U25" s="105">
        <v>1645.58485813277</v>
      </c>
      <c r="W25" s="160" t="str">
        <f t="shared" si="7"/>
        <v>S</v>
      </c>
      <c r="X25" s="98">
        <f t="shared" si="8"/>
        <v>26.7</v>
      </c>
      <c r="Y25" s="183">
        <f t="shared" si="9"/>
        <v>22.7</v>
      </c>
      <c r="Z25" s="190">
        <f t="shared" si="10"/>
        <v>22.7</v>
      </c>
      <c r="AA25" s="160">
        <f t="shared" ref="AA25:AA35" si="11">V4-TRUNC(X25)-TRUNC(Y25)-TRUNC(Z25)</f>
        <v>2</v>
      </c>
      <c r="AB25" s="161">
        <v>60</v>
      </c>
      <c r="AD25" s="104" t="s">
        <v>257</v>
      </c>
      <c r="AE25" s="52"/>
      <c r="AF25" s="54">
        <v>4</v>
      </c>
      <c r="AG25" s="89">
        <f>AF25*参数调整!$F$18</f>
        <v>1200</v>
      </c>
      <c r="AI25" s="111"/>
      <c r="AJ25" s="72"/>
      <c r="AK25" s="117"/>
      <c r="AL25" s="31" t="s">
        <v>76</v>
      </c>
      <c r="AM25" s="54">
        <v>0</v>
      </c>
      <c r="AN25" s="31">
        <f>AM25*参数调整!$H$23</f>
        <v>0</v>
      </c>
      <c r="AO25" s="48"/>
      <c r="AP25" s="48"/>
    </row>
    <row r="26" ht="15.6" spans="1:42">
      <c r="A26" s="173"/>
      <c r="B26" s="173">
        <v>113</v>
      </c>
      <c r="C26" s="174"/>
      <c r="D26" s="174"/>
      <c r="E26" s="174"/>
      <c r="F26" s="174"/>
      <c r="G26" s="175">
        <v>7</v>
      </c>
      <c r="H26" s="173" t="s">
        <v>296</v>
      </c>
      <c r="W26" s="160" t="str">
        <f t="shared" si="7"/>
        <v>B</v>
      </c>
      <c r="X26" s="98">
        <f t="shared" si="8"/>
        <v>24.2</v>
      </c>
      <c r="Y26" s="98">
        <f t="shared" si="9"/>
        <v>25</v>
      </c>
      <c r="Z26" s="189">
        <f t="shared" si="10"/>
        <v>25</v>
      </c>
      <c r="AA26" s="160">
        <f t="shared" si="11"/>
        <v>0</v>
      </c>
      <c r="AB26" s="161">
        <v>41</v>
      </c>
      <c r="AD26" s="104" t="s">
        <v>259</v>
      </c>
      <c r="AE26" s="52"/>
      <c r="AF26" s="54">
        <v>2</v>
      </c>
      <c r="AG26" s="89">
        <f>AF26*参数调整!$F$17</f>
        <v>1000</v>
      </c>
      <c r="AI26" s="111"/>
      <c r="AJ26" s="73"/>
      <c r="AK26" s="109"/>
      <c r="AL26" s="31" t="s">
        <v>77</v>
      </c>
      <c r="AM26" s="54">
        <v>0</v>
      </c>
      <c r="AN26" s="31">
        <f>AM26*参数调整!$J$23</f>
        <v>0</v>
      </c>
      <c r="AO26" s="48"/>
      <c r="AP26" s="48"/>
    </row>
    <row r="27" ht="46.8" spans="1:42">
      <c r="A27" s="173" t="s">
        <v>297</v>
      </c>
      <c r="B27" s="173">
        <v>212</v>
      </c>
      <c r="C27" s="174"/>
      <c r="D27" s="174"/>
      <c r="E27" s="174"/>
      <c r="F27" s="174"/>
      <c r="G27" s="175">
        <v>29</v>
      </c>
      <c r="H27" s="176" t="s">
        <v>298</v>
      </c>
      <c r="J27" s="180" t="s">
        <v>299</v>
      </c>
      <c r="K27" s="177" t="s">
        <v>247</v>
      </c>
      <c r="W27" s="160" t="str">
        <f t="shared" si="7"/>
        <v>B</v>
      </c>
      <c r="X27" s="183">
        <f t="shared" si="8"/>
        <v>17.7</v>
      </c>
      <c r="Y27" s="98">
        <f t="shared" si="9"/>
        <v>18.2</v>
      </c>
      <c r="Z27" s="189">
        <f t="shared" si="10"/>
        <v>18.2</v>
      </c>
      <c r="AA27" s="160">
        <f t="shared" si="11"/>
        <v>1</v>
      </c>
      <c r="AB27" s="161">
        <v>52</v>
      </c>
      <c r="AD27" s="104" t="s">
        <v>260</v>
      </c>
      <c r="AE27" s="106"/>
      <c r="AF27" s="52"/>
      <c r="AG27" s="89">
        <f>SUM(X3:X14)</f>
        <v>57702</v>
      </c>
      <c r="AI27" s="111"/>
      <c r="AJ27" s="104" t="s">
        <v>262</v>
      </c>
      <c r="AK27" s="106"/>
      <c r="AL27" s="52"/>
      <c r="AM27" s="43">
        <f>AM19</f>
        <v>3</v>
      </c>
      <c r="AN27" s="31">
        <f>AM27*参数调整!$J$17*(1+参数调整!$B$12+参数调整!$B$13+参数调整!$B$14+参数调整!$B$15+参数调整!$B$16)</f>
        <v>16152</v>
      </c>
      <c r="AO27" s="48"/>
      <c r="AP27" s="48"/>
    </row>
    <row r="28" customHeight="1" spans="1:42">
      <c r="A28" s="173"/>
      <c r="B28" s="173">
        <v>1121</v>
      </c>
      <c r="C28" s="174"/>
      <c r="D28" s="174"/>
      <c r="E28" s="174"/>
      <c r="F28" s="174"/>
      <c r="G28" s="177">
        <f>H28-G27-G29</f>
        <v>22</v>
      </c>
      <c r="H28" s="178">
        <v>60</v>
      </c>
      <c r="J28" s="159">
        <v>0.6256</v>
      </c>
      <c r="K28" s="177">
        <f>((AA3*参数调整!H11/第二季度!J28)-第一季度!G21*$J$18*0.536537)/$J$18</f>
        <v>13362.3353100951</v>
      </c>
      <c r="Q28" s="184">
        <f>K28/3</f>
        <v>4454.11177003171</v>
      </c>
      <c r="W28" s="160" t="str">
        <f t="shared" si="7"/>
        <v>B</v>
      </c>
      <c r="X28" s="98">
        <f t="shared" si="8"/>
        <v>9.2</v>
      </c>
      <c r="Y28" s="183">
        <f t="shared" si="9"/>
        <v>9.5</v>
      </c>
      <c r="Z28" s="189">
        <f t="shared" si="10"/>
        <v>9.5</v>
      </c>
      <c r="AA28" s="160">
        <f t="shared" si="11"/>
        <v>1</v>
      </c>
      <c r="AB28" s="161">
        <v>27</v>
      </c>
      <c r="AD28" s="104" t="s">
        <v>261</v>
      </c>
      <c r="AE28" s="106"/>
      <c r="AF28" s="52"/>
      <c r="AG28" s="89">
        <f>G18</f>
        <v>46605.78</v>
      </c>
      <c r="AI28" s="111"/>
      <c r="AJ28" s="70" t="s">
        <v>264</v>
      </c>
      <c r="AK28" s="118" t="s">
        <v>265</v>
      </c>
      <c r="AL28" s="119" t="s">
        <v>175</v>
      </c>
      <c r="AM28" s="120">
        <v>0</v>
      </c>
      <c r="AN28" s="70">
        <f>AM28*参数调整!$B$30*参数调整!F11</f>
        <v>0</v>
      </c>
      <c r="AO28" s="48"/>
      <c r="AP28" s="48"/>
    </row>
    <row r="29" ht="15.6" spans="1:42">
      <c r="A29" s="173"/>
      <c r="B29" s="173">
        <v>112</v>
      </c>
      <c r="C29" s="174"/>
      <c r="D29" s="174"/>
      <c r="E29" s="174"/>
      <c r="F29" s="174"/>
      <c r="G29" s="175">
        <v>9</v>
      </c>
      <c r="H29" s="173" t="s">
        <v>300</v>
      </c>
      <c r="J29" s="159">
        <v>1.1748</v>
      </c>
      <c r="K29" s="177">
        <f>((AA4*参数调整!H12/第二季度!J29)-第一季度!G22*$J$18*0.536537)/$J$18</f>
        <v>19717.7263530803</v>
      </c>
      <c r="Q29" s="184">
        <f>K29/5</f>
        <v>3943.54527061606</v>
      </c>
      <c r="W29" s="160" t="str">
        <f t="shared" si="7"/>
        <v>Q</v>
      </c>
      <c r="X29" s="98">
        <f t="shared" si="8"/>
        <v>24</v>
      </c>
      <c r="Y29" s="98">
        <f t="shared" si="9"/>
        <v>24</v>
      </c>
      <c r="Z29" s="189">
        <f t="shared" si="10"/>
        <v>24</v>
      </c>
      <c r="AA29" s="160">
        <f t="shared" si="11"/>
        <v>0</v>
      </c>
      <c r="AB29" s="161">
        <v>72</v>
      </c>
      <c r="AD29" s="104" t="s">
        <v>263</v>
      </c>
      <c r="AE29" s="106"/>
      <c r="AF29" s="52"/>
      <c r="AG29" s="121">
        <f>AG3+AG4*(1-参数调整!$B$18)-SUM(AG5:AG28)</f>
        <v>0.258999999961816</v>
      </c>
      <c r="AH29" s="121">
        <f>AG29/(1-参数调整!B23)</f>
        <v>0.267010309238985</v>
      </c>
      <c r="AI29" s="111"/>
      <c r="AJ29" s="112"/>
      <c r="AK29" s="122"/>
      <c r="AL29" s="123"/>
      <c r="AM29" s="124"/>
      <c r="AN29" s="113"/>
      <c r="AO29" s="48"/>
      <c r="AP29" s="48"/>
    </row>
    <row r="30" ht="15.6" spans="1:42">
      <c r="A30" s="173" t="s">
        <v>173</v>
      </c>
      <c r="B30" s="173" t="s">
        <v>301</v>
      </c>
      <c r="C30" s="174"/>
      <c r="D30" s="174"/>
      <c r="E30" s="174"/>
      <c r="F30" s="174"/>
      <c r="G30" s="177">
        <f>H30-G31</f>
        <v>50</v>
      </c>
      <c r="H30" s="178">
        <v>52</v>
      </c>
      <c r="J30" s="159">
        <v>0.2517</v>
      </c>
      <c r="K30" s="177">
        <f>((AA5*参数调整!H13/第二季度!J30)-第一季度!G23*$J$18*0.536537)/$J$18</f>
        <v>14203.1548363863</v>
      </c>
      <c r="Q30" s="184">
        <f>K30/3</f>
        <v>4734.38494546211</v>
      </c>
      <c r="W30" s="160" t="str">
        <f t="shared" si="7"/>
        <v>Q</v>
      </c>
      <c r="X30" s="98">
        <f t="shared" si="8"/>
        <v>14.4</v>
      </c>
      <c r="Y30" s="183">
        <f t="shared" si="9"/>
        <v>14.4</v>
      </c>
      <c r="Z30" s="189">
        <f t="shared" si="10"/>
        <v>14.4</v>
      </c>
      <c r="AA30" s="160">
        <f t="shared" si="11"/>
        <v>1</v>
      </c>
      <c r="AB30" s="161">
        <v>41</v>
      </c>
      <c r="AD30" s="104" t="s">
        <v>267</v>
      </c>
      <c r="AE30" s="106"/>
      <c r="AF30" s="52"/>
      <c r="AG30" s="54">
        <v>0</v>
      </c>
      <c r="AI30" s="111"/>
      <c r="AJ30" s="112"/>
      <c r="AK30" s="122"/>
      <c r="AL30" s="119" t="s">
        <v>176</v>
      </c>
      <c r="AM30" s="120">
        <v>0</v>
      </c>
      <c r="AN30" s="70">
        <f>参数调整!F12*AM30*参数调整!$B$30</f>
        <v>0</v>
      </c>
      <c r="AO30" s="48"/>
      <c r="AP30" s="48"/>
    </row>
    <row r="31" customHeight="1" spans="1:42">
      <c r="A31" s="173"/>
      <c r="B31" s="173">
        <v>111</v>
      </c>
      <c r="C31" s="174"/>
      <c r="D31" s="174"/>
      <c r="E31" s="174"/>
      <c r="F31" s="174"/>
      <c r="G31" s="175">
        <v>2</v>
      </c>
      <c r="H31" s="173" t="s">
        <v>302</v>
      </c>
      <c r="J31" s="159">
        <v>0.09</v>
      </c>
      <c r="K31" s="177">
        <f>((AA6*参数调整!H14/第二季度!J31)-第一季度!G24*$J$18*0.536537)/$J$18</f>
        <v>1915.70881226054</v>
      </c>
      <c r="Q31" s="184">
        <f>K31</f>
        <v>1915.70881226054</v>
      </c>
      <c r="W31" s="160" t="str">
        <f t="shared" si="7"/>
        <v>L</v>
      </c>
      <c r="X31" s="98">
        <f t="shared" si="8"/>
        <v>56</v>
      </c>
      <c r="Y31" s="98">
        <f t="shared" si="9"/>
        <v>62.2</v>
      </c>
      <c r="Z31" s="189">
        <f t="shared" si="10"/>
        <v>56</v>
      </c>
      <c r="AA31" s="160">
        <f t="shared" si="11"/>
        <v>0</v>
      </c>
      <c r="AB31" s="161">
        <v>95</v>
      </c>
      <c r="AD31" s="104" t="s">
        <v>263</v>
      </c>
      <c r="AE31" s="106"/>
      <c r="AF31" s="52"/>
      <c r="AG31" s="121">
        <f>AG30*(1-参数调整!B23)+AG29</f>
        <v>0.258999999961816</v>
      </c>
      <c r="AI31" s="111"/>
      <c r="AJ31" s="112"/>
      <c r="AK31" s="122"/>
      <c r="AL31" s="123"/>
      <c r="AM31" s="124"/>
      <c r="AN31" s="113"/>
      <c r="AO31" s="48"/>
      <c r="AP31" s="48"/>
    </row>
    <row r="32" customHeight="1" spans="23:42">
      <c r="W32" s="160">
        <f t="shared" si="7"/>
        <v>0</v>
      </c>
      <c r="X32" s="98">
        <f t="shared" si="8"/>
        <v>0</v>
      </c>
      <c r="Y32" s="98">
        <f t="shared" si="9"/>
        <v>0</v>
      </c>
      <c r="Z32" s="189">
        <f t="shared" si="10"/>
        <v>0</v>
      </c>
      <c r="AA32" s="160">
        <f t="shared" si="11"/>
        <v>0</v>
      </c>
      <c r="AB32" s="161">
        <v>0</v>
      </c>
      <c r="AI32" s="111"/>
      <c r="AJ32" s="112"/>
      <c r="AK32" s="122"/>
      <c r="AL32" s="119" t="s">
        <v>177</v>
      </c>
      <c r="AM32" s="120">
        <v>0</v>
      </c>
      <c r="AN32" s="70">
        <f>参数调整!F13*AM32*参数调整!$B$30</f>
        <v>0</v>
      </c>
      <c r="AO32" s="48"/>
      <c r="AP32" s="48"/>
    </row>
    <row r="33" customHeight="1" spans="10:42">
      <c r="J33">
        <f>10000/0.7404*5</f>
        <v>67531.0642895732</v>
      </c>
      <c r="K33">
        <f>(AA3*15/J28-第一季度!G21*J18*0.5367)/J18</f>
        <v>13361.2403705519</v>
      </c>
      <c r="W33" s="160">
        <f t="shared" si="7"/>
        <v>0</v>
      </c>
      <c r="X33" s="98">
        <f t="shared" si="8"/>
        <v>0</v>
      </c>
      <c r="Y33" s="98">
        <f t="shared" si="9"/>
        <v>0</v>
      </c>
      <c r="Z33" s="189">
        <f t="shared" si="10"/>
        <v>0</v>
      </c>
      <c r="AA33" s="160">
        <f t="shared" si="11"/>
        <v>0</v>
      </c>
      <c r="AB33" s="161">
        <v>0</v>
      </c>
      <c r="AI33" s="111"/>
      <c r="AJ33" s="112"/>
      <c r="AK33" s="122"/>
      <c r="AL33" s="123"/>
      <c r="AM33" s="124"/>
      <c r="AN33" s="113"/>
      <c r="AO33" s="48"/>
      <c r="AP33" s="48"/>
    </row>
    <row r="34" customHeight="1" spans="10:42">
      <c r="J34">
        <f>J33/J18</f>
        <v>2328.65738929563</v>
      </c>
      <c r="W34" s="160">
        <f t="shared" si="7"/>
        <v>0</v>
      </c>
      <c r="X34" s="98">
        <f>ROUNDUP(IF(J13="S",V13*$R$18/($R$18+$S$18+$T$18),IF(J13="B",V13*$R$19/($R$19+$S$19+$T$19),IF(J13="Q",V13*$R$20/($R$20+$S$20+$T$20),V13*$R$21/($R$21+$S$21+$T$21)))),1)</f>
        <v>0</v>
      </c>
      <c r="Y34" s="98">
        <f>ROUNDUP(IF(J13="S",V13*$S$18/($R$18+$S$18+$T$18),IF(J13="B",V13*$S$19/($R$19+$S$19+$T$19),IF(J13="Q",V13*$S$20/($R$20+$S$20+$T$20),V13*$S$21/($R$21+$S$21+$T$21)))),1)</f>
        <v>0</v>
      </c>
      <c r="Z34" s="189">
        <f t="shared" si="10"/>
        <v>0</v>
      </c>
      <c r="AA34" s="160">
        <f t="shared" si="11"/>
        <v>0</v>
      </c>
      <c r="AB34" s="161">
        <v>0</v>
      </c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customHeight="1" spans="23:42">
      <c r="W35" s="160">
        <f t="shared" si="7"/>
        <v>0</v>
      </c>
      <c r="X35" s="98">
        <f>ROUNDUP(IF(J14="S",V14*$R$18/($R$18+$S$18+$T$18),IF(J14="B",V14*$R$19/($R$19+$S$19+$T$19),IF(J14="Q",V14*$R$20/($R$20+$S$20+$T$20),V14*$R$21/($R$21+$S$21+$T$21)))),1)</f>
        <v>0</v>
      </c>
      <c r="Y35" s="98">
        <f>ROUNDUP(IF(J14="S",V14*$S$18/($R$18+$S$18+$T$18),IF(J14="B",V14*$S$19/($R$19+$S$19+$T$19),IF(J14="Q",V14*$S$20/($R$20+$S$20+$T$20),V14*$S$21/($R$21+$S$21+$T$21)))),1)</f>
        <v>0</v>
      </c>
      <c r="Z35" s="189">
        <f>ROUNDUP(IF(J14="S",V14*$T$18/($R$18+$S$18+$T$18),IF(J14="B",V14*$T$19/($R$19+$S$19+$T$19),IF(J14="Q",V14*$T$20/($R$20+$S$20+$T$20),V14*$T$21/($R$21+$S$21+$T$21)))),1)</f>
        <v>0</v>
      </c>
      <c r="AA35" s="191">
        <f t="shared" si="11"/>
        <v>0</v>
      </c>
      <c r="AB35" s="192">
        <v>0</v>
      </c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customHeight="1" spans="4:42">
      <c r="D36" s="29" t="s">
        <v>270</v>
      </c>
      <c r="E36" s="30" t="s">
        <v>271</v>
      </c>
      <c r="F36" s="30" t="s">
        <v>272</v>
      </c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AN2-SUM(AN5:AN19)+SUM(AN20:AN26)-SUM(AN27:AN35)+AO36*(1-参数调整!B23)+AP36*(1-参数调整!B24)</f>
        <v>21489.06</v>
      </c>
      <c r="AO36" s="54">
        <v>0</v>
      </c>
      <c r="AP36" s="54">
        <v>0</v>
      </c>
    </row>
    <row r="37" customHeight="1" spans="4:42">
      <c r="D37" s="29"/>
      <c r="E37" s="30"/>
      <c r="F37" s="30"/>
      <c r="AI37" s="127" t="s">
        <v>303</v>
      </c>
      <c r="AJ37" s="104" t="s">
        <v>274</v>
      </c>
      <c r="AK37" s="106"/>
      <c r="AL37" s="106"/>
      <c r="AM37" s="52"/>
      <c r="AN37" s="43">
        <f>AO3-AO36</f>
        <v>140458.5</v>
      </c>
      <c r="AO37" s="48"/>
      <c r="AP37" s="48"/>
    </row>
    <row r="38" customHeight="1" spans="4:42">
      <c r="D38" s="77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48">
        <f>第一季度!G3+第一季度!H3+第一季度!E38-第一季度!B3</f>
        <v>0</v>
      </c>
      <c r="F38" s="48">
        <f>E38+G3-B3</f>
        <v>0</v>
      </c>
      <c r="Q38" s="185"/>
      <c r="R38" s="185"/>
      <c r="S38" s="186" t="s">
        <v>304</v>
      </c>
      <c r="T38" s="187"/>
      <c r="U38" s="187"/>
      <c r="V38" s="69"/>
      <c r="AI38" s="128"/>
      <c r="AJ38" s="104" t="s">
        <v>275</v>
      </c>
      <c r="AK38" s="106"/>
      <c r="AL38" s="106"/>
      <c r="AM38" s="52"/>
      <c r="AN38" s="43">
        <f>(G3*D3*E3+G4*D4*E4+G5*D5*1.5*E5+G6*D6*E6+G7*E7*D7+G8*E8*D8+G9*E9*D9+G10*E10*D10+G11*E11*D11+G12*E12*D12+G13*E13*D13*1.5+G14*E14*D14*1.5+G15*E15*D15*1.5+G16*E16*D16*1.5)*(1+参数调整!B6)</f>
        <v>58805.136</v>
      </c>
      <c r="AO38" s="48"/>
      <c r="AP38" s="48"/>
    </row>
    <row r="39" customHeight="1" spans="4:42">
      <c r="D39" s="77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48">
        <f>第一季度!G4+第一季度!H4+第一季度!E39-第一季度!B4</f>
        <v>0</v>
      </c>
      <c r="F39" s="48">
        <f t="shared" ref="F39:F51" si="12">E39+G4-B4</f>
        <v>0</v>
      </c>
      <c r="Q39" s="185"/>
      <c r="R39" s="185"/>
      <c r="S39" s="185" t="s">
        <v>7</v>
      </c>
      <c r="T39" s="185" t="s">
        <v>10</v>
      </c>
      <c r="U39" s="185" t="s">
        <v>13</v>
      </c>
      <c r="V39" s="48"/>
      <c r="AI39" s="128"/>
      <c r="AJ39" s="104" t="s">
        <v>276</v>
      </c>
      <c r="AK39" s="106"/>
      <c r="AL39" s="106"/>
      <c r="AM39" s="52"/>
      <c r="AN39" s="43">
        <f>H5*D40*(1+参数调整!B6)+H13*D48*(1+参数调整!B6)+H14*D49*(1+参数调整!B6)+H15*D50*(1+参数调整!B6)+H16*D51*(1+参数调整!B6)</f>
        <v>49601.916</v>
      </c>
      <c r="AO39" s="48"/>
      <c r="AP39" s="48"/>
    </row>
    <row r="40" customHeight="1" spans="4:42">
      <c r="D40" s="77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48">
        <f>第一季度!G5+第一季度!H5+第一季度!E40-第一季度!B5</f>
        <v>60</v>
      </c>
      <c r="F40" s="48">
        <f t="shared" si="12"/>
        <v>0</v>
      </c>
      <c r="Q40" s="185"/>
      <c r="R40" s="185" t="s">
        <v>305</v>
      </c>
      <c r="S40" s="23">
        <v>1</v>
      </c>
      <c r="T40" s="23">
        <v>1</v>
      </c>
      <c r="U40" s="23">
        <v>1</v>
      </c>
      <c r="V40" s="48"/>
      <c r="W40" s="188"/>
      <c r="X40" s="188"/>
      <c r="Y40" s="188" t="s">
        <v>306</v>
      </c>
      <c r="Z40" s="188" t="s">
        <v>307</v>
      </c>
      <c r="AA40" s="188" t="s">
        <v>308</v>
      </c>
      <c r="AB40" s="188" t="s">
        <v>309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customHeight="1" spans="4:42">
      <c r="D41" s="77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48">
        <f>第一季度!G6+第一季度!H6+第一季度!E41-第一季度!B6</f>
        <v>0</v>
      </c>
      <c r="F41" s="48">
        <f t="shared" si="12"/>
        <v>0</v>
      </c>
      <c r="Q41" s="185" t="str">
        <f t="shared" ref="Q41:Q52" si="13">J3</f>
        <v>S</v>
      </c>
      <c r="R41" s="185">
        <f t="shared" ref="R41:R52" si="14">K3</f>
        <v>113</v>
      </c>
      <c r="S41" s="185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0.2</v>
      </c>
      <c r="T41" s="185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0.2</v>
      </c>
      <c r="U41" s="185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0.2</v>
      </c>
      <c r="V41" s="48"/>
      <c r="W41" s="188" t="str">
        <f t="shared" ref="W41:W52" si="15">J3</f>
        <v>S</v>
      </c>
      <c r="X41" s="188">
        <f t="shared" ref="X41:X52" si="16">K3</f>
        <v>113</v>
      </c>
      <c r="Y41" s="188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0.620689655172414</v>
      </c>
      <c r="Z41" s="188">
        <f>IF(W41="S",1/($G$22+$G$23)*参数调整!$G$11,IF(W41="B",1/($G$24+$G$25+$G$26)*参数调整!$G$12,IF(W41="Q",1/($G$27+$G$28+$G$29)*参数调整!$G$13,1/($G$30+$G$31)*参数调整!$G$14)))</f>
        <v>0.2</v>
      </c>
      <c r="AA41" s="188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0.153769841269841</v>
      </c>
      <c r="AB41" s="188">
        <f>IF(W41="S",Y3*参数调整!$H$11/($V$18*($J$18-1)+Y3),IF(W41="B",Y3*参数调整!$H$12/($V$19*($J$18-1)+Y3),IF(W41="Q",Y3*参数调整!$H$13/($V$20*($J$18-1)+Y3),Y3*参数调整!$H$14/($V$21*($J$18-1)+Y3))))</f>
        <v>0.621113135820683</v>
      </c>
      <c r="AI41" s="128"/>
      <c r="AJ41" s="104" t="s">
        <v>277</v>
      </c>
      <c r="AK41" s="106"/>
      <c r="AL41" s="106"/>
      <c r="AM41" s="52"/>
      <c r="AN41" s="43">
        <f>(AN2+AO3+AP3-AK2)*参数调整!B6/(1+参数调整!B6)-(F3+F4+F5*1.5+F6+F7+F8+F9+F10+F11+F12+F13*1.5+F14*1.5+F15*1.5+F16*1.5+第一季度!AN39)/(1+参数调整!B6)*参数调整!B6</f>
        <v>37434.884</v>
      </c>
      <c r="AO41" s="48"/>
      <c r="AP41" s="48"/>
    </row>
    <row r="42" customHeight="1" spans="4:42">
      <c r="D42" s="7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48">
        <f>第一季度!G7+第一季度!H7+第一季度!E42-第一季度!B7</f>
        <v>0</v>
      </c>
      <c r="F42" s="48">
        <f t="shared" si="12"/>
        <v>0</v>
      </c>
      <c r="Q42" s="185" t="str">
        <f t="shared" si="13"/>
        <v>S</v>
      </c>
      <c r="R42" s="185">
        <f t="shared" si="14"/>
        <v>3333</v>
      </c>
      <c r="S42" s="185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0.2</v>
      </c>
      <c r="T42" s="185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0.2</v>
      </c>
      <c r="U42" s="185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0.2</v>
      </c>
      <c r="V42" s="48"/>
      <c r="W42" s="188" t="str">
        <f t="shared" si="15"/>
        <v>S</v>
      </c>
      <c r="X42" s="188">
        <f t="shared" si="16"/>
        <v>3333</v>
      </c>
      <c r="Y42" s="188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2.06896551724138</v>
      </c>
      <c r="Z42" s="188">
        <f>IF(W42="S",1/($G$22+$G$23)*参数调整!$G$11,IF(W42="B",1/($G$24+$G$25+$G$26)*参数调整!$G$12,IF(W42="Q",1/($G$27+$G$28+$G$29)*参数调整!$G$13,1/($G$30+$G$31)*参数调整!$G$14)))</f>
        <v>0.2</v>
      </c>
      <c r="AA42" s="188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</v>
      </c>
      <c r="AB42" s="188">
        <f>IF(W42="S",Y4*参数调整!$H$11/($V$18*($J$18-1)+Y4),IF(W42="B",Y4*参数调整!$H$12/($V$19*($J$18-1)+Y4),IF(W42="Q",Y4*参数调整!$H$13/($V$20*($J$18-1)+Y4),Y4*参数调整!$H$14/($V$21*($J$18-1)+Y4))))</f>
        <v>0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4492.18608</v>
      </c>
      <c r="AO42" s="48"/>
      <c r="AP42" s="48"/>
    </row>
    <row r="43" customHeight="1" spans="4:42">
      <c r="D43" s="7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48">
        <f>第一季度!G8+第一季度!H8+第一季度!E43-第一季度!B8</f>
        <v>0</v>
      </c>
      <c r="F43" s="48">
        <f t="shared" si="12"/>
        <v>0</v>
      </c>
      <c r="Q43" s="185" t="str">
        <f t="shared" si="13"/>
        <v>B</v>
      </c>
      <c r="R43" s="185">
        <f t="shared" si="14"/>
        <v>1111</v>
      </c>
      <c r="S43" s="185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0.0757575757575758</v>
      </c>
      <c r="T43" s="185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0.0757575757575758</v>
      </c>
      <c r="U43" s="185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0.0757575757575758</v>
      </c>
      <c r="V43" s="48"/>
      <c r="W43" s="188" t="str">
        <f t="shared" si="15"/>
        <v>B</v>
      </c>
      <c r="X43" s="188">
        <f t="shared" si="16"/>
        <v>1111</v>
      </c>
      <c r="Y43" s="188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0.630455868089234</v>
      </c>
      <c r="Z43" s="188">
        <f>IF(W43="S",1/($G$22+$G$23)*参数调整!$G$11,IF(W43="B",1/($G$24+$G$25+$G$26)*参数调整!$G$12,IF(W43="Q",1/($G$27+$G$28+$G$29)*参数调整!$G$13,1/($G$30+$G$31)*参数调整!$G$14)))</f>
        <v>0.227272727272727</v>
      </c>
      <c r="AA43" s="188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0.140086206896552</v>
      </c>
      <c r="AB43" s="188">
        <f>IF(W43="S",Y5*参数调整!$H$11/($V$18*($J$18-1)+Y5),IF(W43="B",Y5*参数调整!$H$12/($V$19*($J$18-1)+Y5),IF(W43="Q",Y5*参数调整!$H$13/($V$20*($J$18-1)+Y5),Y5*参数调整!$H$14/($V$21*($J$18-1)+Y5))))</f>
        <v>1.16028570603425</v>
      </c>
      <c r="AI43" s="128"/>
      <c r="AJ43" s="104" t="s">
        <v>279</v>
      </c>
      <c r="AK43" s="106"/>
      <c r="AL43" s="106"/>
      <c r="AM43" s="52"/>
      <c r="AN43" s="43">
        <v>0</v>
      </c>
      <c r="AO43" s="48"/>
      <c r="AP43" s="48"/>
    </row>
    <row r="44" customHeight="1" spans="4:42">
      <c r="D44" s="7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48">
        <f>第一季度!G9+第一季度!H9+第一季度!E44-第一季度!B9</f>
        <v>0</v>
      </c>
      <c r="F44" s="48">
        <f t="shared" si="12"/>
        <v>0</v>
      </c>
      <c r="Q44" s="185" t="str">
        <f t="shared" si="13"/>
        <v>B</v>
      </c>
      <c r="R44" s="185">
        <f t="shared" si="14"/>
        <v>1331</v>
      </c>
      <c r="S44" s="185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0.0757575757575758</v>
      </c>
      <c r="T44" s="185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0.0757575757575758</v>
      </c>
      <c r="U44" s="185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0.0757575757575758</v>
      </c>
      <c r="V44" s="48"/>
      <c r="W44" s="188" t="str">
        <f t="shared" si="15"/>
        <v>B</v>
      </c>
      <c r="X44" s="188">
        <f t="shared" si="16"/>
        <v>1331</v>
      </c>
      <c r="Y44" s="188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1.50339476236663</v>
      </c>
      <c r="Z44" s="188">
        <f>IF(W44="S",1/($G$22+$G$23)*参数调整!$G$11,IF(W44="B",1/($G$24+$G$25+$G$26)*参数调整!$G$12,IF(W44="Q",1/($G$27+$G$28+$G$29)*参数调整!$G$13,1/($G$30+$G$31)*参数调整!$G$14)))</f>
        <v>0.227272727272727</v>
      </c>
      <c r="AA44" s="188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0</v>
      </c>
      <c r="AB44" s="188">
        <f>IF(W44="S",Y6*参数调整!$H$11/($V$18*($J$18-1)+Y6),IF(W44="B",Y6*参数调整!$H$12/($V$19*($J$18-1)+Y6),IF(W44="Q",Y6*参数调整!$H$13/($V$20*($J$18-1)+Y6),Y6*参数调整!$H$14/($V$21*($J$18-1)+Y6))))</f>
        <v>0</v>
      </c>
      <c r="AI44" s="129"/>
      <c r="AJ44" s="104" t="s">
        <v>263</v>
      </c>
      <c r="AK44" s="106"/>
      <c r="AL44" s="106"/>
      <c r="AM44" s="52"/>
      <c r="AN44" s="121">
        <f>AN36+AN37-SUM(AN38:AN43)</f>
        <v>1613.43791999997</v>
      </c>
      <c r="AO44" s="48"/>
      <c r="AP44" s="48"/>
    </row>
    <row r="45" spans="4:28">
      <c r="D45" s="7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48">
        <f>第一季度!G10+第一季度!H10+第一季度!E45-第一季度!B10</f>
        <v>0</v>
      </c>
      <c r="F45" s="48">
        <f t="shared" si="12"/>
        <v>0</v>
      </c>
      <c r="Q45" s="185" t="str">
        <f t="shared" si="13"/>
        <v>B</v>
      </c>
      <c r="R45" s="185">
        <f t="shared" si="14"/>
        <v>1121</v>
      </c>
      <c r="S45" s="185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0.0757575757575758</v>
      </c>
      <c r="T45" s="185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0.0757575757575758</v>
      </c>
      <c r="U45" s="185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0.0757575757575758</v>
      </c>
      <c r="V45" s="48"/>
      <c r="W45" s="188" t="str">
        <f t="shared" si="15"/>
        <v>B</v>
      </c>
      <c r="X45" s="188">
        <f t="shared" si="16"/>
        <v>1121</v>
      </c>
      <c r="Y45" s="188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0.630455868089234</v>
      </c>
      <c r="Z45" s="188">
        <f>IF(W45="S",1/($G$22+$G$23)*参数调整!$G$11,IF(W45="B",1/($G$24+$G$25+$G$26)*参数调整!$G$12,IF(W45="Q",1/($G$27+$G$28+$G$29)*参数调整!$G$13,1/($G$30+$G$31)*参数调整!$G$14)))</f>
        <v>0.227272727272727</v>
      </c>
      <c r="AA45" s="188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0</v>
      </c>
      <c r="AB45" s="188">
        <f>IF(W45="S",Y7*参数调整!$H$11/($V$18*($J$18-1)+Y7),IF(W45="B",Y7*参数调整!$H$12/($V$19*($J$18-1)+Y7),IF(W45="Q",Y7*参数调整!$H$13/($V$20*($J$18-1)+Y7),Y7*参数调整!$H$14/($V$21*($J$18-1)+Y7))))</f>
        <v>0</v>
      </c>
    </row>
    <row r="46" spans="4:28">
      <c r="D46" s="7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48">
        <f>第一季度!G11+第一季度!H11+第一季度!E46-第一季度!B11</f>
        <v>0</v>
      </c>
      <c r="F46" s="48">
        <f t="shared" si="12"/>
        <v>0</v>
      </c>
      <c r="Q46" s="185" t="str">
        <f t="shared" si="13"/>
        <v>Q</v>
      </c>
      <c r="R46" s="185">
        <f t="shared" si="14"/>
        <v>212</v>
      </c>
      <c r="S46" s="185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0.0833333333333333</v>
      </c>
      <c r="T46" s="185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0.0833333333333333</v>
      </c>
      <c r="U46" s="185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0.0833333333333333</v>
      </c>
      <c r="V46" s="48"/>
      <c r="W46" s="188" t="str">
        <f t="shared" si="15"/>
        <v>Q</v>
      </c>
      <c r="X46" s="188">
        <f t="shared" si="16"/>
        <v>212</v>
      </c>
      <c r="Y46" s="188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0.689259046524986</v>
      </c>
      <c r="Z46" s="188">
        <f>IF(W46="S",1/($G$22+$G$23)*参数调整!$G$11,IF(W46="B",1/($G$24+$G$25+$G$26)*参数调整!$G$12,IF(W46="Q",1/($G$27+$G$28+$G$29)*参数调整!$G$13,1/($G$30+$G$31)*参数调整!$G$14)))</f>
        <v>0.416666666666667</v>
      </c>
      <c r="AA46" s="188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0.35632183908046</v>
      </c>
      <c r="AB46" s="188">
        <f>IF(W46="S",Y8*参数调整!$H$11/($V$18*($J$18-1)+Y8),IF(W46="B",Y8*参数调整!$H$12/($V$19*($J$18-1)+Y8),IF(W46="Q",Y8*参数调整!$H$13/($V$20*($J$18-1)+Y8),Y8*参数调整!$H$14/($V$21*($J$18-1)+Y8))))</f>
        <v>0.256236085572806</v>
      </c>
    </row>
    <row r="47" spans="4:28">
      <c r="D47" s="7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48">
        <f>第一季度!G12+第一季度!H12+第一季度!E47-第一季度!B12</f>
        <v>0</v>
      </c>
      <c r="F47" s="48">
        <f t="shared" si="12"/>
        <v>0</v>
      </c>
      <c r="Q47" s="185" t="str">
        <f t="shared" si="13"/>
        <v>Q</v>
      </c>
      <c r="R47" s="185">
        <f t="shared" si="14"/>
        <v>1121</v>
      </c>
      <c r="S47" s="185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0.0833333333333333</v>
      </c>
      <c r="T47" s="185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0.0833333333333333</v>
      </c>
      <c r="U47" s="185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0.0833333333333333</v>
      </c>
      <c r="V47" s="48"/>
      <c r="W47" s="188" t="str">
        <f t="shared" si="15"/>
        <v>Q</v>
      </c>
      <c r="X47" s="188">
        <f t="shared" si="16"/>
        <v>1121</v>
      </c>
      <c r="Y47" s="188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0.712234348075819</v>
      </c>
      <c r="Z47" s="188">
        <f>IF(W47="S",1/($G$22+$G$23)*参数调整!$G$11,IF(W47="B",1/($G$24+$G$25+$G$26)*参数调整!$G$12,IF(W47="Q",1/($G$27+$G$28+$G$29)*参数调整!$G$13,1/($G$30+$G$31)*参数调整!$G$14)))</f>
        <v>0.416666666666667</v>
      </c>
      <c r="AA47" s="188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</v>
      </c>
      <c r="AB47" s="188">
        <f>IF(W47="S",Y9*参数调整!$H$11/($V$18*($J$18-1)+Y9),IF(W47="B",Y9*参数调整!$H$12/($V$19*($J$18-1)+Y9),IF(W47="Q",Y9*参数调整!$H$13/($V$20*($J$18-1)+Y9),Y9*参数调整!$H$14/($V$21*($J$18-1)+Y9))))</f>
        <v>0</v>
      </c>
    </row>
    <row r="48" spans="4:28">
      <c r="D48" s="7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45.6</v>
      </c>
      <c r="E48" s="48">
        <f>第一季度!G13+第一季度!H13+第一季度!E48-第一季度!B13</f>
        <v>220</v>
      </c>
      <c r="F48" s="48">
        <f t="shared" si="12"/>
        <v>2</v>
      </c>
      <c r="Q48" s="185" t="str">
        <f t="shared" si="13"/>
        <v>L</v>
      </c>
      <c r="R48" s="185">
        <f t="shared" si="14"/>
        <v>121</v>
      </c>
      <c r="S48" s="185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0.192307692307692</v>
      </c>
      <c r="T48" s="185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0.192307692307692</v>
      </c>
      <c r="U48" s="185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0.192307692307692</v>
      </c>
      <c r="V48" s="69"/>
      <c r="W48" s="188" t="str">
        <f t="shared" si="15"/>
        <v>L</v>
      </c>
      <c r="X48" s="188">
        <f t="shared" si="16"/>
        <v>121</v>
      </c>
      <c r="Y48" s="188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0.583657587548638</v>
      </c>
      <c r="Z48" s="188">
        <f>IF(W48="S",1/($G$22+$G$23)*参数调整!$G$11,IF(W48="B",1/($G$24+$G$25+$G$26)*参数调整!$G$12,IF(W48="Q",1/($G$27+$G$28+$G$29)*参数调整!$G$13,1/($G$30+$G$31)*参数调整!$G$14)))</f>
        <v>0.961538461538462</v>
      </c>
      <c r="AA48" s="188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88">
        <f>IF(W48="S",Y10*参数调整!$H$11/($V$18*($J$18-1)+Y10),IF(W48="B",Y10*参数调整!$H$12/($V$19*($J$18-1)+Y10),IF(W48="Q",Y10*参数调整!$H$13/($V$20*($J$18-1)+Y10),Y10*参数调整!$H$14/($V$21*($J$18-1)+Y10))))</f>
        <v>0</v>
      </c>
    </row>
    <row r="49" spans="4:28">
      <c r="D49" s="7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48">
        <f>第一季度!G14+第一季度!H14+第一季度!E49-第一季度!B14</f>
        <v>0</v>
      </c>
      <c r="F49" s="48">
        <f t="shared" si="12"/>
        <v>0</v>
      </c>
      <c r="Q49" s="185">
        <f t="shared" si="13"/>
        <v>0</v>
      </c>
      <c r="R49" s="185">
        <f t="shared" si="14"/>
        <v>212</v>
      </c>
      <c r="S49" s="185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0.192307692307692</v>
      </c>
      <c r="T49" s="185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0.192307692307692</v>
      </c>
      <c r="U49" s="185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0.192307692307692</v>
      </c>
      <c r="V49" s="69"/>
      <c r="W49" s="188">
        <f t="shared" si="15"/>
        <v>0</v>
      </c>
      <c r="X49" s="188">
        <f t="shared" si="16"/>
        <v>212</v>
      </c>
      <c r="Y49" s="188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88">
        <f>IF(W49="S",1/($G$22+$G$23)*参数调整!$G$11,IF(W49="B",1/($G$24+$G$25+$G$26)*参数调整!$G$12,IF(W49="Q",1/($G$27+$G$28+$G$29)*参数调整!$G$13,1/($G$30+$G$31)*参数调整!$G$14)))</f>
        <v>0.961538461538462</v>
      </c>
      <c r="AA49" s="188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88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7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48">
        <f>第一季度!G15+第一季度!H15+第一季度!E50-第一季度!B15</f>
        <v>60</v>
      </c>
      <c r="F50" s="48">
        <f t="shared" si="12"/>
        <v>0</v>
      </c>
      <c r="Q50" s="185">
        <f t="shared" si="13"/>
        <v>0</v>
      </c>
      <c r="R50" s="185">
        <f t="shared" si="14"/>
        <v>1121</v>
      </c>
      <c r="S50" s="185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0.192307692307692</v>
      </c>
      <c r="T50" s="185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0.192307692307692</v>
      </c>
      <c r="U50" s="185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0.192307692307692</v>
      </c>
      <c r="V50" s="69"/>
      <c r="W50" s="188">
        <f t="shared" si="15"/>
        <v>0</v>
      </c>
      <c r="X50" s="188">
        <f t="shared" si="16"/>
        <v>1121</v>
      </c>
      <c r="Y50" s="188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88">
        <f>IF(W50="S",1/($G$22+$G$23)*参数调整!$G$11,IF(W50="B",1/($G$24+$G$25+$G$26)*参数调整!$G$12,IF(W50="Q",1/($G$27+$G$28+$G$29)*参数调整!$G$13,1/($G$30+$G$31)*参数调整!$G$14)))</f>
        <v>0.961538461538462</v>
      </c>
      <c r="AA50" s="188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88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7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48">
        <f>第一季度!G16+第一季度!H16+第一季度!E51-第一季度!B16</f>
        <v>0</v>
      </c>
      <c r="F51" s="48">
        <f t="shared" si="12"/>
        <v>0</v>
      </c>
      <c r="Q51" s="185">
        <f t="shared" si="13"/>
        <v>0</v>
      </c>
      <c r="R51" s="185">
        <f t="shared" si="14"/>
        <v>121</v>
      </c>
      <c r="S51" s="185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0.192307692307692</v>
      </c>
      <c r="T51" s="185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0.192307692307692</v>
      </c>
      <c r="U51" s="185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0.192307692307692</v>
      </c>
      <c r="W51" s="188">
        <f t="shared" si="15"/>
        <v>0</v>
      </c>
      <c r="X51" s="188">
        <f t="shared" si="16"/>
        <v>121</v>
      </c>
      <c r="Y51" s="188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88">
        <f>IF(W51="S",1/($G$22+$G$23)*参数调整!$G$11,IF(W51="B",1/($G$24+$G$25+$G$26)*参数调整!$G$12,IF(W51="Q",1/($G$27+$G$28+$G$29)*参数调整!$G$13,1/($G$30+$G$31)*参数调整!$G$14)))</f>
        <v>0.961538461538462</v>
      </c>
      <c r="AA51" s="188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88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17:28">
      <c r="Q52" s="185">
        <f t="shared" si="13"/>
        <v>0</v>
      </c>
      <c r="R52" s="185">
        <f t="shared" si="14"/>
        <v>122</v>
      </c>
      <c r="S52" s="185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0.192307692307692</v>
      </c>
      <c r="T52" s="185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0.192307692307692</v>
      </c>
      <c r="U52" s="185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0.192307692307692</v>
      </c>
      <c r="W52" s="188">
        <f t="shared" si="15"/>
        <v>0</v>
      </c>
      <c r="X52" s="188">
        <f t="shared" si="16"/>
        <v>122</v>
      </c>
      <c r="Y52" s="188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88">
        <f>IF(W52="S",1/($G$22+$G$23)*参数调整!$G$11,IF(W52="B",1/($G$24+$G$25+$G$26)*参数调整!$G$12,IF(W52="Q",1/($G$27+$G$28+$G$29)*参数调整!$G$13,1/($G$30+$G$31)*参数调整!$G$14)))</f>
        <v>0.961538461538462</v>
      </c>
      <c r="AA52" s="188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88">
        <f>IF(W52="S",Y14*参数调整!$H$11/($V$18*($J$18-1)+Y14),IF(W52="B",Y14*参数调整!$H$12/($V$19*($J$18-1)+Y14),IF(W52="Q",Y14*参数调整!$H$13/($V$20*($J$18-1)+Y14),Y14*参数调整!$H$14/($V$21*($J$18-1)+Y14))))</f>
        <v>0</v>
      </c>
    </row>
    <row r="54" spans="5:5">
      <c r="E54">
        <f>IF(B3&gt;E38,(B3-E38)*D3+E38*第一季度!D38,B3*第一季度!D38)</f>
        <v>18832.8</v>
      </c>
    </row>
    <row r="55" spans="5:5">
      <c r="E55">
        <f>IF(B4&gt;E39,(B4-E39)*D4+E39*第一季度!D39,B4*第一季度!D39)</f>
        <v>6396</v>
      </c>
    </row>
    <row r="56" spans="5:5">
      <c r="E56">
        <f>IF(B5&gt;E40,(B5-E40)*D5+E40*第一季度!D40,B5*第一季度!D40)</f>
        <v>8760</v>
      </c>
    </row>
    <row r="57" spans="5:5">
      <c r="E57">
        <f>IF(B6&gt;E41,(B6-E41)*D6+E41*第一季度!D41,B6*第一季度!D41)</f>
        <v>3655.6</v>
      </c>
    </row>
    <row r="58" spans="5:5">
      <c r="E58">
        <f>IF(B7&gt;E42,(B7-E42)*D7+E42*第一季度!D42,B7*第一季度!D42)</f>
        <v>3492</v>
      </c>
    </row>
    <row r="59" spans="5:5">
      <c r="E59">
        <f>IF(B8&gt;E43,(B8-E43)*D8+E43*第一季度!D43,B8*第一季度!D43)</f>
        <v>4200</v>
      </c>
    </row>
    <row r="60" spans="5:5">
      <c r="E60">
        <f>IF(B9&gt;E44,(B9-E44)*D9+E44*第一季度!D44,B9*第一季度!D44)</f>
        <v>13178.4</v>
      </c>
    </row>
    <row r="61" spans="5:5">
      <c r="E61">
        <f>IF(B10&gt;E45,(B10-E45)*D10+E45*第一季度!D45,B10*第一季度!D45)</f>
        <v>11850</v>
      </c>
    </row>
    <row r="62" spans="5:5">
      <c r="E62">
        <f>IF(B11&gt;E46,(B11-E46)*D11+E46*第一季度!D46,B11*第一季度!D46)</f>
        <v>23000</v>
      </c>
    </row>
    <row r="63" spans="5:5">
      <c r="E63">
        <f>IF(B12&gt;E47,(B12-E47)*D12+E47*第一季度!D47,B12*第一季度!D47)</f>
        <v>0</v>
      </c>
    </row>
    <row r="64" spans="5:5">
      <c r="E64">
        <f>IF(B13&gt;E48,(B13-E48)*D13+E48*第一季度!D48,B13*第一季度!D48)</f>
        <v>10355</v>
      </c>
    </row>
    <row r="65" spans="5:5">
      <c r="E65">
        <f>IF(B14&gt;E49,(B14-E49)*D14+E49*第一季度!D49,B14*第一季度!D49)</f>
        <v>0</v>
      </c>
    </row>
    <row r="66" spans="5:5">
      <c r="E66">
        <f>IF(B15&gt;E50,(B15-E50)*D15+E50*第一季度!D50,B15*第一季度!D50)</f>
        <v>6300</v>
      </c>
    </row>
    <row r="67" spans="5:5">
      <c r="E67">
        <f>IF(B16&gt;E51,(B16-E51)*D16+E51*第一季度!D51,B16*第一季度!D51)</f>
        <v>0</v>
      </c>
    </row>
    <row r="68" spans="4:5">
      <c r="D68" t="s">
        <v>310</v>
      </c>
      <c r="E68">
        <f>SUM(E54:E67)</f>
        <v>110019.8</v>
      </c>
    </row>
  </sheetData>
  <mergeCells count="82">
    <mergeCell ref="R1:U1"/>
    <mergeCell ref="AD2:AG2"/>
    <mergeCell ref="AD3:AF3"/>
    <mergeCell ref="AD4:AF4"/>
    <mergeCell ref="AJ4:AL4"/>
    <mergeCell ref="AO4:AP4"/>
    <mergeCell ref="AK12:AL12"/>
    <mergeCell ref="AD15:AE15"/>
    <mergeCell ref="AD16:AE16"/>
    <mergeCell ref="J17:K17"/>
    <mergeCell ref="W17:Y17"/>
    <mergeCell ref="AJ17:AL17"/>
    <mergeCell ref="A18:B18"/>
    <mergeCell ref="J21:K21"/>
    <mergeCell ref="AD23:AE23"/>
    <mergeCell ref="AD24:AE24"/>
    <mergeCell ref="AD25:AE25"/>
    <mergeCell ref="AD26:AE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S38:U38"/>
    <mergeCell ref="AJ38:AM38"/>
    <mergeCell ref="AJ39:AM39"/>
    <mergeCell ref="AJ40:AM40"/>
    <mergeCell ref="AJ41:AM41"/>
    <mergeCell ref="AJ42:AM42"/>
    <mergeCell ref="AJ43:AM43"/>
    <mergeCell ref="AJ44:AM44"/>
    <mergeCell ref="A22:A23"/>
    <mergeCell ref="A24:A26"/>
    <mergeCell ref="A27:A29"/>
    <mergeCell ref="A30:A31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AD5:AD7"/>
    <mergeCell ref="AD8:AD10"/>
    <mergeCell ref="AD11:AD14"/>
    <mergeCell ref="AD17:AD22"/>
    <mergeCell ref="AG8:AG10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J22:K23"/>
    <mergeCell ref="J18:K20"/>
    <mergeCell ref="AI2:AJ3"/>
    <mergeCell ref="AJ18:AK19"/>
    <mergeCell ref="AJ20:AK23"/>
    <mergeCell ref="AJ24:AK26"/>
    <mergeCell ref="AL2:AM3"/>
    <mergeCell ref="AO5:AP6"/>
  </mergeCells>
  <dataValidations count="4">
    <dataValidation type="list" allowBlank="1" showInputMessage="1" showErrorMessage="1" sqref="AE5:AE7">
      <formula1>"购买小厂房,购买中厂房,购买大厂房"</formula1>
    </dataValidation>
    <dataValidation type="list" allowBlank="1" showInputMessage="1" showErrorMessage="1" sqref="AF17:AF24">
      <formula1>"1,0"</formula1>
    </dataValidation>
    <dataValidation type="list" allowBlank="1" showInputMessage="1" showErrorMessage="1" sqref="AE8:AE10">
      <formula1>"租用小厂房,租用中厂房,租用大厂房"</formula1>
    </dataValidation>
    <dataValidation type="list" allowBlank="1" showInputMessage="1" showErrorMessage="1" sqref="AE11:AE14">
      <formula1>"手工线,半自动线,全自动线,柔性线"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P69"/>
  <sheetViews>
    <sheetView tabSelected="1" zoomScale="85" zoomScaleNormal="85" workbookViewId="0">
      <selection activeCell="B34" sqref="B34:B37"/>
    </sheetView>
  </sheetViews>
  <sheetFormatPr defaultColWidth="9" defaultRowHeight="13.8"/>
  <cols>
    <col min="1" max="1" width="16.3333333333333" customWidth="1"/>
    <col min="2" max="2" width="15.1111111111111" customWidth="1"/>
    <col min="3" max="3" width="8.88888888888889" hidden="1" customWidth="1"/>
    <col min="4" max="4" width="12.3333333333333" hidden="1" customWidth="1"/>
    <col min="5" max="5" width="17.5555555555556" hidden="1" customWidth="1"/>
    <col min="6" max="6" width="8.88888888888889" hidden="1" customWidth="1"/>
    <col min="7" max="7" width="13" customWidth="1"/>
    <col min="12" max="16" width="8.88888888888889" hidden="1" customWidth="1"/>
    <col min="17" max="17" width="11" customWidth="1"/>
    <col min="18" max="18" width="11.6666666666667" customWidth="1"/>
    <col min="19" max="19" width="12.5555555555556" customWidth="1"/>
    <col min="20" max="20" width="14.4444444444444" customWidth="1"/>
    <col min="21" max="21" width="12.1111111111111" customWidth="1"/>
    <col min="22" max="22" width="14.5555555555556" customWidth="1"/>
    <col min="24" max="24" width="15.5555555555556"/>
    <col min="27" max="27" width="10.4444444444444" customWidth="1"/>
    <col min="28" max="28" width="13.3333333333333" customWidth="1"/>
    <col min="29" max="29" width="12" customWidth="1"/>
    <col min="31" max="31" width="16.5555555555556" customWidth="1"/>
    <col min="33" max="33" width="12.5555555555556" customWidth="1"/>
    <col min="34" max="34" width="12.4444444444444" customWidth="1"/>
    <col min="39" max="39" width="11.3333333333333" customWidth="1"/>
    <col min="40" max="40" width="12.4444444444444" customWidth="1"/>
    <col min="41" max="41" width="20" customWidth="1"/>
    <col min="42" max="42" width="18.6666666666667" customWidth="1"/>
    <col min="46" max="46" width="11.7777777777778" customWidth="1"/>
  </cols>
  <sheetData>
    <row r="1" spans="1:22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145" t="s">
        <v>196</v>
      </c>
      <c r="H1" s="146" t="s">
        <v>197</v>
      </c>
      <c r="S1" s="133" t="s">
        <v>311</v>
      </c>
      <c r="T1" s="133"/>
      <c r="U1" s="133"/>
      <c r="V1" s="133"/>
    </row>
    <row r="2" spans="1:42">
      <c r="A2" s="69"/>
      <c r="B2" s="72"/>
      <c r="C2" s="73"/>
      <c r="D2" s="29"/>
      <c r="E2" s="29"/>
      <c r="F2" s="69"/>
      <c r="G2" s="147"/>
      <c r="H2" s="146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281</v>
      </c>
      <c r="R2" s="134" t="s">
        <v>312</v>
      </c>
      <c r="S2" s="89" t="s">
        <v>201</v>
      </c>
      <c r="T2" s="89" t="s">
        <v>202</v>
      </c>
      <c r="U2" s="89" t="s">
        <v>203</v>
      </c>
      <c r="V2" s="89" t="s">
        <v>204</v>
      </c>
      <c r="W2" s="89" t="s">
        <v>205</v>
      </c>
      <c r="X2" s="89" t="s">
        <v>206</v>
      </c>
      <c r="Y2" s="89" t="s">
        <v>207</v>
      </c>
      <c r="Z2" s="89" t="s">
        <v>282</v>
      </c>
      <c r="AA2" s="43" t="s">
        <v>208</v>
      </c>
      <c r="AB2" s="89" t="s">
        <v>207</v>
      </c>
      <c r="AD2" s="31" t="s">
        <v>209</v>
      </c>
      <c r="AE2" s="31"/>
      <c r="AF2" s="31"/>
      <c r="AG2" s="31"/>
      <c r="AI2" s="107" t="s">
        <v>210</v>
      </c>
      <c r="AJ2" s="108"/>
      <c r="AK2" s="100">
        <f>AG31</f>
        <v>0.237999999983003</v>
      </c>
      <c r="AL2" s="107" t="s">
        <v>211</v>
      </c>
      <c r="AM2" s="108"/>
      <c r="AN2" s="163">
        <v>316894.74</v>
      </c>
      <c r="AO2" s="31" t="s">
        <v>212</v>
      </c>
      <c r="AP2" s="31" t="s">
        <v>213</v>
      </c>
    </row>
    <row r="3" ht="14.55" spans="1:42">
      <c r="A3" s="75" t="s">
        <v>214</v>
      </c>
      <c r="B3" s="76">
        <f>SUMIF($L$3:$L$14,1,$S$3:$S$14)+SUMIF($L$3:$L$14,1,$T$3:$T$14)+SUMIF($L$3:$L$14,1,$U$3:$U$14)+SUMIF($L$3:$L$14,1,$V$3:$V$14)</f>
        <v>660</v>
      </c>
      <c r="C3" s="77">
        <f>参数调整!D45</f>
        <v>38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</v>
      </c>
      <c r="E3" s="77">
        <f>参数调整!I45</f>
        <v>1</v>
      </c>
      <c r="F3" s="69">
        <f>D3*G3*(参数调整!$B$6+1)</f>
        <v>26409.24</v>
      </c>
      <c r="G3" s="78">
        <f t="shared" ref="G3:G16" si="0">IF(B3-E38&lt;=0,0,B3-E38)</f>
        <v>660</v>
      </c>
      <c r="H3" s="29"/>
      <c r="J3" s="89" t="str">
        <f>第一季度!J3</f>
        <v>S</v>
      </c>
      <c r="K3" s="89">
        <f>第一季度!K3</f>
        <v>113</v>
      </c>
      <c r="L3" s="43" t="str">
        <f>LEFT(K3,1)</f>
        <v>1</v>
      </c>
      <c r="M3" s="43" t="str">
        <f>MID(K3,2,1)</f>
        <v>1</v>
      </c>
      <c r="N3" s="43" t="str">
        <f>MID(K3,3,1)</f>
        <v>3</v>
      </c>
      <c r="O3" s="43" t="str">
        <f>MID(K3,4,1)</f>
        <v/>
      </c>
      <c r="P3" s="43" t="str">
        <f>MID(K3,5,1)</f>
        <v/>
      </c>
      <c r="Q3" s="54">
        <v>6</v>
      </c>
      <c r="R3" s="54">
        <v>0</v>
      </c>
      <c r="S3" s="54">
        <v>0</v>
      </c>
      <c r="T3" s="54">
        <v>0</v>
      </c>
      <c r="U3" s="54">
        <v>0</v>
      </c>
      <c r="V3" s="54">
        <v>88</v>
      </c>
      <c r="W3" s="99">
        <f>TRUNC(S3*参数调整!$I$30)+TRUNC(T3*参数调整!$H$30)+TRUNC(U3*参数调整!$G$30)+TRUNC(V3*参数调整!$F$30)+Q3</f>
        <v>85</v>
      </c>
      <c r="X3" s="99">
        <f>IF(J3="S",Y29*SUM($R$18:$V$18)/100,IF(J3="B",Y29*SUM($R$19:$V$19)/100,IF(J3="Q",Y29*SUM($R$20:$V$20)/100,Y29*SUM($R$21:$V$21)/100)))</f>
        <v>83.0306977097035</v>
      </c>
      <c r="Y3" s="159">
        <v>7847</v>
      </c>
      <c r="Z3" s="89">
        <f>Y3+0.53653684*0.46055126*第一季度!W3+第二季度!X3*0.53653684</f>
        <v>18808.2660299181</v>
      </c>
      <c r="AA3" s="89">
        <f>IF(J3="S",Z3*参数调整!$H$11/($X$29*$J$18),IF(J3="B",Z3*参数调整!$H$12/($X$30*$J$18),IF(J3="Q",Z3*参数调整!$H$13/($X$31*$J$18),Z3*参数调整!$H$14/($X$32*$J$18))))</f>
        <v>0.760000140154234</v>
      </c>
      <c r="AB3" s="43">
        <f>SUMIF(J3:J14,"S",Z3:Z14)</f>
        <v>18808.2660299181</v>
      </c>
      <c r="AD3" s="31" t="s">
        <v>215</v>
      </c>
      <c r="AE3" s="31"/>
      <c r="AF3" s="31"/>
      <c r="AG3" s="159">
        <v>1613.44</v>
      </c>
      <c r="AI3" s="73"/>
      <c r="AJ3" s="109"/>
      <c r="AK3" s="101"/>
      <c r="AL3" s="73"/>
      <c r="AM3" s="109"/>
      <c r="AN3" s="164"/>
      <c r="AO3" s="130">
        <v>187340.4</v>
      </c>
      <c r="AP3" s="130">
        <v>175909.5</v>
      </c>
    </row>
    <row r="4" ht="14.55" spans="1:42">
      <c r="A4" s="75" t="s">
        <v>216</v>
      </c>
      <c r="B4" s="76">
        <f>SUMIF($L$3:$L$14,2,$S$3:$S$14)+SUMIF($L$3:$L$14,2,$T$3:$T$14)+SUMIF($L$3:$L$14,2,$U$3:$U$14)+SUMIF($L$3:$L$14,2,$V$3:$V$14)</f>
        <v>110</v>
      </c>
      <c r="C4" s="77">
        <f>参数调整!D46</f>
        <v>75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77">
        <f>参数调整!I46</f>
        <v>1</v>
      </c>
      <c r="F4" s="69">
        <f>D4*G4*(参数调整!$B$6+1)</f>
        <v>9652.5</v>
      </c>
      <c r="G4" s="78">
        <f t="shared" si="0"/>
        <v>110</v>
      </c>
      <c r="H4" s="29"/>
      <c r="J4" s="89" t="str">
        <f>第一季度!J4</f>
        <v>S</v>
      </c>
      <c r="K4" s="89">
        <f>第一季度!K4</f>
        <v>3333</v>
      </c>
      <c r="L4" s="43" t="str">
        <f>LEFT(K4,1)</f>
        <v>3</v>
      </c>
      <c r="M4" s="43" t="str">
        <f>MID(K4,2,1)</f>
        <v>3</v>
      </c>
      <c r="N4" s="43" t="str">
        <f>MID(K4,3,1)</f>
        <v>3</v>
      </c>
      <c r="O4" s="43" t="str">
        <f>MID(K4,4,1)</f>
        <v>3</v>
      </c>
      <c r="P4" s="43" t="str">
        <f t="shared" ref="P4:P14" si="1">MID(K4,5,1)</f>
        <v/>
      </c>
      <c r="Q4" s="54">
        <v>6</v>
      </c>
      <c r="R4" s="54">
        <v>0</v>
      </c>
      <c r="S4" s="54">
        <v>0</v>
      </c>
      <c r="T4" s="54">
        <v>0</v>
      </c>
      <c r="U4" s="54">
        <v>0</v>
      </c>
      <c r="V4" s="54">
        <v>130</v>
      </c>
      <c r="W4" s="99">
        <f>TRUNC(S4*参数调整!$I$30)+TRUNC(T4*参数调整!$H$30)+TRUNC(U4*参数调整!$G$30)+TRUNC(V4*参数调整!$F$30)+Q4</f>
        <v>123</v>
      </c>
      <c r="X4" s="99">
        <f t="shared" ref="X4:X14" si="2">IF(J4="S",Y30*SUM($R$18:$V$18)/100,IF(J4="B",Y30*SUM($R$19:$V$19)/100,IF(J4="Q",Y30*SUM($R$20:$V$20)/100,Y30*SUM($R$21:$V$21)/100)))</f>
        <v>112.833179435388</v>
      </c>
      <c r="Y4" s="159"/>
      <c r="Z4" s="89">
        <f>Y4+0.53653684*0.46055126*第一季度!W4+第二季度!X4*0.53653684</f>
        <v>0</v>
      </c>
      <c r="AA4" s="89">
        <f>IF(J4="S",Z4*参数调整!$H$11/($X$29*$J$18),IF(J4="B",Z4*参数调整!$H$12/($X$30*$J$18),IF(J4="Q",Z4*参数调整!$H$13/($X$31*$J$18),Z4*参数调整!$H$14/($X$32*$J$18))))</f>
        <v>0</v>
      </c>
      <c r="AB4" s="43">
        <f>SUMIF(J4:J15,"B",Z3:Z14)</f>
        <v>23474.6726731302</v>
      </c>
      <c r="AD4" s="31" t="s">
        <v>266</v>
      </c>
      <c r="AE4" s="31"/>
      <c r="AF4" s="31"/>
      <c r="AG4" s="54">
        <v>0</v>
      </c>
      <c r="AI4" s="110" t="s">
        <v>313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</row>
    <row r="5" ht="14.55" spans="1:42">
      <c r="A5" s="75" t="s">
        <v>154</v>
      </c>
      <c r="B5" s="79">
        <f>SUMIF($L$3:$L$14,3,$S$3:$S$14)+SUMIF($L$3:$L$14,3,$T$3:$T$14)+SUMIF($L$3:$L$14,3,$U$3:$U$14)+SUMIF($L$3:$L$14,3,$V$3:$V$14)</f>
        <v>130</v>
      </c>
      <c r="C5" s="77">
        <f>参数调整!D47</f>
        <v>106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77">
        <f>参数调整!I47</f>
        <v>1</v>
      </c>
      <c r="F5" s="69">
        <f>D5*G5*(参数调整!$B$6+1)</f>
        <v>0</v>
      </c>
      <c r="G5" s="78">
        <f t="shared" si="0"/>
        <v>0</v>
      </c>
      <c r="H5" s="38">
        <v>220</v>
      </c>
      <c r="J5" s="89" t="str">
        <f>第一季度!J5</f>
        <v>B</v>
      </c>
      <c r="K5" s="89">
        <f>第一季度!K5</f>
        <v>1111</v>
      </c>
      <c r="L5" s="43" t="str">
        <f>LEFT(K5,1)</f>
        <v>1</v>
      </c>
      <c r="M5" s="43" t="str">
        <f>MID(K5,2,1)</f>
        <v>1</v>
      </c>
      <c r="N5" s="43" t="str">
        <f>MID(K5,3,1)</f>
        <v>1</v>
      </c>
      <c r="O5" s="43" t="str">
        <f>MID(K5,4,1)</f>
        <v>1</v>
      </c>
      <c r="P5" s="43" t="str">
        <f t="shared" si="1"/>
        <v/>
      </c>
      <c r="Q5" s="54">
        <v>7</v>
      </c>
      <c r="R5" s="54">
        <v>0</v>
      </c>
      <c r="S5" s="54">
        <v>0</v>
      </c>
      <c r="T5" s="54">
        <v>0</v>
      </c>
      <c r="U5" s="54">
        <v>0</v>
      </c>
      <c r="V5" s="54">
        <v>120</v>
      </c>
      <c r="W5" s="99">
        <f>TRUNC(S5*参数调整!$I$30)+TRUNC(T5*参数调整!$H$30)+TRUNC(U5*参数调整!$G$30)+TRUNC(V5*参数调整!$F$30)+Q5</f>
        <v>115</v>
      </c>
      <c r="X5" s="99">
        <f t="shared" si="2"/>
        <v>112.762575560111</v>
      </c>
      <c r="Y5" s="159">
        <v>6040</v>
      </c>
      <c r="Z5" s="89">
        <f>Y5+0.53653684*0.46055126*第一季度!W5+第二季度!X5*0.53653684</f>
        <v>23474.6726731302</v>
      </c>
      <c r="AA5" s="89">
        <f>IF(J5="S",Z5*参数调整!$H$11/($X$29*$J$18),IF(J5="B",Z5*参数调整!$H$12/($X$30*$J$18),IF(J5="Q",Z5*参数调整!$H$13/($X$31*$J$18),Z5*参数调整!$H$14/($X$32*$J$18))))</f>
        <v>1.1000002010156</v>
      </c>
      <c r="AB5" s="43">
        <f>SUMIF(J3:J14,"Q",Z3:Z14)</f>
        <v>4139.82537754763</v>
      </c>
      <c r="AD5" s="31" t="s">
        <v>217</v>
      </c>
      <c r="AE5" s="31" t="s">
        <v>218</v>
      </c>
      <c r="AF5" s="54">
        <v>0</v>
      </c>
      <c r="AG5" s="89">
        <f>AF5*参数调整!$J$23</f>
        <v>0</v>
      </c>
      <c r="AI5" s="111"/>
      <c r="AJ5" s="70" t="s">
        <v>225</v>
      </c>
      <c r="AK5" s="70" t="s">
        <v>226</v>
      </c>
      <c r="AL5" s="31" t="s">
        <v>101</v>
      </c>
      <c r="AM5" s="43">
        <f>SUM(S3:S14)</f>
        <v>0</v>
      </c>
      <c r="AN5" s="31">
        <f>AM5*参数调整!$I$32</f>
        <v>0</v>
      </c>
      <c r="AO5" s="131">
        <f>AN2+AO36*(1-参数调整!B23)+AP36*(1-参数调整!B24)</f>
        <v>316894.74</v>
      </c>
      <c r="AP5" s="131"/>
    </row>
    <row r="6" ht="14.55" spans="1:42">
      <c r="A6" s="75" t="s">
        <v>155</v>
      </c>
      <c r="B6" s="80">
        <f>SUMIF($M$3:$M$14,1,$S$3:$S$14)+SUMIF($M$3:$M$14,1,$T$3:$T$14)+SUMIF($M$3:$M$14,1,$U$3:$U$14)+SUMIF($M$3:$M$14,1,$V$3:$V$14)</f>
        <v>468</v>
      </c>
      <c r="C6" s="77">
        <f>参数调整!D48</f>
        <v>14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13.3</v>
      </c>
      <c r="E6" s="77">
        <f>参数调整!I48</f>
        <v>0</v>
      </c>
      <c r="F6" s="69">
        <f>D6*G6*(参数调整!$B$6+1)</f>
        <v>7282.548</v>
      </c>
      <c r="G6" s="81">
        <f t="shared" si="0"/>
        <v>468</v>
      </c>
      <c r="H6" s="29"/>
      <c r="J6" s="89" t="str">
        <f>第一季度!J6</f>
        <v>B</v>
      </c>
      <c r="K6" s="89">
        <f>第一季度!K6</f>
        <v>1331</v>
      </c>
      <c r="L6" s="43" t="str">
        <f>LEFT(K6,1)</f>
        <v>1</v>
      </c>
      <c r="M6" s="43" t="str">
        <f>MID(K6,2,1)</f>
        <v>3</v>
      </c>
      <c r="N6" s="43" t="str">
        <f>MID(K6,3,1)</f>
        <v>3</v>
      </c>
      <c r="O6" s="43" t="str">
        <f>MID(K6,4,1)</f>
        <v>1</v>
      </c>
      <c r="P6" s="43" t="str">
        <f t="shared" si="1"/>
        <v/>
      </c>
      <c r="Q6" s="54">
        <v>1</v>
      </c>
      <c r="R6" s="54">
        <v>0</v>
      </c>
      <c r="S6" s="54">
        <v>0</v>
      </c>
      <c r="T6" s="54">
        <v>0</v>
      </c>
      <c r="U6" s="54">
        <v>0</v>
      </c>
      <c r="V6" s="54">
        <v>110</v>
      </c>
      <c r="W6" s="99">
        <f>TRUNC(S6*参数调整!$I$30)+TRUNC(T6*参数调整!$H$30)+TRUNC(U6*参数调整!$G$30)+TRUNC(V6*参数调整!$F$30)+Q6</f>
        <v>100</v>
      </c>
      <c r="X6" s="99">
        <f t="shared" si="2"/>
        <v>96.2200933003259</v>
      </c>
      <c r="Y6" s="159">
        <v>0</v>
      </c>
      <c r="Z6" s="89">
        <f>Y6+0.53653684*0.46055126*第一季度!W6+第二季度!X6*0.53653684</f>
        <v>0</v>
      </c>
      <c r="AA6" s="89">
        <f>IF(J6="S",Z6*参数调整!$H$11/($X$29*$J$18),IF(J6="B",Z6*参数调整!$H$12/($X$30*$J$18),IF(J6="Q",Z6*参数调整!$H$13/($X$31*$J$18),Z6*参数调整!$H$14/($X$32*$J$18))))</f>
        <v>0</v>
      </c>
      <c r="AB6" s="43">
        <v>1000</v>
      </c>
      <c r="AD6" s="31"/>
      <c r="AE6" s="31" t="s">
        <v>224</v>
      </c>
      <c r="AF6" s="54">
        <v>0</v>
      </c>
      <c r="AG6" s="89">
        <f>AF6*参数调整!$H$23</f>
        <v>0</v>
      </c>
      <c r="AI6" s="111"/>
      <c r="AJ6" s="112"/>
      <c r="AK6" s="112"/>
      <c r="AL6" s="31" t="s">
        <v>98</v>
      </c>
      <c r="AM6" s="43">
        <f>SUM(V3:V14)</f>
        <v>900</v>
      </c>
      <c r="AN6" s="31">
        <f>AM6*参数调整!$F$32</f>
        <v>9000</v>
      </c>
      <c r="AO6" s="131"/>
      <c r="AP6" s="131"/>
    </row>
    <row r="7" ht="14.55" spans="1:42">
      <c r="A7" s="75" t="s">
        <v>156</v>
      </c>
      <c r="B7" s="80">
        <f>SUMIF($M$3:$M$14,2,$S$3:$S$14)+SUMIF($M$3:$M$14,2,$T$3:$T$14)+SUMIF($M$3:$M$14,2,$U$3:$U$14)+SUMIF($M$3:$M$14,2,$V$3:$V$14)</f>
        <v>192</v>
      </c>
      <c r="C7" s="77">
        <f>参数调整!D49</f>
        <v>22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22</v>
      </c>
      <c r="E7" s="77">
        <f>参数调整!I49</f>
        <v>1</v>
      </c>
      <c r="F7" s="69">
        <f>D7*G7*(参数调整!$B$6+1)</f>
        <v>4942.08</v>
      </c>
      <c r="G7" s="81">
        <f t="shared" si="0"/>
        <v>192</v>
      </c>
      <c r="H7" s="29"/>
      <c r="J7" s="89" t="str">
        <f>第一季度!J7</f>
        <v>B</v>
      </c>
      <c r="K7" s="89">
        <f>第一季度!K7</f>
        <v>1121</v>
      </c>
      <c r="L7" s="43" t="str">
        <f t="shared" ref="L7:L14" si="3">LEFT(K7,1)</f>
        <v>1</v>
      </c>
      <c r="M7" s="43" t="str">
        <f t="shared" ref="M7:M14" si="4">MID(K7,2,1)</f>
        <v>1</v>
      </c>
      <c r="N7" s="43" t="str">
        <f t="shared" ref="N7:N14" si="5">MID(K7,3,1)</f>
        <v>2</v>
      </c>
      <c r="O7" s="43" t="str">
        <f t="shared" ref="O7:O14" si="6">MID(K7,4,1)</f>
        <v>1</v>
      </c>
      <c r="P7" s="43" t="str">
        <f t="shared" si="1"/>
        <v/>
      </c>
      <c r="Q7" s="54">
        <v>1</v>
      </c>
      <c r="R7" s="54">
        <v>0</v>
      </c>
      <c r="S7" s="54">
        <v>0</v>
      </c>
      <c r="T7" s="54">
        <v>0</v>
      </c>
      <c r="U7" s="54">
        <v>0</v>
      </c>
      <c r="V7" s="54">
        <v>55</v>
      </c>
      <c r="W7" s="99">
        <f>TRUNC(S7*参数调整!$I$30)+TRUNC(T7*参数调整!$H$30)+TRUNC(U7*参数调整!$G$30)+TRUNC(V7*参数调整!$F$30)+Q7</f>
        <v>50</v>
      </c>
      <c r="X7" s="99">
        <f t="shared" si="2"/>
        <v>49.0177833794113</v>
      </c>
      <c r="Y7" s="159"/>
      <c r="Z7" s="89">
        <f>Y7+0.53653684*0.46055126*第一季度!W7+第二季度!X7*0.53653684</f>
        <v>0</v>
      </c>
      <c r="AA7" s="89">
        <f>IF(J7="S",Z7*参数调整!$H$11/($X$29*$J$18),IF(J7="B",Z7*参数调整!$H$12/($X$30*$J$18),IF(J7="Q",Z7*参数调整!$H$13/($X$31*$J$18),Z7*参数调整!$H$14/($X$32*$J$18))))</f>
        <v>0</v>
      </c>
      <c r="AD7" s="31"/>
      <c r="AE7" s="31" t="s">
        <v>227</v>
      </c>
      <c r="AF7" s="54">
        <v>0</v>
      </c>
      <c r="AG7" s="89">
        <f>AF7*参数调整!$F$23</f>
        <v>0</v>
      </c>
      <c r="AI7" s="111"/>
      <c r="AJ7" s="112"/>
      <c r="AK7" s="112"/>
      <c r="AL7" s="31" t="s">
        <v>100</v>
      </c>
      <c r="AM7" s="43">
        <f>SUM(T3:T14)</f>
        <v>0</v>
      </c>
      <c r="AN7" s="31">
        <f>AM7*参数调整!H32</f>
        <v>0</v>
      </c>
      <c r="AO7" s="48"/>
      <c r="AP7" s="48"/>
    </row>
    <row r="8" ht="14.55" spans="1:42">
      <c r="A8" s="75" t="s">
        <v>157</v>
      </c>
      <c r="B8" s="80">
        <f>SUMIF($M$3:$M$14,3,$S$3:$S$14)+SUMIF($M$3:$M$14,3,$T$3:$T$14)+SUMIF($M$3:$M$14,3,$U$3:$U$14)+SUMIF($M$3:$M$14,3,$V$3:$V$14)</f>
        <v>240</v>
      </c>
      <c r="C8" s="77">
        <f>参数调整!D50</f>
        <v>32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30.4</v>
      </c>
      <c r="E8" s="77">
        <f>参数调整!I50</f>
        <v>1</v>
      </c>
      <c r="F8" s="69">
        <f>D8*G8*(参数调整!$B$6+1)</f>
        <v>8536.32</v>
      </c>
      <c r="G8" s="81">
        <f t="shared" si="0"/>
        <v>240</v>
      </c>
      <c r="H8" s="29"/>
      <c r="J8" s="89" t="str">
        <f>第一季度!J8</f>
        <v>Q</v>
      </c>
      <c r="K8" s="89">
        <f>第一季度!K8</f>
        <v>212</v>
      </c>
      <c r="L8" s="43" t="str">
        <f t="shared" si="3"/>
        <v>2</v>
      </c>
      <c r="M8" s="43" t="str">
        <f t="shared" si="4"/>
        <v>1</v>
      </c>
      <c r="N8" s="43" t="str">
        <f t="shared" si="5"/>
        <v>2</v>
      </c>
      <c r="O8" s="43" t="str">
        <f t="shared" si="6"/>
        <v/>
      </c>
      <c r="P8" s="43" t="str">
        <f t="shared" si="1"/>
        <v/>
      </c>
      <c r="Q8" s="54">
        <v>8</v>
      </c>
      <c r="R8" s="54">
        <v>0</v>
      </c>
      <c r="S8" s="54">
        <v>0</v>
      </c>
      <c r="T8" s="54">
        <v>0</v>
      </c>
      <c r="U8" s="54">
        <v>0</v>
      </c>
      <c r="V8" s="54">
        <v>110</v>
      </c>
      <c r="W8" s="99">
        <f>TRUNC(S8*参数调整!$I$30)+TRUNC(T8*参数调整!$H$30)+TRUNC(U8*参数调整!$G$30)+TRUNC(V8*参数调整!$F$30)+Q8</f>
        <v>107</v>
      </c>
      <c r="X8" s="99">
        <f t="shared" si="2"/>
        <v>108.716919024724</v>
      </c>
      <c r="Y8" s="159">
        <v>0</v>
      </c>
      <c r="Z8" s="89">
        <f>Y8+0.53653684*0.46055126*第一季度!W8+第二季度!X8*0.53653684</f>
        <v>4139.82537754763</v>
      </c>
      <c r="AA8" s="89">
        <f>IF(J8="S",Z8*参数调整!$H$11/($X$29*$J$18),IF(J8="B",Z8*参数调整!$H$12/($X$30*$J$18),IF(J8="Q",Z8*参数调整!$H$13/($X$31*$J$18),Z8*参数调整!$H$14/($X$32*$J$18))))</f>
        <v>0.200000042400138</v>
      </c>
      <c r="AD8" s="31" t="s">
        <v>228</v>
      </c>
      <c r="AE8" s="31" t="s">
        <v>229</v>
      </c>
      <c r="AF8" s="54">
        <v>1</v>
      </c>
      <c r="AG8" s="100">
        <v>0</v>
      </c>
      <c r="AI8" s="111"/>
      <c r="AJ8" s="112"/>
      <c r="AK8" s="113"/>
      <c r="AL8" s="31" t="s">
        <v>99</v>
      </c>
      <c r="AM8" s="43">
        <f>SUM(U3:U14)</f>
        <v>0</v>
      </c>
      <c r="AN8" s="31">
        <f>AM8*参数调整!G32</f>
        <v>0</v>
      </c>
      <c r="AO8" s="48"/>
      <c r="AP8" s="48"/>
    </row>
    <row r="9" ht="14.55" spans="1:42">
      <c r="A9" s="75" t="s">
        <v>158</v>
      </c>
      <c r="B9" s="82">
        <f>SUMIF($N$3:$N$14,1,$S$3:$S$14)+SUMIF($N$3:$N$14,1,$T$3:$T$14)+SUMIF($N$3:$N$14,1,$U$3:$U$14)+SUMIF($N$3:$N$14,1,$V$3:$V$14)</f>
        <v>312</v>
      </c>
      <c r="C9" s="77">
        <f>参数调整!D51</f>
        <v>53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50.35</v>
      </c>
      <c r="E9" s="77">
        <f>参数调整!I51</f>
        <v>0</v>
      </c>
      <c r="F9" s="69">
        <f>D9*G9*(参数调整!$B$6+1)</f>
        <v>18379.764</v>
      </c>
      <c r="G9" s="83">
        <f t="shared" si="0"/>
        <v>312</v>
      </c>
      <c r="H9" s="29"/>
      <c r="J9" s="89" t="str">
        <f>第一季度!J9</f>
        <v>Q</v>
      </c>
      <c r="K9" s="89">
        <f>第一季度!K9</f>
        <v>1121</v>
      </c>
      <c r="L9" s="43" t="str">
        <f t="shared" si="3"/>
        <v>1</v>
      </c>
      <c r="M9" s="43" t="str">
        <f t="shared" si="4"/>
        <v>1</v>
      </c>
      <c r="N9" s="43" t="str">
        <f t="shared" si="5"/>
        <v>2</v>
      </c>
      <c r="O9" s="43" t="str">
        <f t="shared" si="6"/>
        <v>1</v>
      </c>
      <c r="P9" s="43" t="str">
        <f t="shared" si="1"/>
        <v/>
      </c>
      <c r="Q9" s="54"/>
      <c r="R9" s="54">
        <v>0</v>
      </c>
      <c r="S9" s="54">
        <v>0</v>
      </c>
      <c r="T9" s="54">
        <v>0</v>
      </c>
      <c r="U9" s="54">
        <v>0</v>
      </c>
      <c r="V9" s="54">
        <v>95</v>
      </c>
      <c r="W9" s="99">
        <f>TRUNC(S9*参数调整!$I$30)+TRUNC(T9*参数调整!$H$30)+TRUNC(U9*参数调整!$G$30)+TRUNC(V9*参数调整!$F$30)+Q9</f>
        <v>85</v>
      </c>
      <c r="X9" s="99">
        <f t="shared" si="2"/>
        <v>84.9464909982207</v>
      </c>
      <c r="Y9" s="159">
        <v>0</v>
      </c>
      <c r="Z9" s="89">
        <f>Y9+0.53653684*0.46055126*第一季度!W9+第二季度!X9*0.53653684</f>
        <v>0</v>
      </c>
      <c r="AA9" s="89">
        <f>IF(J9="S",Z9*参数调整!$H$11/($X$29*$J$18),IF(J9="B",Z9*参数调整!$H$12/($X$30*$J$18),IF(J9="Q",Z9*参数调整!$H$13/($X$31*$J$18),Z9*参数调整!$H$14/($X$32*$J$18))))</f>
        <v>0</v>
      </c>
      <c r="AD9" s="31"/>
      <c r="AE9" s="31" t="s">
        <v>230</v>
      </c>
      <c r="AF9" s="54">
        <v>0</v>
      </c>
      <c r="AG9" s="101"/>
      <c r="AI9" s="111"/>
      <c r="AJ9" s="112"/>
      <c r="AK9" s="70" t="s">
        <v>232</v>
      </c>
      <c r="AL9" s="31" t="s">
        <v>77</v>
      </c>
      <c r="AM9" s="43">
        <v>1</v>
      </c>
      <c r="AN9" s="31">
        <f>AM9*参数调整!$J$24</f>
        <v>5000</v>
      </c>
      <c r="AO9" s="48"/>
      <c r="AP9" s="48"/>
    </row>
    <row r="10" ht="18.15" spans="1:42">
      <c r="A10" s="75" t="s">
        <v>159</v>
      </c>
      <c r="B10" s="82">
        <f>SUMIF($N$3:$N$14,2,$S$3:$S$14)+SUMIF($N$3:$N$14,2,$T$3:$T$14)+SUMIF($N$3:$N$14,2,$U$3:$U$14)+SUMIF($N$3:$N$14,2,$V$3:$V$14)</f>
        <v>260</v>
      </c>
      <c r="C10" s="77">
        <f>参数调整!D52</f>
        <v>73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69.35</v>
      </c>
      <c r="E10" s="77">
        <f>参数调整!I52</f>
        <v>1</v>
      </c>
      <c r="F10" s="69">
        <f>D10*G10*(参数调整!$B$6+1)</f>
        <v>21096.27</v>
      </c>
      <c r="G10" s="83">
        <f t="shared" si="0"/>
        <v>260</v>
      </c>
      <c r="H10" s="29"/>
      <c r="J10" s="89" t="str">
        <f>第一季度!J10</f>
        <v>L</v>
      </c>
      <c r="K10" s="89">
        <f>第一季度!K10</f>
        <v>121</v>
      </c>
      <c r="L10" s="43" t="str">
        <f t="shared" si="3"/>
        <v>1</v>
      </c>
      <c r="M10" s="43" t="str">
        <f t="shared" si="4"/>
        <v>2</v>
      </c>
      <c r="N10" s="43" t="str">
        <f t="shared" si="5"/>
        <v>1</v>
      </c>
      <c r="O10" s="43" t="str">
        <f t="shared" si="6"/>
        <v/>
      </c>
      <c r="P10" s="43" t="str">
        <f t="shared" si="1"/>
        <v/>
      </c>
      <c r="Q10" s="54">
        <v>98</v>
      </c>
      <c r="R10" s="54">
        <v>0</v>
      </c>
      <c r="S10" s="54">
        <v>0</v>
      </c>
      <c r="T10" s="54">
        <v>0</v>
      </c>
      <c r="U10" s="54">
        <v>0</v>
      </c>
      <c r="V10" s="54">
        <v>192</v>
      </c>
      <c r="W10" s="99">
        <f>TRUNC(S10*参数调整!$I$30)+TRUNC(T10*参数调整!$H$30)+TRUNC(U10*参数调整!$G$30)+TRUNC(V10*参数调整!$F$30)+Q10</f>
        <v>270</v>
      </c>
      <c r="X10" s="99">
        <f>IF(J10="S",Y36*SUM($R$18:$V$18)/100,IF(J10="B",Y36*SUM($R$19:$V$19)/100,IF(J10="Q",Y36*SUM($R$20:$V$20)/100,Y36*SUM($R$21:$V$21)/100)))</f>
        <v>127.038737338313</v>
      </c>
      <c r="Y10" s="159">
        <v>0</v>
      </c>
      <c r="Z10" s="89">
        <f>Y10+0.53653684*0.46055126*第一季度!W10+第二季度!X10*0.53653684</f>
        <v>0</v>
      </c>
      <c r="AA10" s="89">
        <f>IF(J10="S",Z10*参数调整!$H$11/($X$29*$J$18),IF(J10="B",Z10*参数调整!$H$12/($X$30*$J$18),IF(J10="Q",Z10*参数调整!$H$13/($X$31*$J$18),Z10*参数调整!$H$14/($X$32*$J$18))))</f>
        <v>0</v>
      </c>
      <c r="AB10" s="137" t="s">
        <v>233</v>
      </c>
      <c r="AD10" s="31"/>
      <c r="AE10" s="31" t="s">
        <v>231</v>
      </c>
      <c r="AF10" s="54">
        <v>0</v>
      </c>
      <c r="AG10" s="102"/>
      <c r="AI10" s="111"/>
      <c r="AJ10" s="112"/>
      <c r="AK10" s="112"/>
      <c r="AL10" s="31" t="s">
        <v>76</v>
      </c>
      <c r="AM10" s="43">
        <f>AF9</f>
        <v>0</v>
      </c>
      <c r="AN10" s="31">
        <f>AM10*参数调整!$H$24</f>
        <v>0</v>
      </c>
      <c r="AO10" s="48"/>
      <c r="AP10" s="165"/>
    </row>
    <row r="11" ht="18.15" spans="1:42">
      <c r="A11" s="75" t="s">
        <v>160</v>
      </c>
      <c r="B11" s="82">
        <f>SUMIF($N$3:$N$14,3,$S$3:$S$14)+SUMIF($N$3:$N$14,3,$T$3:$T$14)+SUMIF($N$3:$N$14,3,$U$3:$U$14)+SUMIF($N$3:$N$14,3,$V$3:$V$14)</f>
        <v>328</v>
      </c>
      <c r="C11" s="77">
        <f>参数调整!D53</f>
        <v>115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109.25</v>
      </c>
      <c r="E11" s="77">
        <f>参数调整!I53</f>
        <v>0</v>
      </c>
      <c r="F11" s="69">
        <f>D11*G11*(参数调整!$B$6+1)</f>
        <v>41925.78</v>
      </c>
      <c r="G11" s="83">
        <f t="shared" si="0"/>
        <v>328</v>
      </c>
      <c r="H11" s="29"/>
      <c r="J11" s="89">
        <f>第一季度!J11</f>
        <v>0</v>
      </c>
      <c r="K11" s="89">
        <f>第一季度!K11</f>
        <v>212</v>
      </c>
      <c r="L11" s="43" t="str">
        <f t="shared" si="3"/>
        <v>2</v>
      </c>
      <c r="M11" s="43" t="str">
        <f t="shared" si="4"/>
        <v>1</v>
      </c>
      <c r="N11" s="43" t="str">
        <f t="shared" si="5"/>
        <v>2</v>
      </c>
      <c r="O11" s="43" t="str">
        <f t="shared" si="6"/>
        <v/>
      </c>
      <c r="P11" s="43" t="str">
        <f t="shared" si="1"/>
        <v/>
      </c>
      <c r="Q11" s="54"/>
      <c r="R11" s="54"/>
      <c r="S11" s="54">
        <v>0</v>
      </c>
      <c r="T11" s="54">
        <v>0</v>
      </c>
      <c r="U11" s="54">
        <v>0</v>
      </c>
      <c r="V11" s="157"/>
      <c r="W11" s="99">
        <f>TRUNC(S11*参数调整!$I$30)+TRUNC(T11*参数调整!$H$30)+TRUNC(U11*参数调整!$G$30)+TRUNC(V11*参数调整!$F$30)+Q11</f>
        <v>0</v>
      </c>
      <c r="X11" s="99">
        <f t="shared" si="2"/>
        <v>-6.02980769230769</v>
      </c>
      <c r="Y11" s="159">
        <v>0</v>
      </c>
      <c r="Z11" s="89">
        <f>Y11+0.53653684*0.46055126*第一季度!W11+第二季度!X11*0.53653684</f>
        <v>0</v>
      </c>
      <c r="AA11" s="89">
        <f>IF(J11="S",Z11*参数调整!$H$11/($X$29*$J$18),IF(J11="B",Z11*参数调整!$H$12/($X$30*$J$18),IF(J11="Q",Z11*参数调整!$H$13/($X$31*$J$18),Z11*参数调整!$H$14/($X$32*$J$18))))</f>
        <v>0</v>
      </c>
      <c r="AB11" s="138">
        <f>AG31</f>
        <v>0.237999999983003</v>
      </c>
      <c r="AD11" s="31" t="s">
        <v>234</v>
      </c>
      <c r="AE11" s="31" t="s">
        <v>101</v>
      </c>
      <c r="AF11" s="54">
        <v>0</v>
      </c>
      <c r="AG11" s="89">
        <f>AF11*参数调整!$I$29</f>
        <v>0</v>
      </c>
      <c r="AI11" s="111"/>
      <c r="AJ11" s="112"/>
      <c r="AK11" s="113"/>
      <c r="AL11" s="31" t="s">
        <v>75</v>
      </c>
      <c r="AM11" s="43">
        <v>0</v>
      </c>
      <c r="AN11" s="31">
        <f>AM11*参数调整!$F$24</f>
        <v>0</v>
      </c>
      <c r="AO11" s="48"/>
      <c r="AP11" s="48"/>
    </row>
    <row r="12" spans="1:42">
      <c r="A12" s="75" t="s">
        <v>161</v>
      </c>
      <c r="B12" s="82">
        <f>SUMIF($N$3:$N$14,4,$S$3:$S$14)+SUMIF($N$3:$N$14,4,$T$3:$T$14)+SUMIF($N$3:$N$14,4,$U$3:$U$14)+SUMIF($N$3:$N$14,4,$V$3:$V$14)</f>
        <v>0</v>
      </c>
      <c r="C12" s="77">
        <f>参数调整!D54</f>
        <v>150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77">
        <f>参数调整!I54</f>
        <v>1</v>
      </c>
      <c r="F12" s="69">
        <f>D12*G12*(参数调整!$B$6+1)</f>
        <v>0</v>
      </c>
      <c r="G12" s="83">
        <f t="shared" si="0"/>
        <v>0</v>
      </c>
      <c r="H12" s="29"/>
      <c r="J12" s="89">
        <f>第一季度!J12</f>
        <v>0</v>
      </c>
      <c r="K12" s="89">
        <f>第一季度!K12</f>
        <v>1121</v>
      </c>
      <c r="L12" s="43" t="str">
        <f t="shared" si="3"/>
        <v>1</v>
      </c>
      <c r="M12" s="43" t="str">
        <f t="shared" si="4"/>
        <v>1</v>
      </c>
      <c r="N12" s="43" t="str">
        <f t="shared" si="5"/>
        <v>2</v>
      </c>
      <c r="O12" s="43" t="str">
        <f t="shared" si="6"/>
        <v>1</v>
      </c>
      <c r="P12" s="43" t="str">
        <f t="shared" si="1"/>
        <v/>
      </c>
      <c r="Q12" s="54"/>
      <c r="R12" s="54"/>
      <c r="S12" s="54">
        <v>0</v>
      </c>
      <c r="T12" s="54">
        <v>0</v>
      </c>
      <c r="U12" s="54">
        <v>0</v>
      </c>
      <c r="V12" s="54"/>
      <c r="W12" s="99">
        <f>TRUNC(S12*参数调整!$I$30)+TRUNC(T12*参数调整!$H$30)+TRUNC(U12*参数调整!$G$30)+TRUNC(V12*参数调整!$F$30)+Q12</f>
        <v>0</v>
      </c>
      <c r="X12" s="99">
        <f t="shared" si="2"/>
        <v>-6.02980769230769</v>
      </c>
      <c r="Y12" s="159">
        <v>0</v>
      </c>
      <c r="Z12" s="89">
        <f>Y12+0.53653684*0.46055126*第一季度!W12+第二季度!X12*0.53653684</f>
        <v>0</v>
      </c>
      <c r="AA12" s="89">
        <f>IF(J12="S",Z12*参数调整!$H$11/($X$29*$J$18),IF(J12="B",Z12*参数调整!$H$12/($X$30*$J$18),IF(J12="Q",Z12*参数调整!$H$13/($X$31*$J$18),Z12*参数调整!$H$14/($X$32*$J$18))))</f>
        <v>0</v>
      </c>
      <c r="AD12" s="31"/>
      <c r="AE12" s="31" t="s">
        <v>100</v>
      </c>
      <c r="AF12" s="54">
        <v>0</v>
      </c>
      <c r="AG12" s="89">
        <f>AF12*参数调整!$H$29</f>
        <v>0</v>
      </c>
      <c r="AI12" s="111"/>
      <c r="AJ12" s="112"/>
      <c r="AK12" s="114" t="s">
        <v>236</v>
      </c>
      <c r="AL12" s="115"/>
      <c r="AM12" s="43">
        <f>AM18</f>
        <v>10</v>
      </c>
      <c r="AN12" s="31">
        <f>AM12*参数调整!$J$18*(1+参数调整!$B$12+参数调整!$B$13+参数调整!$B$14+参数调整!$B$15+参数调整!$B$16)</f>
        <v>48456</v>
      </c>
      <c r="AO12" s="48"/>
      <c r="AP12" s="48"/>
    </row>
    <row r="13" ht="14.55" spans="1:42">
      <c r="A13" s="75" t="s">
        <v>162</v>
      </c>
      <c r="B13" s="84">
        <f>SUMIF($O$3:$O$14,1,$S$3:$S$14)+SUMIF($O$3:$O$14,1,$T$3:$T$14)+SUMIF($O$3:$O$14,1,$U$3:$U$14)+SUMIF($O$3:$O$14,1,$V$3:$V$14)+SUMIF($P$3:$P$14,1,$S$3:$S$14)+SUMIF($P$3:$P$14,1,$T$3:$T$14)+SUMIF($P$3:$P$14,1,$U$3:$U$14)+SUMIF($P$3:$P$14,1,$V$3:$V$14)</f>
        <v>380</v>
      </c>
      <c r="C13" s="77">
        <f>参数调整!D55</f>
        <v>46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77">
        <f>参数调整!I55</f>
        <v>1</v>
      </c>
      <c r="F13" s="69">
        <f>D13*G13*(参数调整!$B$6+1)</f>
        <v>0</v>
      </c>
      <c r="G13" s="85">
        <f t="shared" si="0"/>
        <v>0</v>
      </c>
      <c r="H13" s="38">
        <v>501</v>
      </c>
      <c r="J13" s="89">
        <f>第一季度!J13</f>
        <v>0</v>
      </c>
      <c r="K13" s="89">
        <f>第一季度!K13</f>
        <v>121</v>
      </c>
      <c r="L13" s="43" t="str">
        <f t="shared" si="3"/>
        <v>1</v>
      </c>
      <c r="M13" s="43" t="str">
        <f t="shared" si="4"/>
        <v>2</v>
      </c>
      <c r="N13" s="43" t="str">
        <f t="shared" si="5"/>
        <v>1</v>
      </c>
      <c r="O13" s="43" t="str">
        <f t="shared" si="6"/>
        <v/>
      </c>
      <c r="P13" s="43" t="str">
        <f t="shared" si="1"/>
        <v/>
      </c>
      <c r="Q13" s="54"/>
      <c r="R13" s="54"/>
      <c r="S13" s="54"/>
      <c r="T13" s="54">
        <v>0</v>
      </c>
      <c r="U13" s="54">
        <v>0</v>
      </c>
      <c r="V13" s="54"/>
      <c r="W13" s="99">
        <f>TRUNC(S13*参数调整!$I$30)+TRUNC(T13*参数调整!$H$30)+TRUNC(U13*参数调整!$G$30)+TRUNC(V13*参数调整!$F$30)+Q13</f>
        <v>0</v>
      </c>
      <c r="X13" s="99">
        <f t="shared" si="2"/>
        <v>-6.02980769230769</v>
      </c>
      <c r="Y13" s="159"/>
      <c r="Z13" s="89">
        <f>Y13+0.53653684*0.46055126*第一季度!W13+第二季度!X13*0.53653684</f>
        <v>0</v>
      </c>
      <c r="AA13" s="89">
        <f>IF(J13="S",Z13*参数调整!$H$11/($X$29*$J$18),IF(J13="B",Z13*参数调整!$H$12/($X$30*$J$18),IF(J13="Q",Z13*参数调整!$H$13/($X$31*$J$18),Z13*参数调整!$H$14/($X$32*$J$18))))</f>
        <v>0</v>
      </c>
      <c r="AD13" s="31"/>
      <c r="AE13" s="31" t="s">
        <v>235</v>
      </c>
      <c r="AF13" s="54">
        <v>0</v>
      </c>
      <c r="AG13" s="89">
        <f>AF13*参数调整!$G$29</f>
        <v>0</v>
      </c>
      <c r="AI13" s="111"/>
      <c r="AJ13" s="112"/>
      <c r="AK13" s="70" t="s">
        <v>237</v>
      </c>
      <c r="AL13" s="31" t="s">
        <v>101</v>
      </c>
      <c r="AM13" s="54">
        <v>0</v>
      </c>
      <c r="AN13" s="56">
        <f>AM13*参数调整!$I$33</f>
        <v>0</v>
      </c>
      <c r="AO13" s="48"/>
      <c r="AP13" s="48"/>
    </row>
    <row r="14" spans="1:42">
      <c r="A14" s="75" t="s">
        <v>163</v>
      </c>
      <c r="B14" s="84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77">
        <f>参数调整!D56</f>
        <v>50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77">
        <f>参数调整!I56</f>
        <v>1</v>
      </c>
      <c r="F14" s="69">
        <f>D14*G14*(参数调整!$B$6+1)</f>
        <v>0</v>
      </c>
      <c r="G14" s="85">
        <f t="shared" si="0"/>
        <v>0</v>
      </c>
      <c r="H14" s="38"/>
      <c r="J14" s="89">
        <f>第一季度!J14</f>
        <v>0</v>
      </c>
      <c r="K14" s="89">
        <f>第一季度!K14</f>
        <v>122</v>
      </c>
      <c r="L14" s="43" t="str">
        <f t="shared" si="3"/>
        <v>1</v>
      </c>
      <c r="M14" s="43" t="str">
        <f t="shared" si="4"/>
        <v>2</v>
      </c>
      <c r="N14" s="43" t="str">
        <f t="shared" si="5"/>
        <v>2</v>
      </c>
      <c r="O14" s="43" t="str">
        <f t="shared" si="6"/>
        <v/>
      </c>
      <c r="P14" s="43" t="str">
        <f t="shared" si="1"/>
        <v/>
      </c>
      <c r="Q14" s="54"/>
      <c r="R14" s="54"/>
      <c r="S14" s="54"/>
      <c r="T14" s="54">
        <v>0</v>
      </c>
      <c r="U14" s="54">
        <v>0</v>
      </c>
      <c r="V14" s="54"/>
      <c r="W14" s="99">
        <f>TRUNC(S14*参数调整!$I$30)+TRUNC(T14*参数调整!$H$30)+TRUNC(U14*参数调整!$G$30)+TRUNC(V14*参数调整!$F$30)+Q14</f>
        <v>0</v>
      </c>
      <c r="X14" s="99">
        <f t="shared" si="2"/>
        <v>-6.02980769230769</v>
      </c>
      <c r="Y14" s="159">
        <v>0</v>
      </c>
      <c r="Z14" s="89">
        <f>Y14+0.53653684*0.46055126*第一季度!W14+第二季度!X14*0.53653684</f>
        <v>0</v>
      </c>
      <c r="AA14" s="89">
        <f>IF(J14="S",Z14*参数调整!$H$11/($X$29*$J$18),IF(J14="B",Z14*参数调整!$H$12/($X$30*$J$18),IF(J14="Q",Z14*参数调整!$H$13/($X$31*$J$18),Z14*参数调整!$H$14/($X$32*$J$18))))</f>
        <v>0</v>
      </c>
      <c r="AD14" s="31"/>
      <c r="AE14" s="31" t="s">
        <v>98</v>
      </c>
      <c r="AF14" s="54">
        <v>0</v>
      </c>
      <c r="AG14" s="89">
        <f>AF14*参数调整!$F$29</f>
        <v>0</v>
      </c>
      <c r="AI14" s="111"/>
      <c r="AJ14" s="112"/>
      <c r="AK14" s="112"/>
      <c r="AL14" s="31" t="s">
        <v>98</v>
      </c>
      <c r="AM14" s="54">
        <v>2</v>
      </c>
      <c r="AN14" s="31">
        <f>AM14*参数调整!$F$33</f>
        <v>6000</v>
      </c>
      <c r="AO14" s="48"/>
      <c r="AP14" s="165"/>
    </row>
    <row r="15" ht="14.55" spans="1:42">
      <c r="A15" s="75" t="s">
        <v>164</v>
      </c>
      <c r="B15" s="84">
        <f>SUMIF($O$3:$O$14,3,$S$3:$S$14)+SUMIF($O$3:$O$14,3,$T$3:$T$14)+SUMIF($O$3:$O$14,3,$U$3:$U$14)+SUMIF($O$3:$O$14,3,$V$3:$V$14)+SUMIF($P$3:$P$14,3,$S$3:$S$14)+SUMIF($P$3:$P$14,3,$T$3:$T$14)+SUMIF($P$3:$P$14,3,$U$3:$U$14)+SUMIF($P$3:$P$14,3,$V$3:$V$14)</f>
        <v>130</v>
      </c>
      <c r="C15" s="77">
        <f>参数调整!D57</f>
        <v>78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77">
        <f>参数调整!I57</f>
        <v>1</v>
      </c>
      <c r="F15" s="69">
        <f>D15*G15*(参数调整!$B$6+1)</f>
        <v>0</v>
      </c>
      <c r="G15" s="85">
        <f t="shared" si="0"/>
        <v>0</v>
      </c>
      <c r="H15" s="38">
        <v>220</v>
      </c>
      <c r="S15" s="89">
        <f>SUM(S3:S14)</f>
        <v>0</v>
      </c>
      <c r="T15" s="89">
        <f t="shared" ref="T15:V15" si="7">SUM(T3:T14)</f>
        <v>0</v>
      </c>
      <c r="U15" s="89">
        <f t="shared" si="7"/>
        <v>0</v>
      </c>
      <c r="V15" s="89">
        <f t="shared" si="7"/>
        <v>900</v>
      </c>
      <c r="AD15" s="31" t="s">
        <v>238</v>
      </c>
      <c r="AE15" s="31"/>
      <c r="AF15" s="54">
        <v>0</v>
      </c>
      <c r="AG15" s="89">
        <f>AF15*参数调整!$B$31</f>
        <v>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spans="1:42">
      <c r="A16" s="75" t="s">
        <v>165</v>
      </c>
      <c r="B16" s="84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77">
        <f>参数调整!D58</f>
        <v>83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77">
        <f>参数调整!I58</f>
        <v>1</v>
      </c>
      <c r="F16" s="69">
        <f>D16*G16*(参数调整!$B$6+1)</f>
        <v>0</v>
      </c>
      <c r="G16" s="85">
        <f t="shared" si="0"/>
        <v>0</v>
      </c>
      <c r="H16" s="38"/>
      <c r="AC16" s="160" t="s">
        <v>248</v>
      </c>
      <c r="AD16" s="31" t="s">
        <v>239</v>
      </c>
      <c r="AE16" s="31"/>
      <c r="AF16" s="54">
        <v>0</v>
      </c>
      <c r="AG16" s="89">
        <f>AF16*参数调整!$B$32</f>
        <v>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165"/>
    </row>
    <row r="17" customHeight="1" spans="10:42">
      <c r="J17" s="77" t="s">
        <v>241</v>
      </c>
      <c r="K17" s="77"/>
      <c r="P17" s="69">
        <f>SUM(第三季度!R18:V18)-(SUM(第四季度!R18:V18)-SUM(第四季度!R22:V22))</f>
        <v>4167</v>
      </c>
      <c r="Q17" s="89" t="s">
        <v>244</v>
      </c>
      <c r="R17" s="89" t="s">
        <v>245</v>
      </c>
      <c r="S17" s="89" t="s">
        <v>284</v>
      </c>
      <c r="T17" s="89" t="s">
        <v>285</v>
      </c>
      <c r="U17" s="89" t="s">
        <v>314</v>
      </c>
      <c r="V17" s="89" t="s">
        <v>315</v>
      </c>
      <c r="X17" s="158"/>
      <c r="AB17" s="89" t="str">
        <f>J3</f>
        <v>S</v>
      </c>
      <c r="AC17" s="161">
        <v>43</v>
      </c>
      <c r="AD17" s="31" t="s">
        <v>240</v>
      </c>
      <c r="AE17" s="31" t="s">
        <v>10</v>
      </c>
      <c r="AF17" s="54">
        <v>0</v>
      </c>
      <c r="AG17" s="89">
        <f>AF17*参数调整!$F$3</f>
        <v>0</v>
      </c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86" t="s">
        <v>243</v>
      </c>
      <c r="B18" s="87"/>
      <c r="G18" s="88">
        <f>SUMIF(E3:E16,0,F3:F16)</f>
        <v>67588.092</v>
      </c>
      <c r="J18" s="94">
        <v>26</v>
      </c>
      <c r="K18" s="95"/>
      <c r="P18" s="69">
        <f>SUM(第三季度!R19:V19)-(SUM(第四季度!R19:V19)-SUM(第四季度!R23:V23))</f>
        <v>4897</v>
      </c>
      <c r="Q18" s="89" t="s">
        <v>175</v>
      </c>
      <c r="R18" s="54">
        <v>866</v>
      </c>
      <c r="S18" s="54">
        <v>745</v>
      </c>
      <c r="T18" s="54">
        <v>787</v>
      </c>
      <c r="U18" s="54">
        <v>812</v>
      </c>
      <c r="V18" s="54">
        <v>957</v>
      </c>
      <c r="AB18" s="89" t="str">
        <f t="shared" ref="AB18:AB28" si="8">J4</f>
        <v>S</v>
      </c>
      <c r="AC18" s="161">
        <v>93</v>
      </c>
      <c r="AD18" s="31"/>
      <c r="AE18" s="31" t="s">
        <v>13</v>
      </c>
      <c r="AF18" s="54">
        <v>0</v>
      </c>
      <c r="AG18" s="89">
        <f>AF18*参数调整!$F$4</f>
        <v>0</v>
      </c>
      <c r="AI18" s="111"/>
      <c r="AJ18" s="107" t="s">
        <v>249</v>
      </c>
      <c r="AK18" s="108"/>
      <c r="AL18" s="31" t="s">
        <v>67</v>
      </c>
      <c r="AM18" s="43">
        <f>AF25+第一季度!AF24+第二季度!AF25</f>
        <v>10</v>
      </c>
      <c r="AN18" s="116">
        <f>AM18*参数调整!$B$10</f>
        <v>10000</v>
      </c>
      <c r="AO18" s="48"/>
      <c r="AP18" s="48"/>
    </row>
    <row r="19" customHeight="1" spans="10:42">
      <c r="J19" s="94"/>
      <c r="K19" s="95"/>
      <c r="P19" s="69">
        <f>SUM(第三季度!R20:V20)-(SUM(第四季度!R20:V20)-SUM(第四季度!R24:V24))</f>
        <v>5726</v>
      </c>
      <c r="Q19" s="89" t="s">
        <v>176</v>
      </c>
      <c r="R19" s="54">
        <v>900</v>
      </c>
      <c r="S19" s="54">
        <v>889</v>
      </c>
      <c r="T19" s="54">
        <v>1136</v>
      </c>
      <c r="U19" s="54">
        <v>957</v>
      </c>
      <c r="V19" s="54">
        <v>1015</v>
      </c>
      <c r="AB19" s="89" t="str">
        <f t="shared" si="8"/>
        <v>B</v>
      </c>
      <c r="AC19" s="161">
        <v>56</v>
      </c>
      <c r="AD19" s="31"/>
      <c r="AE19" s="31" t="s">
        <v>16</v>
      </c>
      <c r="AF19" s="54">
        <v>0</v>
      </c>
      <c r="AG19" s="89">
        <f>AF19*参数调整!$F$5</f>
        <v>0</v>
      </c>
      <c r="AI19" s="111"/>
      <c r="AJ19" s="73"/>
      <c r="AK19" s="109"/>
      <c r="AL19" s="31" t="s">
        <v>250</v>
      </c>
      <c r="AM19" s="43">
        <f>AF26+第一季度!AF25+第二季度!AF26</f>
        <v>5</v>
      </c>
      <c r="AN19" s="31">
        <f>AM19*参数调整!$B$10</f>
        <v>5000</v>
      </c>
      <c r="AO19" s="48"/>
      <c r="AP19" s="48"/>
    </row>
    <row r="20" customHeight="1" spans="10:42">
      <c r="J20" s="94"/>
      <c r="K20" s="95"/>
      <c r="P20" s="69">
        <f>SUM(第三季度!R21:V21)-(SUM(第四季度!R21:V21)-SUM(第四季度!R25:V25))</f>
        <v>6271</v>
      </c>
      <c r="Q20" s="89" t="s">
        <v>177</v>
      </c>
      <c r="R20" s="54">
        <v>1058</v>
      </c>
      <c r="S20" s="54">
        <v>1015</v>
      </c>
      <c r="T20" s="54">
        <v>1043</v>
      </c>
      <c r="U20" s="54">
        <v>1450</v>
      </c>
      <c r="V20" s="54">
        <v>1160</v>
      </c>
      <c r="AB20" s="89" t="str">
        <f t="shared" si="8"/>
        <v>B</v>
      </c>
      <c r="AC20" s="161">
        <v>87</v>
      </c>
      <c r="AD20" s="31"/>
      <c r="AE20" s="31" t="s">
        <v>19</v>
      </c>
      <c r="AF20" s="54">
        <v>0</v>
      </c>
      <c r="AG20" s="89">
        <f>AF20*参数调整!$F$6</f>
        <v>0</v>
      </c>
      <c r="AI20" s="111"/>
      <c r="AJ20" s="107" t="s">
        <v>252</v>
      </c>
      <c r="AK20" s="108"/>
      <c r="AL20" s="31" t="s">
        <v>101</v>
      </c>
      <c r="AM20" s="54">
        <v>0</v>
      </c>
      <c r="AN20" s="31">
        <f>AM20*参数调整!$I$29</f>
        <v>0</v>
      </c>
      <c r="AO20" s="48"/>
      <c r="AP20" s="48"/>
    </row>
    <row r="21" customHeight="1" spans="10:42">
      <c r="J21" s="77" t="s">
        <v>253</v>
      </c>
      <c r="K21" s="96"/>
      <c r="P21" s="69"/>
      <c r="Q21" s="89" t="s">
        <v>178</v>
      </c>
      <c r="R21" s="54">
        <v>1168</v>
      </c>
      <c r="S21" s="54">
        <v>1305</v>
      </c>
      <c r="T21" s="54">
        <v>1188</v>
      </c>
      <c r="U21" s="54">
        <v>1305</v>
      </c>
      <c r="V21" s="54">
        <v>1305</v>
      </c>
      <c r="AB21" s="89" t="str">
        <f t="shared" si="8"/>
        <v>B</v>
      </c>
      <c r="AC21" s="161">
        <v>45</v>
      </c>
      <c r="AD21" s="31"/>
      <c r="AE21" s="31" t="s">
        <v>22</v>
      </c>
      <c r="AF21" s="54">
        <v>0</v>
      </c>
      <c r="AG21" s="89">
        <f>AF21*参数调整!$F$7</f>
        <v>0</v>
      </c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customHeight="1" spans="10:42">
      <c r="J22" s="94">
        <v>29</v>
      </c>
      <c r="K22" s="94"/>
      <c r="Q22" s="100" t="s">
        <v>316</v>
      </c>
      <c r="R22" s="132">
        <f>J22*28</f>
        <v>812</v>
      </c>
      <c r="S22" s="132">
        <f>J22*25</f>
        <v>725</v>
      </c>
      <c r="T22" s="132">
        <f>J22*25</f>
        <v>725</v>
      </c>
      <c r="U22" s="132">
        <f>J22*28</f>
        <v>812</v>
      </c>
      <c r="V22" s="132">
        <f>J22*33</f>
        <v>957</v>
      </c>
      <c r="AB22" s="89" t="str">
        <f t="shared" si="8"/>
        <v>Q</v>
      </c>
      <c r="AC22" s="161">
        <v>105</v>
      </c>
      <c r="AD22" s="31"/>
      <c r="AE22" s="31" t="s">
        <v>25</v>
      </c>
      <c r="AF22" s="54">
        <v>1</v>
      </c>
      <c r="AG22" s="89">
        <f>AF22*参数调整!$F$8</f>
        <v>20000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customHeight="1" spans="10:42">
      <c r="J23" s="94"/>
      <c r="K23" s="94"/>
      <c r="Q23" s="101"/>
      <c r="R23" s="132">
        <f>J22*30</f>
        <v>870</v>
      </c>
      <c r="S23" s="132">
        <f>J22*30</f>
        <v>870</v>
      </c>
      <c r="T23" s="132">
        <f>J22*38</f>
        <v>1102</v>
      </c>
      <c r="U23" s="132">
        <f>J22*33</f>
        <v>957</v>
      </c>
      <c r="V23" s="132">
        <f>J22*35</f>
        <v>1015</v>
      </c>
      <c r="AB23" s="89" t="str">
        <f t="shared" si="8"/>
        <v>Q</v>
      </c>
      <c r="AC23" s="161">
        <v>75</v>
      </c>
      <c r="AD23" s="104" t="s">
        <v>254</v>
      </c>
      <c r="AE23" s="52"/>
      <c r="AF23" s="54">
        <v>1</v>
      </c>
      <c r="AG23" s="89">
        <f>AF23*参数调整!$C$40</f>
        <v>30000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spans="10:42">
      <c r="J24" s="94"/>
      <c r="K24" s="94"/>
      <c r="Q24" s="101"/>
      <c r="R24" s="132">
        <f>J22*35</f>
        <v>1015</v>
      </c>
      <c r="S24" s="132">
        <f>J22*35</f>
        <v>1015</v>
      </c>
      <c r="T24" s="132">
        <f>J22*35</f>
        <v>1015</v>
      </c>
      <c r="U24" s="132">
        <f>J22*50</f>
        <v>1450</v>
      </c>
      <c r="V24" s="132">
        <f>J22*40</f>
        <v>1160</v>
      </c>
      <c r="AB24" s="89" t="str">
        <f t="shared" si="8"/>
        <v>L</v>
      </c>
      <c r="AC24" s="161">
        <v>140</v>
      </c>
      <c r="AD24" s="104" t="s">
        <v>256</v>
      </c>
      <c r="AE24" s="52"/>
      <c r="AF24" s="54">
        <v>0</v>
      </c>
      <c r="AG24" s="89">
        <f>AF24*参数调整!$C$41</f>
        <v>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spans="3:42">
      <c r="C25">
        <f>266-35</f>
        <v>231</v>
      </c>
      <c r="Q25" s="102"/>
      <c r="R25" s="132">
        <f>J22*40</f>
        <v>1160</v>
      </c>
      <c r="S25" s="132">
        <f>J22*45</f>
        <v>1305</v>
      </c>
      <c r="T25" s="132">
        <f>J22*40</f>
        <v>1160</v>
      </c>
      <c r="U25" s="132">
        <f>J22*45</f>
        <v>1305</v>
      </c>
      <c r="V25" s="132">
        <f>J22*45</f>
        <v>1305</v>
      </c>
      <c r="AB25" s="89">
        <f t="shared" si="8"/>
        <v>0</v>
      </c>
      <c r="AC25" s="161"/>
      <c r="AD25" s="31" t="s">
        <v>257</v>
      </c>
      <c r="AE25" s="31"/>
      <c r="AF25" s="54">
        <v>3</v>
      </c>
      <c r="AG25" s="89">
        <f>AF25*参数调整!$F$18</f>
        <v>900</v>
      </c>
      <c r="AI25" s="111"/>
      <c r="AJ25" s="72"/>
      <c r="AK25" s="117"/>
      <c r="AL25" s="31" t="s">
        <v>76</v>
      </c>
      <c r="AM25" s="54">
        <v>0</v>
      </c>
      <c r="AN25" s="31">
        <f>AM25*参数调整!$H$23</f>
        <v>0</v>
      </c>
      <c r="AO25" s="48"/>
      <c r="AP25" s="48"/>
    </row>
    <row r="26" spans="28:42">
      <c r="AB26" s="89">
        <f t="shared" si="8"/>
        <v>0</v>
      </c>
      <c r="AC26" s="161"/>
      <c r="AD26" s="31" t="s">
        <v>259</v>
      </c>
      <c r="AE26" s="31"/>
      <c r="AF26" s="54">
        <v>2</v>
      </c>
      <c r="AG26" s="89">
        <f>AF26*参数调整!$F$17</f>
        <v>1000</v>
      </c>
      <c r="AI26" s="111"/>
      <c r="AJ26" s="73"/>
      <c r="AK26" s="109"/>
      <c r="AL26" s="31" t="s">
        <v>77</v>
      </c>
      <c r="AM26" s="54">
        <v>0</v>
      </c>
      <c r="AN26" s="31">
        <f>AM26*参数调整!$J$23</f>
        <v>0</v>
      </c>
      <c r="AO26" s="48"/>
      <c r="AP26" s="48"/>
    </row>
    <row r="27" spans="28:42">
      <c r="AB27" s="89">
        <f t="shared" si="8"/>
        <v>0</v>
      </c>
      <c r="AC27" s="161"/>
      <c r="AD27" s="31" t="s">
        <v>260</v>
      </c>
      <c r="AE27" s="31"/>
      <c r="AF27" s="31"/>
      <c r="AG27" s="89">
        <f>SUM(Y3:Y14)</f>
        <v>13887</v>
      </c>
      <c r="AI27" s="111"/>
      <c r="AJ27" s="104" t="s">
        <v>262</v>
      </c>
      <c r="AK27" s="106"/>
      <c r="AL27" s="52"/>
      <c r="AM27" s="43">
        <f>AM19</f>
        <v>5</v>
      </c>
      <c r="AN27" s="31">
        <f>AM27*参数调整!$J$17*(1+参数调整!$B$12+参数调整!$B$13+参数调整!$B$14+参数调整!$B$15+参数调整!$B$16)</f>
        <v>26920</v>
      </c>
      <c r="AO27" s="48"/>
      <c r="AP27" s="48"/>
    </row>
    <row r="28" spans="10:42">
      <c r="J28" s="69"/>
      <c r="P28" s="69"/>
      <c r="Q28" s="89" t="s">
        <v>317</v>
      </c>
      <c r="R28" s="89" t="s">
        <v>318</v>
      </c>
      <c r="S28" s="89" t="s">
        <v>319</v>
      </c>
      <c r="T28" s="89" t="s">
        <v>309</v>
      </c>
      <c r="U28" s="89" t="s">
        <v>320</v>
      </c>
      <c r="V28" s="89" t="s">
        <v>321</v>
      </c>
      <c r="W28" s="89" t="s">
        <v>247</v>
      </c>
      <c r="X28" s="89" t="s">
        <v>286</v>
      </c>
      <c r="Y28" s="89" t="s">
        <v>322</v>
      </c>
      <c r="Z28" s="69"/>
      <c r="AB28" s="89">
        <f t="shared" si="8"/>
        <v>0</v>
      </c>
      <c r="AC28" s="162"/>
      <c r="AD28" s="31" t="s">
        <v>261</v>
      </c>
      <c r="AE28" s="31"/>
      <c r="AF28" s="31"/>
      <c r="AG28" s="89">
        <f>G18</f>
        <v>67588.092</v>
      </c>
      <c r="AI28" s="111"/>
      <c r="AJ28" s="70" t="s">
        <v>264</v>
      </c>
      <c r="AK28" s="118" t="s">
        <v>265</v>
      </c>
      <c r="AL28" s="119" t="s">
        <v>175</v>
      </c>
      <c r="AM28" s="120">
        <v>0</v>
      </c>
      <c r="AN28" s="70">
        <f>AM28*参数调整!$B$30*参数调整!F11</f>
        <v>0</v>
      </c>
      <c r="AO28" s="48"/>
      <c r="AP28" s="48"/>
    </row>
    <row r="29" spans="10:42">
      <c r="J29" s="89" t="str">
        <f t="shared" ref="J29:J40" si="9">J3</f>
        <v>S</v>
      </c>
      <c r="K29" s="89">
        <f>第二季度!V3-第三季度!Q3+第三季度!R3</f>
        <v>48</v>
      </c>
      <c r="L29" s="89"/>
      <c r="M29" s="89"/>
      <c r="N29" s="89"/>
      <c r="O29" s="89"/>
      <c r="P29" s="89"/>
      <c r="Q29" s="54">
        <v>240</v>
      </c>
      <c r="R29" s="89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))))</f>
        <v>1.90325138778747</v>
      </c>
      <c r="S29" s="69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-0.0450741890959282</v>
      </c>
      <c r="T29" s="54">
        <v>0.6256</v>
      </c>
      <c r="U29" s="89">
        <f>R29+S29-T29</f>
        <v>1.23257719869154</v>
      </c>
      <c r="V29" s="89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0.760000140154234</v>
      </c>
      <c r="W29" s="54">
        <v>5448.24922166998</v>
      </c>
      <c r="X29" s="69">
        <f>W29+第二季度!U18*0.53653684+第一季度!T19*0.53653684*0.46055126</f>
        <v>14277.5272480424</v>
      </c>
      <c r="Y29" s="89">
        <f>U29+V29</f>
        <v>1.99257733884578</v>
      </c>
      <c r="Z29" s="105">
        <v>5298.31454449467</v>
      </c>
      <c r="AD29" s="31" t="s">
        <v>263</v>
      </c>
      <c r="AE29" s="31"/>
      <c r="AF29" s="31"/>
      <c r="AG29" s="121">
        <f>AG3+AG4*(1-参数调整!$B$18)-SUM(AG5:AG28)</f>
        <v>-131761.652</v>
      </c>
      <c r="AH29" s="121">
        <f>AG29/(1-参数调整!B23)</f>
        <v>-135836.754639175</v>
      </c>
      <c r="AI29" s="111"/>
      <c r="AJ29" s="112"/>
      <c r="AK29" s="122"/>
      <c r="AL29" s="123"/>
      <c r="AM29" s="124"/>
      <c r="AN29" s="113"/>
      <c r="AO29" s="48"/>
      <c r="AP29" s="48"/>
    </row>
    <row r="30" spans="10:42">
      <c r="J30" s="89" t="str">
        <f t="shared" si="9"/>
        <v>S</v>
      </c>
      <c r="K30" s="89">
        <f>第二季度!V4-第三季度!Q4+第三季度!R4</f>
        <v>66</v>
      </c>
      <c r="L30" s="89"/>
      <c r="M30" s="89"/>
      <c r="N30" s="89"/>
      <c r="O30" s="89"/>
      <c r="P30" s="89"/>
      <c r="Q30" s="54">
        <v>221</v>
      </c>
      <c r="R30" s="89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))))</f>
        <v>2.61697065820777</v>
      </c>
      <c r="S30" s="69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0.0908090258668134</v>
      </c>
      <c r="T30" s="54">
        <v>0</v>
      </c>
      <c r="U30" s="89">
        <f t="shared" ref="U30:U40" si="10">R30+S30-T30</f>
        <v>2.70777968407458</v>
      </c>
      <c r="V30" s="89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0</v>
      </c>
      <c r="W30" s="54">
        <v>7945.33354689014</v>
      </c>
      <c r="X30" s="69">
        <f>W30+第二季度!U19*0.53653684+第一季度!T20*0.53653684*0.46055126</f>
        <v>20519.8150203978</v>
      </c>
      <c r="Y30" s="89">
        <f t="shared" ref="Y30:Y40" si="11">U30+V30</f>
        <v>2.70777968407458</v>
      </c>
      <c r="Z30" s="105">
        <v>8126.19036250416</v>
      </c>
      <c r="AD30" s="104" t="s">
        <v>267</v>
      </c>
      <c r="AE30" s="106"/>
      <c r="AF30" s="52"/>
      <c r="AG30" s="54">
        <v>135837</v>
      </c>
      <c r="AI30" s="111"/>
      <c r="AJ30" s="112"/>
      <c r="AK30" s="122"/>
      <c r="AL30" s="119" t="s">
        <v>176</v>
      </c>
      <c r="AM30" s="120">
        <v>1</v>
      </c>
      <c r="AN30" s="70">
        <f>参数调整!F12*AM30*参数调整!$B$30</f>
        <v>240</v>
      </c>
      <c r="AO30" s="48"/>
      <c r="AP30" s="48"/>
    </row>
    <row r="31" spans="10:42">
      <c r="J31" s="89" t="str">
        <f t="shared" si="9"/>
        <v>B</v>
      </c>
      <c r="K31" s="89">
        <f>第二季度!V5-第三季度!Q5+第三季度!R5</f>
        <v>67</v>
      </c>
      <c r="L31" s="89"/>
      <c r="M31" s="89"/>
      <c r="N31" s="89"/>
      <c r="O31" s="89"/>
      <c r="P31" s="89"/>
      <c r="Q31" s="54">
        <v>287</v>
      </c>
      <c r="R31" s="89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))))</f>
        <v>2.39713774597496</v>
      </c>
      <c r="S31" s="69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-0.0196510864614313</v>
      </c>
      <c r="T31" s="54">
        <v>1.1748</v>
      </c>
      <c r="U31" s="89">
        <f t="shared" si="10"/>
        <v>1.20268665951352</v>
      </c>
      <c r="V31" s="89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1.1000002010156</v>
      </c>
      <c r="W31" s="54">
        <v>3452.21207504007</v>
      </c>
      <c r="X31" s="69">
        <f>W31+第二季度!U20*0.53653684+第一季度!T21*0.53653684*0.46055126</f>
        <v>11941.8014420249</v>
      </c>
      <c r="Y31" s="89">
        <f t="shared" si="11"/>
        <v>2.30268686052912</v>
      </c>
      <c r="Z31" s="105">
        <v>4271.01578697575</v>
      </c>
      <c r="AD31" s="104" t="s">
        <v>263</v>
      </c>
      <c r="AE31" s="106"/>
      <c r="AF31" s="52"/>
      <c r="AG31" s="121">
        <f>AG30*(1-参数调整!B23)+AG29</f>
        <v>0.237999999983003</v>
      </c>
      <c r="AI31" s="111"/>
      <c r="AJ31" s="112"/>
      <c r="AK31" s="122"/>
      <c r="AL31" s="123"/>
      <c r="AM31" s="124"/>
      <c r="AN31" s="113"/>
      <c r="AO31" s="48"/>
      <c r="AP31" s="48"/>
    </row>
    <row r="32" spans="10:42">
      <c r="J32" s="89" t="str">
        <f t="shared" si="9"/>
        <v>B</v>
      </c>
      <c r="K32" s="89">
        <f>第二季度!V6-第三季度!Q6+第三季度!R6</f>
        <v>53</v>
      </c>
      <c r="L32" s="89"/>
      <c r="M32" s="89"/>
      <c r="N32" s="89"/>
      <c r="O32" s="89"/>
      <c r="P32" s="89"/>
      <c r="Q32" s="54">
        <v>330</v>
      </c>
      <c r="R32" s="89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))))</f>
        <v>1.89624329159213</v>
      </c>
      <c r="S32" s="69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0.0686350686350686</v>
      </c>
      <c r="T32" s="54">
        <v>0</v>
      </c>
      <c r="U32" s="89">
        <f t="shared" si="10"/>
        <v>1.9648783602272</v>
      </c>
      <c r="V32" s="89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0</v>
      </c>
      <c r="W32" s="54">
        <v>720.403089247917</v>
      </c>
      <c r="X32" s="69">
        <f>W32+第二季度!U21*0.53653684+第一季度!T22*0.53653684*0.46055126</f>
        <v>1603.31998898232</v>
      </c>
      <c r="Y32" s="89">
        <f t="shared" si="11"/>
        <v>1.9648783602272</v>
      </c>
      <c r="Z32" s="105">
        <v>757.506650670899</v>
      </c>
      <c r="AI32" s="111"/>
      <c r="AJ32" s="112"/>
      <c r="AK32" s="122"/>
      <c r="AL32" s="119" t="s">
        <v>177</v>
      </c>
      <c r="AM32" s="120">
        <v>0</v>
      </c>
      <c r="AN32" s="70">
        <f>参数调整!F13*AM32*参数调整!$B$30</f>
        <v>0</v>
      </c>
      <c r="AO32" s="48"/>
      <c r="AP32" s="48"/>
    </row>
    <row r="33" spans="1:42">
      <c r="A33" s="89" t="s">
        <v>323</v>
      </c>
      <c r="B33" s="89" t="s">
        <v>247</v>
      </c>
      <c r="J33" s="89" t="str">
        <f t="shared" si="9"/>
        <v>B</v>
      </c>
      <c r="K33" s="89">
        <f>第二季度!V7-第三季度!Q7+第三季度!R7</f>
        <v>27</v>
      </c>
      <c r="L33" s="89"/>
      <c r="M33" s="89"/>
      <c r="N33" s="89"/>
      <c r="O33" s="89"/>
      <c r="P33" s="89"/>
      <c r="R33" s="89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))))</f>
        <v>0.966010733452594</v>
      </c>
      <c r="S33" s="69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0.034965034965035</v>
      </c>
      <c r="T33" s="54">
        <v>0</v>
      </c>
      <c r="U33" s="89">
        <f t="shared" si="10"/>
        <v>1.00097576841763</v>
      </c>
      <c r="V33" s="89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</v>
      </c>
      <c r="W33" s="69"/>
      <c r="X33" s="69"/>
      <c r="Y33" s="89">
        <f t="shared" si="11"/>
        <v>1.00097576841763</v>
      </c>
      <c r="Z33" s="69"/>
      <c r="AI33" s="111"/>
      <c r="AJ33" s="112"/>
      <c r="AK33" s="122"/>
      <c r="AL33" s="123"/>
      <c r="AM33" s="124"/>
      <c r="AN33" s="113"/>
      <c r="AO33" s="48"/>
      <c r="AP33" s="48"/>
    </row>
    <row r="34" spans="1:42">
      <c r="A34" s="124">
        <v>0.6941</v>
      </c>
      <c r="B34" s="89">
        <f>((AB3*参数调整!H11/第三季度!A34)-第一季度!G21*第三季度!$J$18*0.536537*0.46055126-第二季度!K28*第三季度!$J$18*0.536537)/第三季度!$J$18</f>
        <v>6803.80205146195</v>
      </c>
      <c r="J34" s="89" t="str">
        <f t="shared" si="9"/>
        <v>Q</v>
      </c>
      <c r="K34" s="89">
        <f>第二季度!V8-第三季度!Q8+第三季度!R8</f>
        <v>64</v>
      </c>
      <c r="L34" s="89"/>
      <c r="M34" s="89"/>
      <c r="N34" s="89"/>
      <c r="O34" s="89"/>
      <c r="P34" s="89"/>
      <c r="R34" s="89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))))</f>
        <v>2.00438459129345</v>
      </c>
      <c r="S34" s="69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-0.0540307911381602</v>
      </c>
      <c r="T34" s="54">
        <v>0.2517</v>
      </c>
      <c r="U34" s="89">
        <f t="shared" si="10"/>
        <v>1.69865380015529</v>
      </c>
      <c r="V34" s="89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0.200000042400138</v>
      </c>
      <c r="W34" s="69"/>
      <c r="X34" s="69"/>
      <c r="Y34" s="89">
        <f t="shared" si="11"/>
        <v>1.89865384255543</v>
      </c>
      <c r="Z34" s="69"/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spans="1:42">
      <c r="A35" s="54">
        <v>0.9601</v>
      </c>
      <c r="B35" s="89">
        <f>((AB4*参数调整!H12/第三季度!A35)-第一季度!G22*第三季度!$J$18*0.536537*0.46055126-第二季度!K29*第三季度!$J$18*0.536537)/第三季度!$J$18</f>
        <v>10935.3581755263</v>
      </c>
      <c r="J35" s="89" t="str">
        <f t="shared" si="9"/>
        <v>Q</v>
      </c>
      <c r="K35" s="89">
        <f>第二季度!V9-第三季度!Q9+第三季度!R9</f>
        <v>43</v>
      </c>
      <c r="L35" s="89"/>
      <c r="M35" s="89"/>
      <c r="N35" s="89"/>
      <c r="O35" s="89"/>
      <c r="P35" s="89"/>
      <c r="R35" s="89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))))</f>
        <v>1.34669589727529</v>
      </c>
      <c r="S35" s="69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0.136826474331778</v>
      </c>
      <c r="T35" s="54">
        <v>0</v>
      </c>
      <c r="U35" s="89">
        <f t="shared" si="10"/>
        <v>1.48352237160707</v>
      </c>
      <c r="V35" s="89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0</v>
      </c>
      <c r="W35" s="69"/>
      <c r="X35" s="69"/>
      <c r="Y35" s="89">
        <f t="shared" si="11"/>
        <v>1.48352237160707</v>
      </c>
      <c r="Z35" s="69"/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spans="1:42">
      <c r="A36" s="54">
        <v>0.1732</v>
      </c>
      <c r="B36" s="89">
        <f>((AB5*参数调整!H13/第三季度!A36)-第一季度!G23*第三季度!$J$18*0.536537*0.46055126-第二季度!K30*第三季度!$J$18*0.536537)/第三季度!$J$18</f>
        <v>5300.02008020767</v>
      </c>
      <c r="D36" s="29" t="s">
        <v>270</v>
      </c>
      <c r="E36" s="30" t="s">
        <v>271</v>
      </c>
      <c r="F36" s="30" t="s">
        <v>272</v>
      </c>
      <c r="J36" s="89" t="str">
        <f t="shared" si="9"/>
        <v>L</v>
      </c>
      <c r="K36" s="89">
        <f>第二季度!V10-第三季度!Q10+第三季度!R10</f>
        <v>76</v>
      </c>
      <c r="L36" s="89"/>
      <c r="M36" s="89"/>
      <c r="N36" s="89"/>
      <c r="O36" s="89"/>
      <c r="P36" s="89"/>
      <c r="R36" s="89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))))</f>
        <v>2.03753351206434</v>
      </c>
      <c r="S36" s="69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-0.00172044655146047</v>
      </c>
      <c r="T36" s="54">
        <v>0.01</v>
      </c>
      <c r="U36" s="89">
        <f t="shared" si="10"/>
        <v>2.02581306551288</v>
      </c>
      <c r="V36" s="89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</v>
      </c>
      <c r="W36" s="69"/>
      <c r="X36" s="69"/>
      <c r="Y36" s="89">
        <f t="shared" si="11"/>
        <v>2.02581306551288</v>
      </c>
      <c r="Z36" s="69"/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AN2-SUM(AN5:AN19)+SUM(AN20:AN26)-SUM(AN27:AN35)+AO36*(1-参数调整!B23)+AP36*(1-参数调整!B24)</f>
        <v>192818.74</v>
      </c>
      <c r="AO36" s="54">
        <v>0</v>
      </c>
      <c r="AP36" s="54">
        <v>0</v>
      </c>
    </row>
    <row r="37" spans="1:42">
      <c r="A37" s="54">
        <v>0.11</v>
      </c>
      <c r="B37" s="89">
        <f>((AB6*参数调整!H14/第三季度!A37)-第一季度!G24*第三季度!$J$18*0.536537*0.46055126-第二季度!K31*第三季度!$J$18*0.536537)/第三季度!$J$18</f>
        <v>720.403089247917</v>
      </c>
      <c r="D37" s="29"/>
      <c r="E37" s="30"/>
      <c r="F37" s="30"/>
      <c r="J37" s="89">
        <v>0</v>
      </c>
      <c r="K37" s="89">
        <f>第二季度!V11-第三季度!Q11+第三季度!R11</f>
        <v>0</v>
      </c>
      <c r="L37" s="89"/>
      <c r="M37" s="89"/>
      <c r="N37" s="89"/>
      <c r="O37" s="89"/>
      <c r="P37" s="89"/>
      <c r="R37" s="89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69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-0.0961538461538462</v>
      </c>
      <c r="T37" s="54">
        <v>0</v>
      </c>
      <c r="U37" s="89">
        <f t="shared" si="10"/>
        <v>-0.0961538461538462</v>
      </c>
      <c r="V37" s="89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89">
        <f t="shared" si="11"/>
        <v>-0.0961538461538462</v>
      </c>
      <c r="AI37" s="127" t="s">
        <v>324</v>
      </c>
      <c r="AJ37" s="104" t="s">
        <v>274</v>
      </c>
      <c r="AK37" s="106"/>
      <c r="AL37" s="106"/>
      <c r="AM37" s="52"/>
      <c r="AN37" s="43">
        <f>AO3-AO36</f>
        <v>187340.4</v>
      </c>
      <c r="AO37" s="48"/>
      <c r="AP37" s="48"/>
    </row>
    <row r="38" spans="4:42">
      <c r="D38" s="48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48">
        <f>第二季度!G3+第二季度!H3+第二季度!E38-第二季度!B3</f>
        <v>0</v>
      </c>
      <c r="F38">
        <f>E38+G3-B3</f>
        <v>0</v>
      </c>
      <c r="J38" s="89">
        <f t="shared" si="9"/>
        <v>0</v>
      </c>
      <c r="K38" s="89">
        <f>第二季度!V12-第三季度!Q12+第三季度!R12</f>
        <v>0</v>
      </c>
      <c r="L38" s="89"/>
      <c r="M38" s="89"/>
      <c r="N38" s="89"/>
      <c r="O38" s="89"/>
      <c r="P38" s="89"/>
      <c r="R38" s="89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69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-0.0961538461538462</v>
      </c>
      <c r="T38" s="54">
        <v>0</v>
      </c>
      <c r="U38" s="89">
        <f t="shared" si="10"/>
        <v>-0.0961538461538462</v>
      </c>
      <c r="V38" s="89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89">
        <f t="shared" si="11"/>
        <v>-0.0961538461538462</v>
      </c>
      <c r="AI38" s="128"/>
      <c r="AJ38" s="104" t="s">
        <v>275</v>
      </c>
      <c r="AK38" s="106"/>
      <c r="AL38" s="106"/>
      <c r="AM38" s="52"/>
      <c r="AN38" s="43">
        <f>(G3*D3*E3+G4*D4*E4+G5*D5*1.5*E5+G6*D6*E6+G7*E7*D7+G8*E8*D8+G9*E9*D9+G10*E10*D10+G11*E11*D11+G12*E12*D12+G13*E13*D13*1.5+G14*E14*D14*1.5+G15*E15*D15*1.5+G16*E16*D16*1.5)*(1+参数调整!B6)</f>
        <v>70636.41</v>
      </c>
      <c r="AO38" s="48"/>
      <c r="AP38" s="48"/>
    </row>
    <row r="39" spans="4:42">
      <c r="D39" s="48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48">
        <f>第二季度!G4+第二季度!H4+第二季度!E39-第二季度!B4</f>
        <v>0</v>
      </c>
      <c r="F39">
        <f t="shared" ref="F39:F51" si="12">E39+G4-B4</f>
        <v>0</v>
      </c>
      <c r="J39" s="89">
        <f t="shared" si="9"/>
        <v>0</v>
      </c>
      <c r="K39" s="89">
        <f>第二季度!V13-第三季度!Q13+第三季度!R13</f>
        <v>0</v>
      </c>
      <c r="L39" s="89"/>
      <c r="M39" s="89"/>
      <c r="N39" s="89"/>
      <c r="O39" s="89"/>
      <c r="P39" s="89"/>
      <c r="R39" s="89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69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-0.0961538461538462</v>
      </c>
      <c r="T39" s="54">
        <v>0</v>
      </c>
      <c r="U39" s="89">
        <f t="shared" si="10"/>
        <v>-0.0961538461538462</v>
      </c>
      <c r="V39" s="89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89">
        <f t="shared" si="11"/>
        <v>-0.0961538461538462</v>
      </c>
      <c r="AI39" s="128"/>
      <c r="AJ39" s="104" t="s">
        <v>276</v>
      </c>
      <c r="AK39" s="106"/>
      <c r="AL39" s="106"/>
      <c r="AM39" s="52"/>
      <c r="AN39" s="43">
        <f>H5*D40*(1+参数调整!B6)+H13*D48*(1+参数调整!B6)+H14*D49*(1+参数调整!B6)+H15*D50*(1+参数调整!B6)+H16*D51*(1+参数调整!B6)</f>
        <v>69260.958</v>
      </c>
      <c r="AO39" s="48"/>
      <c r="AP39" s="48"/>
    </row>
    <row r="40" spans="4:42">
      <c r="D40" s="48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100.7</v>
      </c>
      <c r="E40" s="48">
        <f>第二季度!G5+第二季度!H5+第二季度!E40-第二季度!B5</f>
        <v>130</v>
      </c>
      <c r="F40">
        <f t="shared" si="12"/>
        <v>0</v>
      </c>
      <c r="J40" s="89">
        <f t="shared" si="9"/>
        <v>0</v>
      </c>
      <c r="K40" s="89">
        <f>第二季度!V14-第三季度!Q14+第三季度!R14</f>
        <v>0</v>
      </c>
      <c r="L40" s="89"/>
      <c r="M40" s="89"/>
      <c r="N40" s="89"/>
      <c r="O40" s="89"/>
      <c r="P40" s="89"/>
      <c r="R40" s="89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69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-0.0961538461538462</v>
      </c>
      <c r="T40" s="54">
        <v>0</v>
      </c>
      <c r="U40" s="89">
        <f t="shared" si="10"/>
        <v>-0.0961538461538462</v>
      </c>
      <c r="V40" s="89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89">
        <f t="shared" si="11"/>
        <v>-0.0961538461538462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spans="1:42">
      <c r="A41" s="89" t="s">
        <v>293</v>
      </c>
      <c r="B41" s="69"/>
      <c r="C41" s="69"/>
      <c r="D41" s="48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48">
        <f>第二季度!G6+第二季度!H6+第二季度!E41-第二季度!B6</f>
        <v>0</v>
      </c>
      <c r="F41">
        <f t="shared" si="12"/>
        <v>0</v>
      </c>
      <c r="AI41" s="128"/>
      <c r="AJ41" s="104" t="s">
        <v>277</v>
      </c>
      <c r="AK41" s="106"/>
      <c r="AL41" s="106"/>
      <c r="AM41" s="52"/>
      <c r="AN41" s="43">
        <f>(AN2+AO3+AP3-AK2)*参数调整!$B$6/(1+参数调整!$B$6)-(F3+F4+F5*1.5+F6+F7+F8+F9+F10+F11+F12+F13*1.5+F14*1.5+F15*1.5+F16*1.5+第二季度!AN39)/(1+参数调整!B6)*参数调整!B6</f>
        <v>71533.3822905983</v>
      </c>
      <c r="AO41" s="48"/>
      <c r="AP41" s="48"/>
    </row>
    <row r="42" spans="1:42">
      <c r="A42" s="148">
        <f t="shared" ref="A42:A53" si="13">ROUNDUP(IF(J3="S",W3*$R$18/SUM($R$18:$V$18),IF(J3="B",W3*$R$19/SUM($R$19:$V$19),IF(J3="Q",W3*$R$20/SUM($R$20:$V$20),W3*$R$21/SUM($R$21:$V$21)))),1)</f>
        <v>17.7</v>
      </c>
      <c r="B42" s="149">
        <f t="shared" ref="B42:B53" si="14">ROUNDUP(IF(J3="S",W3*$S$18/SUM($R$18:$V$18),IF(J3="B",W3*$S$19/SUM($R$19:$V$19),IF(J3="Q",W3*$S$20/SUM($R$20:$V$20),W3*$S$21/SUM($R$21:$V$21)))),1)</f>
        <v>15.2</v>
      </c>
      <c r="C42" s="149"/>
      <c r="D42" s="15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150">
        <f>第二季度!G7+第二季度!H7+第二季度!E42-第二季度!B7</f>
        <v>0</v>
      </c>
      <c r="F42" s="151">
        <f t="shared" si="12"/>
        <v>0</v>
      </c>
      <c r="G42" s="149">
        <f t="shared" ref="G42:G53" si="15">ROUNDUP(IF(J3="S",W3*$T$18/SUM($R$18:$V$18),IF(J3="B",W3*$T$19/SUM($R$19:$V$19),IF(J3="Q",W3*$T$20/SUM($R$20:$V$20),W3*$T$21/SUM($R$21:$V$21)))),1)</f>
        <v>16.1</v>
      </c>
      <c r="H42" s="152">
        <f t="shared" ref="H42:H53" si="16">ROUNDUP(IF(J3="S",W3*$U$18/SUM($R$18:$V$18),IF(J3="B",W3*$U$19/SUM($R$19:$V$19),IF(J3="Q",W3*$U$20/SUM($R$20:$V$20),W3*$U$21/SUM($R$21:$V$21)))),1)</f>
        <v>16.6</v>
      </c>
      <c r="I42" s="153">
        <f t="shared" ref="I42:I53" si="17">ROUNDUP(IF(J3="S",W3*$V$18/SUM($R$18:$V$18),IF(J3="B",W3*$V$19/SUM($R$19:$V$19),IF(J3="Q",W3*$V$20/SUM($R$20:$V$20),W3*$V$21/SUM($R$21:$V$21)))),1)</f>
        <v>19.6</v>
      </c>
      <c r="J42" s="103">
        <f t="shared" ref="J42:J53" si="18">W3-TRUNC(A42)-TRUNC(B42)-TRUNC(G42)-TRUNC(H42)-TRUNC(I42)</f>
        <v>2</v>
      </c>
      <c r="K42" s="156" t="str">
        <f>J3</f>
        <v>S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8584.0058748718</v>
      </c>
      <c r="AO42" s="48"/>
      <c r="AP42" s="48"/>
    </row>
    <row r="43" spans="1:42">
      <c r="A43" s="148">
        <f t="shared" si="13"/>
        <v>25.6</v>
      </c>
      <c r="B43" s="149">
        <f t="shared" si="14"/>
        <v>22</v>
      </c>
      <c r="C43" s="149"/>
      <c r="D43" s="15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150">
        <f>第二季度!G8+第二季度!H8+第二季度!E43-第二季度!B8</f>
        <v>0</v>
      </c>
      <c r="F43" s="151">
        <f t="shared" si="12"/>
        <v>0</v>
      </c>
      <c r="G43" s="149">
        <f t="shared" si="15"/>
        <v>23.3</v>
      </c>
      <c r="H43" s="149">
        <f t="shared" si="16"/>
        <v>24</v>
      </c>
      <c r="I43" s="152">
        <f t="shared" si="17"/>
        <v>28.3</v>
      </c>
      <c r="J43" s="103">
        <f t="shared" si="18"/>
        <v>1</v>
      </c>
      <c r="K43" s="156" t="str">
        <f t="shared" ref="K43:K53" si="19">J4</f>
        <v>S</v>
      </c>
      <c r="AI43" s="128"/>
      <c r="AJ43" s="104" t="s">
        <v>279</v>
      </c>
      <c r="AK43" s="106"/>
      <c r="AL43" s="106"/>
      <c r="AM43" s="52"/>
      <c r="AN43" s="43">
        <v>14060.7143</v>
      </c>
      <c r="AO43" s="48"/>
      <c r="AP43" s="48"/>
    </row>
    <row r="44" spans="1:42">
      <c r="A44" s="149">
        <f t="shared" si="13"/>
        <v>21.2</v>
      </c>
      <c r="B44" s="153">
        <f t="shared" si="14"/>
        <v>20.9</v>
      </c>
      <c r="C44" s="149"/>
      <c r="D44" s="15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150">
        <f>第二季度!G9+第二季度!H9+第二季度!E44-第二季度!B9</f>
        <v>0</v>
      </c>
      <c r="F44" s="151">
        <f t="shared" si="12"/>
        <v>0</v>
      </c>
      <c r="G44" s="148">
        <f t="shared" si="15"/>
        <v>26.7</v>
      </c>
      <c r="H44" s="149">
        <f t="shared" si="16"/>
        <v>22.5</v>
      </c>
      <c r="I44" s="148">
        <f t="shared" si="17"/>
        <v>23.9</v>
      </c>
      <c r="J44" s="103">
        <f t="shared" si="18"/>
        <v>3</v>
      </c>
      <c r="K44" s="156" t="str">
        <f t="shared" si="19"/>
        <v>B</v>
      </c>
      <c r="AI44" s="129"/>
      <c r="AJ44" s="104" t="s">
        <v>263</v>
      </c>
      <c r="AK44" s="106"/>
      <c r="AL44" s="106"/>
      <c r="AM44" s="52"/>
      <c r="AN44" s="121">
        <f>AN36+AN37-SUM(AN38:AN43)</f>
        <v>136083.66953453</v>
      </c>
      <c r="AO44" s="48"/>
      <c r="AP44" s="48"/>
    </row>
    <row r="45" spans="1:11">
      <c r="A45" s="149">
        <f t="shared" si="13"/>
        <v>18.4</v>
      </c>
      <c r="B45" s="149">
        <f t="shared" si="14"/>
        <v>18.2</v>
      </c>
      <c r="C45" s="149"/>
      <c r="D45" s="15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150">
        <f>第二季度!G10+第二季度!H10+第二季度!E45-第二季度!B10</f>
        <v>0</v>
      </c>
      <c r="F45" s="151">
        <f t="shared" si="12"/>
        <v>0</v>
      </c>
      <c r="G45" s="152">
        <f t="shared" si="15"/>
        <v>23.2</v>
      </c>
      <c r="H45" s="148">
        <f t="shared" si="16"/>
        <v>19.6</v>
      </c>
      <c r="I45" s="153">
        <f t="shared" si="17"/>
        <v>20.8</v>
      </c>
      <c r="J45" s="103">
        <f t="shared" si="18"/>
        <v>2</v>
      </c>
      <c r="K45" s="156" t="str">
        <f t="shared" si="19"/>
        <v>B</v>
      </c>
    </row>
    <row r="46" spans="1:11">
      <c r="A46" s="149">
        <f t="shared" si="13"/>
        <v>9.2</v>
      </c>
      <c r="B46" s="149">
        <f t="shared" si="14"/>
        <v>9.1</v>
      </c>
      <c r="C46" s="149"/>
      <c r="D46" s="15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150">
        <f>第二季度!G11+第二季度!H11+第二季度!E46-第二季度!B11</f>
        <v>0</v>
      </c>
      <c r="F46" s="151">
        <f t="shared" si="12"/>
        <v>0</v>
      </c>
      <c r="G46" s="148">
        <f t="shared" si="15"/>
        <v>11.6</v>
      </c>
      <c r="H46" s="153">
        <f t="shared" si="16"/>
        <v>9.8</v>
      </c>
      <c r="I46" s="152">
        <f t="shared" si="17"/>
        <v>10.4</v>
      </c>
      <c r="J46" s="103">
        <f t="shared" si="18"/>
        <v>2</v>
      </c>
      <c r="K46" s="156" t="str">
        <f t="shared" si="19"/>
        <v>B</v>
      </c>
    </row>
    <row r="47" spans="1:11">
      <c r="A47" s="148">
        <f t="shared" si="13"/>
        <v>19.8</v>
      </c>
      <c r="B47" s="149">
        <f t="shared" si="14"/>
        <v>19</v>
      </c>
      <c r="C47" s="149"/>
      <c r="D47" s="15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150">
        <f>第二季度!G12+第二季度!H12+第二季度!E47-第二季度!B12</f>
        <v>0</v>
      </c>
      <c r="F47" s="151">
        <f t="shared" si="12"/>
        <v>0</v>
      </c>
      <c r="G47" s="149">
        <f t="shared" si="15"/>
        <v>19.5</v>
      </c>
      <c r="H47" s="149">
        <f t="shared" si="16"/>
        <v>27.1</v>
      </c>
      <c r="I47" s="153">
        <f t="shared" si="17"/>
        <v>21.7</v>
      </c>
      <c r="J47" s="103">
        <f t="shared" si="18"/>
        <v>2</v>
      </c>
      <c r="K47" s="156" t="str">
        <f t="shared" si="19"/>
        <v>Q</v>
      </c>
    </row>
    <row r="48" spans="1:11">
      <c r="A48" s="148">
        <f t="shared" si="13"/>
        <v>15.8</v>
      </c>
      <c r="B48" s="152">
        <f t="shared" si="14"/>
        <v>15.1</v>
      </c>
      <c r="C48" s="149"/>
      <c r="D48" s="15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41.4</v>
      </c>
      <c r="E48" s="150">
        <f>第二季度!G13+第二季度!H13+第二季度!E48-第二季度!B13</f>
        <v>410</v>
      </c>
      <c r="F48" s="151">
        <f t="shared" si="12"/>
        <v>30</v>
      </c>
      <c r="G48" s="149">
        <f t="shared" si="15"/>
        <v>15.5</v>
      </c>
      <c r="H48" s="153">
        <f t="shared" si="16"/>
        <v>21.6</v>
      </c>
      <c r="I48" s="149">
        <f t="shared" si="17"/>
        <v>17.3</v>
      </c>
      <c r="J48" s="103">
        <f t="shared" si="18"/>
        <v>2</v>
      </c>
      <c r="K48" s="156" t="str">
        <f t="shared" si="19"/>
        <v>Q</v>
      </c>
    </row>
    <row r="49" spans="1:11">
      <c r="A49" s="148">
        <f t="shared" si="13"/>
        <v>50.3</v>
      </c>
      <c r="B49" s="152">
        <f t="shared" si="14"/>
        <v>56.2</v>
      </c>
      <c r="C49" s="149"/>
      <c r="D49" s="15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50">
        <f>第二季度!G14+第二季度!H14+第二季度!E49-第二季度!B14</f>
        <v>0</v>
      </c>
      <c r="F49" s="151">
        <f t="shared" si="12"/>
        <v>0</v>
      </c>
      <c r="G49" s="152">
        <f t="shared" si="15"/>
        <v>51.2</v>
      </c>
      <c r="H49" s="149">
        <f t="shared" si="16"/>
        <v>56.2</v>
      </c>
      <c r="I49" s="149">
        <f t="shared" si="17"/>
        <v>56.2</v>
      </c>
      <c r="J49" s="103">
        <f t="shared" si="18"/>
        <v>1</v>
      </c>
      <c r="K49" s="156" t="str">
        <f t="shared" si="19"/>
        <v>L</v>
      </c>
    </row>
    <row r="50" spans="1:11">
      <c r="A50" s="154">
        <f t="shared" si="13"/>
        <v>0</v>
      </c>
      <c r="B50" s="154">
        <f t="shared" si="14"/>
        <v>0</v>
      </c>
      <c r="C50" s="154"/>
      <c r="D50" s="9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74.1</v>
      </c>
      <c r="E50" s="93">
        <f>第二季度!G15+第二季度!H15+第二季度!E50-第二季度!B15</f>
        <v>130</v>
      </c>
      <c r="F50" s="155">
        <f t="shared" si="12"/>
        <v>0</v>
      </c>
      <c r="G50" s="154">
        <f t="shared" si="15"/>
        <v>0</v>
      </c>
      <c r="H50" s="154">
        <f t="shared" si="16"/>
        <v>0</v>
      </c>
      <c r="I50" s="154">
        <f t="shared" si="17"/>
        <v>0</v>
      </c>
      <c r="J50" s="103">
        <f t="shared" si="18"/>
        <v>0</v>
      </c>
      <c r="K50" s="156">
        <f t="shared" si="19"/>
        <v>0</v>
      </c>
    </row>
    <row r="51" spans="1:11">
      <c r="A51" s="154">
        <f t="shared" si="13"/>
        <v>0</v>
      </c>
      <c r="B51" s="154">
        <f t="shared" si="14"/>
        <v>0</v>
      </c>
      <c r="C51" s="154"/>
      <c r="D51" s="9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93">
        <f>第二季度!G16+第二季度!H16+第二季度!E51-第二季度!B16</f>
        <v>0</v>
      </c>
      <c r="F51" s="155">
        <f t="shared" si="12"/>
        <v>0</v>
      </c>
      <c r="G51" s="154">
        <f t="shared" si="15"/>
        <v>0</v>
      </c>
      <c r="H51" s="154">
        <f t="shared" si="16"/>
        <v>0</v>
      </c>
      <c r="I51" s="154">
        <f t="shared" si="17"/>
        <v>0</v>
      </c>
      <c r="J51" s="103">
        <f t="shared" si="18"/>
        <v>0</v>
      </c>
      <c r="K51" s="156">
        <f t="shared" si="19"/>
        <v>0</v>
      </c>
    </row>
    <row r="52" spans="1:11">
      <c r="A52" s="154">
        <f t="shared" si="13"/>
        <v>0</v>
      </c>
      <c r="B52" s="154">
        <f t="shared" si="14"/>
        <v>0</v>
      </c>
      <c r="C52" s="154"/>
      <c r="D52" s="155"/>
      <c r="E52" s="155"/>
      <c r="F52" s="154"/>
      <c r="G52" s="154">
        <f t="shared" si="15"/>
        <v>0</v>
      </c>
      <c r="H52" s="154">
        <f t="shared" si="16"/>
        <v>0</v>
      </c>
      <c r="I52" s="154">
        <f t="shared" si="17"/>
        <v>0</v>
      </c>
      <c r="J52" s="103">
        <f t="shared" si="18"/>
        <v>0</v>
      </c>
      <c r="K52" s="156">
        <f t="shared" si="19"/>
        <v>0</v>
      </c>
    </row>
    <row r="53" spans="1:11">
      <c r="A53" s="154">
        <f t="shared" si="13"/>
        <v>0</v>
      </c>
      <c r="B53" s="154">
        <f t="shared" si="14"/>
        <v>0</v>
      </c>
      <c r="C53" s="154"/>
      <c r="D53" s="155"/>
      <c r="E53" s="155"/>
      <c r="F53" s="154"/>
      <c r="G53" s="154">
        <f t="shared" si="15"/>
        <v>0</v>
      </c>
      <c r="H53" s="154">
        <f t="shared" si="16"/>
        <v>0</v>
      </c>
      <c r="I53" s="154">
        <f t="shared" si="17"/>
        <v>0</v>
      </c>
      <c r="J53" s="103">
        <f t="shared" si="18"/>
        <v>0</v>
      </c>
      <c r="K53" s="156">
        <f t="shared" si="19"/>
        <v>0</v>
      </c>
    </row>
    <row r="54" spans="5:5">
      <c r="E54">
        <f>IF(B3&gt;E38,(B3-E38)*D3+E38*第二季度!D38,B3*第二季度!D38)</f>
        <v>22572</v>
      </c>
    </row>
    <row r="55" spans="5:5">
      <c r="E55">
        <f>IF(B4&gt;E39,(B4-E39)*D4+E39*第二季度!D39,B4*第二季度!D39)</f>
        <v>8250</v>
      </c>
    </row>
    <row r="56" spans="5:5">
      <c r="E56">
        <f>IF(B5&gt;E40,(B5-E40)*D5+E40*第二季度!D40,B5*第二季度!D40)</f>
        <v>14040</v>
      </c>
    </row>
    <row r="57" spans="5:5">
      <c r="E57">
        <f>IF(B6&gt;E41,(B6-E41)*D6+E41*第二季度!D41,B6*第二季度!D41)</f>
        <v>6224.4</v>
      </c>
    </row>
    <row r="58" spans="5:5">
      <c r="E58">
        <f>IF(B7&gt;E42,(B7-E42)*D7+E42*第二季度!D42,B7*第二季度!D42)</f>
        <v>4224</v>
      </c>
    </row>
    <row r="59" spans="5:5">
      <c r="E59">
        <f>IF(B8&gt;E43,(B8-E43)*D8+E43*第二季度!D43,B8*第二季度!D43)</f>
        <v>7296</v>
      </c>
    </row>
    <row r="60" spans="5:5">
      <c r="E60">
        <f>IF(B9&gt;E44,(B9-E44)*D9+E44*第二季度!D44,B9*第二季度!D44)</f>
        <v>15709.2</v>
      </c>
    </row>
    <row r="61" spans="5:5">
      <c r="E61">
        <f>IF(B10&gt;E45,(B10-E45)*D10+E45*第二季度!D45,B10*第二季度!D45)</f>
        <v>18031</v>
      </c>
    </row>
    <row r="62" spans="5:5">
      <c r="E62">
        <f>IF(B11&gt;E46,(B11-E46)*D11+E46*第二季度!D46,B11*第二季度!D46)</f>
        <v>35834</v>
      </c>
    </row>
    <row r="63" spans="5:5">
      <c r="E63">
        <f>IF(B12&gt;E47,(B12-E47)*D12+E47*第二季度!D47,B12*第二季度!D47)</f>
        <v>0</v>
      </c>
    </row>
    <row r="64" spans="5:5">
      <c r="E64">
        <f>IF(B13&gt;E48,(B13-E48)*D13+E48*第二季度!D48,B13*第二季度!D48)</f>
        <v>17328</v>
      </c>
    </row>
    <row r="65" spans="5:5">
      <c r="E65">
        <f>IF(B14&gt;E49,(B14-E49)*D14+E49*第二季度!D49,B14*第二季度!D49)</f>
        <v>0</v>
      </c>
    </row>
    <row r="66" spans="5:5">
      <c r="E66">
        <f>IF(B15&gt;E50,(B15-E50)*D15+E50*第二季度!D50,B15*第二季度!D50)</f>
        <v>9750</v>
      </c>
    </row>
    <row r="67" spans="5:5">
      <c r="E67">
        <f>IF(B16&gt;E51,(B16-E51)*D16+E51*第二季度!D51,B16*第二季度!D51)</f>
        <v>0</v>
      </c>
    </row>
    <row r="68" spans="4:5">
      <c r="D68" t="s">
        <v>310</v>
      </c>
      <c r="E68">
        <f>SUM(E54:E67)</f>
        <v>159258.6</v>
      </c>
    </row>
    <row r="69" spans="4:4">
      <c r="D69" t="s">
        <v>325</v>
      </c>
    </row>
  </sheetData>
  <mergeCells count="77">
    <mergeCell ref="S1:V1"/>
    <mergeCell ref="AD2:AG2"/>
    <mergeCell ref="AD3:AF3"/>
    <mergeCell ref="AD4:AF4"/>
    <mergeCell ref="AJ4:AL4"/>
    <mergeCell ref="AO4:AP4"/>
    <mergeCell ref="AK12:AL12"/>
    <mergeCell ref="AD15:AE15"/>
    <mergeCell ref="AD16:AE16"/>
    <mergeCell ref="J17:K17"/>
    <mergeCell ref="AJ17:AL17"/>
    <mergeCell ref="A18:B18"/>
    <mergeCell ref="J21:K21"/>
    <mergeCell ref="AD23:AE23"/>
    <mergeCell ref="AD24:AE24"/>
    <mergeCell ref="AD25:AE25"/>
    <mergeCell ref="AD26:AE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AL2:AM3"/>
    <mergeCell ref="AI2:AJ3"/>
    <mergeCell ref="AJ18:AK19"/>
    <mergeCell ref="AJ20:AK23"/>
    <mergeCell ref="AJ24:AK26"/>
    <mergeCell ref="J18:K20"/>
    <mergeCell ref="J22:K24"/>
    <mergeCell ref="AO5:AP6"/>
  </mergeCells>
  <dataValidations count="4">
    <dataValidation type="list" allowBlank="1" showInputMessage="1" showErrorMessage="1" sqref="AE5:AE7">
      <formula1>"购买小厂房,购买中厂房,购买大厂房"</formula1>
    </dataValidation>
    <dataValidation type="list" allowBlank="1" showInputMessage="1" showErrorMessage="1" sqref="AF17:AF24">
      <formula1>"1,0"</formula1>
    </dataValidation>
    <dataValidation type="list" allowBlank="1" showInputMessage="1" showErrorMessage="1" sqref="AE8:AE10">
      <formula1>"租用小厂房,租用中厂房,租用大厂房"</formula1>
    </dataValidation>
    <dataValidation type="list" allowBlank="1" showInputMessage="1" showErrorMessage="1" sqref="AE11:AE14">
      <formula1>"手工线,半自动线,全自动线,柔性线"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P90"/>
  <sheetViews>
    <sheetView zoomScale="70" zoomScaleNormal="70" topLeftCell="R4" workbookViewId="0">
      <selection activeCell="AO36" sqref="AO36"/>
    </sheetView>
  </sheetViews>
  <sheetFormatPr defaultColWidth="9" defaultRowHeight="13.8"/>
  <cols>
    <col min="2" max="2" width="12.7777777777778" customWidth="1"/>
    <col min="3" max="3" width="8.88888888888889" hidden="1" customWidth="1"/>
    <col min="4" max="4" width="12.7777777777778" hidden="1" customWidth="1"/>
    <col min="5" max="5" width="16.8888888888889" hidden="1" customWidth="1"/>
    <col min="6" max="6" width="14.1111111111111" hidden="1" customWidth="1"/>
    <col min="9" max="9" width="14.5555555555556" customWidth="1"/>
    <col min="10" max="10" width="9.44444444444444" customWidth="1"/>
    <col min="12" max="16" width="8.88888888888889" hidden="1" customWidth="1"/>
    <col min="17" max="17" width="14.7777777777778" customWidth="1"/>
    <col min="18" max="18" width="14" customWidth="1"/>
    <col min="19" max="19" width="13.2222222222222" customWidth="1"/>
    <col min="20" max="20" width="12.4444444444444" customWidth="1"/>
    <col min="21" max="21" width="13" customWidth="1"/>
    <col min="22" max="22" width="11.5555555555556" customWidth="1"/>
    <col min="23" max="23" width="12.4444444444444" customWidth="1"/>
    <col min="24" max="24" width="14" customWidth="1"/>
    <col min="25" max="25" width="10.7777777777778" customWidth="1"/>
    <col min="26" max="26" width="14" customWidth="1"/>
    <col min="27" max="27" width="11.6666666666667" customWidth="1"/>
    <col min="28" max="28" width="14.7685185185185" customWidth="1"/>
    <col min="31" max="31" width="16.5555555555556" customWidth="1"/>
    <col min="33" max="33" width="12.5555555555556" customWidth="1"/>
    <col min="34" max="34" width="12.4444444444444" customWidth="1"/>
    <col min="37" max="37" width="14.7777777777778" customWidth="1"/>
    <col min="39" max="39" width="11.3333333333333" customWidth="1"/>
    <col min="40" max="40" width="12.4444444444444" customWidth="1"/>
    <col min="41" max="41" width="20" customWidth="1"/>
    <col min="42" max="42" width="18.6666666666667" customWidth="1"/>
  </cols>
  <sheetData>
    <row r="1" spans="1:22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71" t="s">
        <v>196</v>
      </c>
      <c r="H1" s="29" t="s">
        <v>197</v>
      </c>
      <c r="S1" s="133" t="s">
        <v>198</v>
      </c>
      <c r="T1" s="133"/>
      <c r="U1" s="133"/>
      <c r="V1" s="133"/>
    </row>
    <row r="2" spans="1:42">
      <c r="A2" s="69"/>
      <c r="B2" s="72"/>
      <c r="C2" s="73"/>
      <c r="D2" s="29"/>
      <c r="E2" s="29"/>
      <c r="F2" s="69"/>
      <c r="G2" s="74"/>
      <c r="H2" s="29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281</v>
      </c>
      <c r="R2" s="134" t="s">
        <v>312</v>
      </c>
      <c r="S2" s="89" t="s">
        <v>201</v>
      </c>
      <c r="T2" s="89" t="s">
        <v>202</v>
      </c>
      <c r="U2" s="89" t="s">
        <v>203</v>
      </c>
      <c r="V2" s="89" t="s">
        <v>204</v>
      </c>
      <c r="W2" s="89" t="s">
        <v>205</v>
      </c>
      <c r="X2" s="89" t="s">
        <v>206</v>
      </c>
      <c r="Y2" s="89" t="s">
        <v>207</v>
      </c>
      <c r="Z2" s="89" t="s">
        <v>282</v>
      </c>
      <c r="AA2" s="43" t="s">
        <v>208</v>
      </c>
      <c r="AB2" s="89" t="s">
        <v>207</v>
      </c>
      <c r="AD2" s="31" t="s">
        <v>209</v>
      </c>
      <c r="AE2" s="31"/>
      <c r="AF2" s="31"/>
      <c r="AG2" s="31"/>
      <c r="AI2" s="107" t="s">
        <v>210</v>
      </c>
      <c r="AJ2" s="108"/>
      <c r="AK2" s="120">
        <f>AG31</f>
        <v>0.297999999980675</v>
      </c>
      <c r="AL2" s="107" t="s">
        <v>211</v>
      </c>
      <c r="AM2" s="108"/>
      <c r="AN2" s="54">
        <v>324388.64</v>
      </c>
      <c r="AO2" s="31" t="s">
        <v>212</v>
      </c>
      <c r="AP2" s="31" t="s">
        <v>213</v>
      </c>
    </row>
    <row r="3" ht="25.95" spans="1:42">
      <c r="A3" s="75" t="s">
        <v>214</v>
      </c>
      <c r="B3" s="76">
        <f>SUMIF($L$3:$L$14,1,$S$3:$S$14)+SUMIF($L$3:$L$14,1,$T$3:$T$14)+SUMIF($L$3:$L$14,1,$U$3:$U$14)+SUMIF($L$3:$L$14,1,$V$3:$V$14)</f>
        <v>1049</v>
      </c>
      <c r="C3" s="77">
        <f>参数调整!E45</f>
        <v>36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30.6</v>
      </c>
      <c r="E3" s="77">
        <f>参数调整!I45</f>
        <v>1</v>
      </c>
      <c r="F3" s="69">
        <f>D3*G3*(参数调整!$B$6+1)</f>
        <v>37556.298</v>
      </c>
      <c r="G3" s="78">
        <f t="shared" ref="G3:G16" si="0">IF(B3-E38&lt;=0,0,B3-E38)</f>
        <v>1049</v>
      </c>
      <c r="H3" s="29"/>
      <c r="J3" s="54" t="str">
        <f>第一季度!J3</f>
        <v>S</v>
      </c>
      <c r="K3" s="54">
        <f>第一季度!K3</f>
        <v>113</v>
      </c>
      <c r="L3" s="43" t="str">
        <f>LEFT(K3,1)</f>
        <v>1</v>
      </c>
      <c r="M3" s="43" t="str">
        <f>MID(K3,2,1)</f>
        <v>1</v>
      </c>
      <c r="N3" s="43" t="str">
        <f>MID(K3,3,1)</f>
        <v>3</v>
      </c>
      <c r="O3" s="43" t="str">
        <f>MID(K3,4,1)</f>
        <v/>
      </c>
      <c r="P3" s="43" t="str">
        <f>MID(K3,5,1)</f>
        <v/>
      </c>
      <c r="Q3" s="54">
        <v>2</v>
      </c>
      <c r="R3" s="54"/>
      <c r="S3" s="54">
        <v>0</v>
      </c>
      <c r="T3" s="54">
        <v>0</v>
      </c>
      <c r="U3" s="54">
        <v>0</v>
      </c>
      <c r="V3" s="54">
        <v>164</v>
      </c>
      <c r="W3" s="99">
        <f>TRUNC(S3*参数调整!$I$30)+TRUNC(T3*参数调整!$H$30)+TRUNC(U3*参数调整!$G$30)+TRUNC(V3*参数调整!$F$30)+Q3</f>
        <v>149</v>
      </c>
      <c r="X3" s="99">
        <f>ROUNDUP(SUM(R65:X65),0)</f>
        <v>144</v>
      </c>
      <c r="Y3" s="54">
        <v>14080</v>
      </c>
      <c r="Z3" s="89">
        <f>Y3+第二季度!X3*0.53653684*0.46055126+第三季度!Y3*0.53653684</f>
        <v>23201.8653031715</v>
      </c>
      <c r="AA3" s="89">
        <f>IF(J3="S",Z3*参数调整!$H$11/($X$29*$J$18),IF(J3="B",Z3*参数调整!$H$12/($X$30*$J$18),IF(J3="Q",Z3*参数调整!$H$13/($X$31*$J$18),Z3*参数调整!$H$14/($X$32*$J$18))))</f>
        <v>1.06848346573358</v>
      </c>
      <c r="AB3" s="43">
        <f>SUMIF(J3:J14,"S",Z3:Z14)</f>
        <v>23201.8653031715</v>
      </c>
      <c r="AD3" s="31" t="s">
        <v>215</v>
      </c>
      <c r="AE3" s="31"/>
      <c r="AF3" s="31"/>
      <c r="AG3" s="54">
        <v>102400.57</v>
      </c>
      <c r="AI3" s="73"/>
      <c r="AJ3" s="109"/>
      <c r="AK3" s="142"/>
      <c r="AL3" s="73"/>
      <c r="AM3" s="109"/>
      <c r="AN3" s="54"/>
      <c r="AO3" s="130"/>
      <c r="AP3" s="130"/>
    </row>
    <row r="4" ht="27" customHeight="1" spans="1:42">
      <c r="A4" s="75" t="s">
        <v>216</v>
      </c>
      <c r="B4" s="76">
        <f>SUMIF($L$3:$L$14,2,$S$3:$S$14)+SUMIF($L$3:$L$14,2,$T$3:$T$14)+SUMIF($L$3:$L$14,2,$U$3:$U$14)+SUMIF($L$3:$L$14,2,$V$3:$V$14)</f>
        <v>180</v>
      </c>
      <c r="C4" s="77">
        <f>参数调整!E46</f>
        <v>78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77">
        <f>参数调整!I46</f>
        <v>1</v>
      </c>
      <c r="F4" s="69">
        <f>D4*G4*(参数调整!$B$6+1)</f>
        <v>16426.8</v>
      </c>
      <c r="G4" s="78">
        <f t="shared" si="0"/>
        <v>180</v>
      </c>
      <c r="H4" s="29"/>
      <c r="J4" s="54" t="str">
        <f>第一季度!J4</f>
        <v>S</v>
      </c>
      <c r="K4" s="54">
        <f>第一季度!K4</f>
        <v>3333</v>
      </c>
      <c r="L4" s="43" t="str">
        <f>LEFT(K4,1)</f>
        <v>3</v>
      </c>
      <c r="M4" s="43" t="str">
        <f>MID(K4,2,1)</f>
        <v>3</v>
      </c>
      <c r="N4" s="43" t="str">
        <f>MID(K4,3,1)</f>
        <v>3</v>
      </c>
      <c r="O4" s="43" t="str">
        <f>MID(K4,4,1)</f>
        <v>3</v>
      </c>
      <c r="P4" s="43" t="str">
        <f t="shared" ref="P4:P14" si="1">MID(K4,5,1)</f>
        <v/>
      </c>
      <c r="Q4" s="54">
        <v>4</v>
      </c>
      <c r="R4" s="54"/>
      <c r="S4" s="54">
        <v>0</v>
      </c>
      <c r="T4" s="54">
        <v>0</v>
      </c>
      <c r="U4" s="54">
        <v>0</v>
      </c>
      <c r="V4" s="54">
        <v>201</v>
      </c>
      <c r="W4" s="99">
        <f>TRUNC(S4*参数调整!$I$30)+TRUNC(T4*参数调整!$H$30)+TRUNC(U4*参数调整!$G$30)+TRUNC(V4*参数调整!$F$30)+Q4</f>
        <v>184</v>
      </c>
      <c r="X4" s="99">
        <f t="shared" ref="X4:X14" si="2">ROUNDUP(SUM(R66:X66),0)</f>
        <v>178</v>
      </c>
      <c r="Y4" s="54"/>
      <c r="Z4" s="89">
        <f>Y4+第二季度!X4*0.53653684*0.46055126+第三季度!Y4*0.53653684</f>
        <v>0</v>
      </c>
      <c r="AA4" s="89">
        <f>IF(J4="S",Z4*参数调整!$H$11/($X$29*$J$18),IF(J4="B",Z4*参数调整!$H$12/($X$30*$J$18),IF(J4="Q",Z4*参数调整!$H$13/($X$31*$J$18),Z4*参数调整!$H$14/($X$32*$J$18))))</f>
        <v>0</v>
      </c>
      <c r="AB4" s="43">
        <f>SUMIF(J4:J15,"B",Z3:Z14)</f>
        <v>29731.4462187113</v>
      </c>
      <c r="AD4" s="31" t="s">
        <v>266</v>
      </c>
      <c r="AE4" s="31"/>
      <c r="AF4" s="31"/>
      <c r="AG4" s="54">
        <v>34216.06</v>
      </c>
      <c r="AI4" s="110" t="s">
        <v>326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</row>
    <row r="5" ht="25.95" spans="1:42">
      <c r="A5" s="75" t="s">
        <v>154</v>
      </c>
      <c r="B5" s="79">
        <f>SUMIF($L$3:$L$14,3,$S$3:$S$14)+SUMIF($L$3:$L$14,3,$T$3:$T$14)+SUMIF($L$3:$L$14,3,$U$3:$U$14)+SUMIF($L$3:$L$14,3,$V$3:$V$14)</f>
        <v>201</v>
      </c>
      <c r="C5" s="77">
        <f>参数调整!E47</f>
        <v>112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77">
        <f>参数调整!I47</f>
        <v>1</v>
      </c>
      <c r="F5" s="69">
        <f>D5*G5*(参数调整!$B$6+1)</f>
        <v>0</v>
      </c>
      <c r="G5" s="78">
        <f t="shared" si="0"/>
        <v>0</v>
      </c>
      <c r="H5" s="38"/>
      <c r="J5" s="54" t="str">
        <f>第一季度!J5</f>
        <v>B</v>
      </c>
      <c r="K5" s="54">
        <f>第一季度!K5</f>
        <v>1111</v>
      </c>
      <c r="L5" s="43" t="str">
        <f>LEFT(K5,1)</f>
        <v>1</v>
      </c>
      <c r="M5" s="43" t="str">
        <f>MID(K5,2,1)</f>
        <v>1</v>
      </c>
      <c r="N5" s="43" t="str">
        <f>MID(K5,3,1)</f>
        <v>1</v>
      </c>
      <c r="O5" s="43" t="str">
        <f>MID(K5,4,1)</f>
        <v>1</v>
      </c>
      <c r="P5" s="43" t="str">
        <f t="shared" si="1"/>
        <v/>
      </c>
      <c r="Q5" s="54">
        <v>6</v>
      </c>
      <c r="R5" s="54"/>
      <c r="S5" s="54">
        <v>0</v>
      </c>
      <c r="T5" s="54">
        <v>0</v>
      </c>
      <c r="U5" s="54">
        <v>0</v>
      </c>
      <c r="V5" s="54">
        <v>140</v>
      </c>
      <c r="W5" s="99">
        <f>TRUNC(S5*参数调整!$I$30)+TRUNC(T5*参数调整!$H$30)+TRUNC(U5*参数调整!$G$30)+TRUNC(V5*参数调整!$F$30)+Q5</f>
        <v>132</v>
      </c>
      <c r="X5" s="99">
        <f t="shared" si="2"/>
        <v>125</v>
      </c>
      <c r="Y5" s="54"/>
      <c r="Z5" s="89">
        <f>Y5+第二季度!X5*0.53653684*0.46055126+第三季度!Y5*0.53653684</f>
        <v>10851.4462187113</v>
      </c>
      <c r="AA5" s="89">
        <f>IF(J5="S",Z5*参数调整!$H$11/($X$29*$J$18),IF(J5="B",Z5*参数调整!$H$12/($X$30*$J$18),IF(J5="Q",Z5*参数调整!$H$13/($X$31*$J$18),Z5*参数调整!$H$14/($X$32*$J$18))))</f>
        <v>0.540663064800163</v>
      </c>
      <c r="AB5" s="43">
        <f>SUMIF(J3:J14,"Q",Z3:Z14)</f>
        <v>7943.89659183139</v>
      </c>
      <c r="AD5" s="31" t="s">
        <v>217</v>
      </c>
      <c r="AE5" s="31" t="s">
        <v>218</v>
      </c>
      <c r="AF5" s="54">
        <v>0</v>
      </c>
      <c r="AG5" s="89">
        <f>AF5*参数调整!$J$23</f>
        <v>0</v>
      </c>
      <c r="AI5" s="111"/>
      <c r="AJ5" s="70" t="s">
        <v>225</v>
      </c>
      <c r="AK5" s="70" t="s">
        <v>226</v>
      </c>
      <c r="AL5" s="31" t="s">
        <v>101</v>
      </c>
      <c r="AM5" s="43">
        <f>SUM(S3:S14)</f>
        <v>530</v>
      </c>
      <c r="AN5" s="31">
        <f>AM5*参数调整!$I$32</f>
        <v>15900</v>
      </c>
      <c r="AO5" s="131">
        <f>AN2+AO36*(1-参数调整!B23)+AP36*(1-参数调整!B24)</f>
        <v>324388.64</v>
      </c>
      <c r="AP5" s="131"/>
    </row>
    <row r="6" ht="14.4" customHeight="1" spans="1:42">
      <c r="A6" s="75" t="s">
        <v>155</v>
      </c>
      <c r="B6" s="80">
        <f>SUMIF($M$3:$M$14,1,$S$3:$S$14)+SUMIF($M$3:$M$14,1,$T$3:$T$14)+SUMIF($M$3:$M$14,1,$U$3:$U$14)+SUMIF($M$3:$M$14,1,$V$3:$V$14)</f>
        <v>749</v>
      </c>
      <c r="C6" s="77">
        <f>参数调整!E48</f>
        <v>12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10.8</v>
      </c>
      <c r="E6" s="77">
        <f>参数调整!I48</f>
        <v>0</v>
      </c>
      <c r="F6" s="69">
        <f>D6*G6*(参数调整!$B$6+1)</f>
        <v>9464.364</v>
      </c>
      <c r="G6" s="81">
        <f t="shared" si="0"/>
        <v>749</v>
      </c>
      <c r="H6" s="29"/>
      <c r="J6" s="54" t="str">
        <f>第一季度!J6</f>
        <v>B</v>
      </c>
      <c r="K6" s="54">
        <f>第一季度!K6</f>
        <v>1331</v>
      </c>
      <c r="L6" s="43" t="str">
        <f>LEFT(K6,1)</f>
        <v>1</v>
      </c>
      <c r="M6" s="43" t="str">
        <f>MID(K6,2,1)</f>
        <v>3</v>
      </c>
      <c r="N6" s="43" t="str">
        <f>MID(K6,3,1)</f>
        <v>3</v>
      </c>
      <c r="O6" s="43" t="str">
        <f>MID(K6,4,1)</f>
        <v>1</v>
      </c>
      <c r="P6" s="43" t="str">
        <f t="shared" si="1"/>
        <v/>
      </c>
      <c r="Q6" s="54"/>
      <c r="R6" s="54"/>
      <c r="S6" s="54">
        <v>0</v>
      </c>
      <c r="T6" s="54">
        <v>0</v>
      </c>
      <c r="U6" s="54">
        <v>0</v>
      </c>
      <c r="V6" s="54">
        <v>230</v>
      </c>
      <c r="W6" s="99">
        <f>TRUNC(S6*参数调整!$I$30)+TRUNC(T6*参数调整!$H$30)+TRUNC(U6*参数调整!$G$30)+TRUNC(V6*参数调整!$F$30)+Q6</f>
        <v>207</v>
      </c>
      <c r="X6" s="99">
        <f t="shared" si="2"/>
        <v>205</v>
      </c>
      <c r="Y6" s="54">
        <v>18880</v>
      </c>
      <c r="Z6" s="89">
        <f>Y6+第二季度!X6*0.53653684*0.46055126+第三季度!Y6*0.53653684</f>
        <v>18880</v>
      </c>
      <c r="AA6" s="89">
        <f>IF(J6="S",Z6*参数调整!$H$11/($X$29*$J$18),IF(J6="B",Z6*参数调整!$H$12/($X$30*$J$18),IF(J6="Q",Z6*参数调整!$H$13/($X$31*$J$18),Z6*参数调整!$H$14/($X$32*$J$18))))</f>
        <v>0.9406781785294</v>
      </c>
      <c r="AB6" s="43">
        <f>SUMIF(J3:J14,"L",Z3:Z14)</f>
        <v>8000</v>
      </c>
      <c r="AD6" s="31"/>
      <c r="AE6" s="31" t="s">
        <v>224</v>
      </c>
      <c r="AF6" s="54">
        <v>0</v>
      </c>
      <c r="AG6" s="89">
        <f>AF6*参数调整!$H$23</f>
        <v>0</v>
      </c>
      <c r="AI6" s="111"/>
      <c r="AJ6" s="112"/>
      <c r="AK6" s="112"/>
      <c r="AL6" s="31" t="s">
        <v>98</v>
      </c>
      <c r="AM6" s="43">
        <f>SUM(V3:V14)</f>
        <v>900</v>
      </c>
      <c r="AN6" s="31">
        <f>AM6*参数调整!$F$32</f>
        <v>9000</v>
      </c>
      <c r="AO6" s="131"/>
      <c r="AP6" s="131"/>
    </row>
    <row r="7" ht="14.4" customHeight="1" spans="1:42">
      <c r="A7" s="75" t="s">
        <v>156</v>
      </c>
      <c r="B7" s="80">
        <f>SUMIF($M$3:$M$14,2,$S$3:$S$14)+SUMIF($M$3:$M$14,2,$T$3:$T$14)+SUMIF($M$3:$M$14,2,$U$3:$U$14)+SUMIF($M$3:$M$14,2,$V$3:$V$14)</f>
        <v>250</v>
      </c>
      <c r="C7" s="77">
        <f>参数调整!E49</f>
        <v>25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23.75</v>
      </c>
      <c r="E7" s="77">
        <f>参数调整!I49</f>
        <v>1</v>
      </c>
      <c r="F7" s="69">
        <f>D7*G7*(参数调整!$B$6+1)</f>
        <v>6946.875</v>
      </c>
      <c r="G7" s="81">
        <f t="shared" si="0"/>
        <v>250</v>
      </c>
      <c r="H7" s="29"/>
      <c r="J7" s="54" t="str">
        <f>第一季度!J7</f>
        <v>B</v>
      </c>
      <c r="K7" s="54">
        <f>第一季度!K7</f>
        <v>1121</v>
      </c>
      <c r="L7" s="43" t="str">
        <f t="shared" ref="L7:L14" si="3">LEFT(K7,1)</f>
        <v>1</v>
      </c>
      <c r="M7" s="43" t="str">
        <f t="shared" ref="M7:M14" si="4">MID(K7,2,1)</f>
        <v>1</v>
      </c>
      <c r="N7" s="43" t="str">
        <f t="shared" ref="N7:N14" si="5">MID(K7,3,1)</f>
        <v>2</v>
      </c>
      <c r="O7" s="43" t="str">
        <f t="shared" ref="O7:O14" si="6">MID(K7,4,1)</f>
        <v>1</v>
      </c>
      <c r="P7" s="43" t="str">
        <f t="shared" si="1"/>
        <v/>
      </c>
      <c r="Q7" s="54"/>
      <c r="R7" s="54"/>
      <c r="S7" s="54">
        <v>0</v>
      </c>
      <c r="T7" s="54">
        <v>0</v>
      </c>
      <c r="U7" s="54">
        <v>0</v>
      </c>
      <c r="V7" s="54">
        <v>80</v>
      </c>
      <c r="W7" s="99">
        <f>TRUNC(S7*参数调整!$I$30)+TRUNC(T7*参数调整!$H$30)+TRUNC(U7*参数调整!$G$30)+TRUNC(V7*参数调整!$F$30)+Q7</f>
        <v>72</v>
      </c>
      <c r="X7" s="99">
        <f t="shared" si="2"/>
        <v>71</v>
      </c>
      <c r="Y7" s="54"/>
      <c r="Z7" s="89">
        <f>Y7+第二季度!X7*0.53653684*0.46055126+第三季度!Y7*0.53653684</f>
        <v>0</v>
      </c>
      <c r="AA7" s="89">
        <f>IF(J7="S",Z7*参数调整!$H$11/($X$29*$J$18),IF(J7="B",Z7*参数调整!$H$12/($X$30*$J$18),IF(J7="Q",Z7*参数调整!$H$13/($X$31*$J$18),Z7*参数调整!$H$14/($X$32*$J$18))))</f>
        <v>0</v>
      </c>
      <c r="AD7" s="31"/>
      <c r="AE7" s="31" t="s">
        <v>227</v>
      </c>
      <c r="AF7" s="54">
        <v>0</v>
      </c>
      <c r="AG7" s="89">
        <f>AF7*参数调整!$F$23</f>
        <v>0</v>
      </c>
      <c r="AI7" s="111"/>
      <c r="AJ7" s="112"/>
      <c r="AK7" s="112"/>
      <c r="AL7" s="31" t="s">
        <v>100</v>
      </c>
      <c r="AM7" s="43">
        <f>SUM(T3:T14)</f>
        <v>0</v>
      </c>
      <c r="AN7" s="31">
        <f>AM7*参数调整!H32</f>
        <v>0</v>
      </c>
      <c r="AO7" s="48"/>
      <c r="AP7" s="48"/>
    </row>
    <row r="8" ht="14.4" customHeight="1" spans="1:42">
      <c r="A8" s="75" t="s">
        <v>157</v>
      </c>
      <c r="B8" s="80">
        <f>SUMIF($M$3:$M$14,3,$S$3:$S$14)+SUMIF($M$3:$M$14,3,$T$3:$T$14)+SUMIF($M$3:$M$14,3,$U$3:$U$14)+SUMIF($M$3:$M$14,3,$V$3:$V$14)</f>
        <v>431</v>
      </c>
      <c r="C8" s="77">
        <f>参数调整!E50</f>
        <v>37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35.15</v>
      </c>
      <c r="E8" s="77">
        <f>参数调整!I50</f>
        <v>1</v>
      </c>
      <c r="F8" s="69">
        <f>D8*G8*(参数调整!$B$6+1)</f>
        <v>17725.0905</v>
      </c>
      <c r="G8" s="81">
        <f t="shared" si="0"/>
        <v>431</v>
      </c>
      <c r="H8" s="29"/>
      <c r="J8" s="54" t="str">
        <f>第一季度!J8</f>
        <v>Q</v>
      </c>
      <c r="K8" s="54">
        <f>第一季度!K8</f>
        <v>212</v>
      </c>
      <c r="L8" s="43" t="str">
        <f t="shared" si="3"/>
        <v>2</v>
      </c>
      <c r="M8" s="43" t="str">
        <f t="shared" si="4"/>
        <v>1</v>
      </c>
      <c r="N8" s="43" t="str">
        <f t="shared" si="5"/>
        <v>2</v>
      </c>
      <c r="O8" s="43" t="str">
        <f t="shared" si="6"/>
        <v/>
      </c>
      <c r="P8" s="43" t="str">
        <f t="shared" si="1"/>
        <v/>
      </c>
      <c r="Q8" s="54"/>
      <c r="R8" s="54"/>
      <c r="S8" s="54">
        <v>180</v>
      </c>
      <c r="T8" s="54">
        <v>0</v>
      </c>
      <c r="U8" s="54">
        <v>0</v>
      </c>
      <c r="V8" s="54">
        <v>0</v>
      </c>
      <c r="W8" s="99">
        <f>TRUNC(S8*参数调整!$I$30)+TRUNC(T8*参数调整!$H$30)+TRUNC(U8*参数调整!$G$30)+TRUNC(V8*参数调整!$F$30)+Q8</f>
        <v>135</v>
      </c>
      <c r="X8" s="99">
        <f t="shared" si="2"/>
        <v>131</v>
      </c>
      <c r="Y8" s="54"/>
      <c r="Z8" s="89">
        <f>Y8+第二季度!X8*0.53653684*0.46055126+第三季度!Y8*0.53653684</f>
        <v>1735.89659183139</v>
      </c>
      <c r="AA8" s="89">
        <f>IF(J8="S",Z8*参数调整!$H$11/($X$29*$J$18),IF(J8="B",Z8*参数调整!$H$12/($X$30*$J$18),IF(J8="Q",Z8*参数调整!$H$13/($X$31*$J$18),Z8*参数调整!$H$14/($X$32*$J$18))))</f>
        <v>0.0976878632164854</v>
      </c>
      <c r="AD8" s="31" t="s">
        <v>228</v>
      </c>
      <c r="AE8" s="31" t="s">
        <v>229</v>
      </c>
      <c r="AF8" s="54">
        <v>1</v>
      </c>
      <c r="AG8" s="100">
        <v>0</v>
      </c>
      <c r="AI8" s="111"/>
      <c r="AJ8" s="112"/>
      <c r="AK8" s="113"/>
      <c r="AL8" s="31" t="s">
        <v>99</v>
      </c>
      <c r="AM8" s="43">
        <f>SUM(U3:U14)</f>
        <v>0</v>
      </c>
      <c r="AN8" s="31">
        <f>AM8*参数调整!G32</f>
        <v>0</v>
      </c>
      <c r="AO8" s="48"/>
      <c r="AP8" s="48"/>
    </row>
    <row r="9" ht="14.4" customHeight="1" spans="1:42">
      <c r="A9" s="75" t="s">
        <v>158</v>
      </c>
      <c r="B9" s="82">
        <f>SUMIF($N$3:$N$14,1,$S$3:$S$14)+SUMIF($N$3:$N$14,1,$T$3:$T$14)+SUMIF($N$3:$N$14,1,$U$3:$U$14)+SUMIF($N$3:$N$14,1,$V$3:$V$14)</f>
        <v>390</v>
      </c>
      <c r="C9" s="77">
        <f>参数调整!E51</f>
        <v>50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47.5</v>
      </c>
      <c r="E9" s="77">
        <f>参数调整!I51</f>
        <v>0</v>
      </c>
      <c r="F9" s="69">
        <f>D9*G9*(参数调整!$B$6+1)</f>
        <v>21674.25</v>
      </c>
      <c r="G9" s="83">
        <f t="shared" si="0"/>
        <v>390</v>
      </c>
      <c r="H9" s="29"/>
      <c r="J9" s="54" t="str">
        <f>第一季度!J9</f>
        <v>Q</v>
      </c>
      <c r="K9" s="54">
        <f>第一季度!K9</f>
        <v>1121</v>
      </c>
      <c r="L9" s="43" t="str">
        <f t="shared" si="3"/>
        <v>1</v>
      </c>
      <c r="M9" s="43" t="str">
        <f t="shared" si="4"/>
        <v>1</v>
      </c>
      <c r="N9" s="43" t="str">
        <f t="shared" si="5"/>
        <v>2</v>
      </c>
      <c r="O9" s="43" t="str">
        <f t="shared" si="6"/>
        <v>1</v>
      </c>
      <c r="P9" s="43" t="str">
        <f t="shared" si="1"/>
        <v/>
      </c>
      <c r="Q9" s="54"/>
      <c r="R9" s="54"/>
      <c r="S9" s="54">
        <v>170</v>
      </c>
      <c r="T9" s="54">
        <v>0</v>
      </c>
      <c r="U9" s="54">
        <v>0</v>
      </c>
      <c r="V9" s="54">
        <v>15</v>
      </c>
      <c r="W9" s="99">
        <f>TRUNC(S9*参数调整!$I$30)+TRUNC(T9*参数调整!$H$30)+TRUNC(U9*参数调整!$G$30)+TRUNC(V9*参数调整!$F$30)+Q9</f>
        <v>140</v>
      </c>
      <c r="X9" s="99">
        <f t="shared" si="2"/>
        <v>137</v>
      </c>
      <c r="Y9" s="54">
        <v>6208</v>
      </c>
      <c r="Z9" s="89">
        <f>Y9+第二季度!X9*0.53653684*0.46055126+第三季度!Y9*0.53653684</f>
        <v>6208</v>
      </c>
      <c r="AA9" s="89">
        <f>IF(J9="S",Z9*参数调整!$H$11/($X$29*$J$18),IF(J9="B",Z9*参数调整!$H$12/($X$30*$J$18),IF(J9="Q",Z9*参数调整!$H$13/($X$31*$J$18),Z9*参数调整!$H$14/($X$32*$J$18))))</f>
        <v>0.349356210330555</v>
      </c>
      <c r="AD9" s="31"/>
      <c r="AE9" s="31" t="s">
        <v>230</v>
      </c>
      <c r="AF9" s="54">
        <v>1</v>
      </c>
      <c r="AG9" s="101"/>
      <c r="AI9" s="111"/>
      <c r="AJ9" s="112"/>
      <c r="AK9" s="70" t="s">
        <v>232</v>
      </c>
      <c r="AL9" s="31" t="s">
        <v>77</v>
      </c>
      <c r="AM9" s="43">
        <f>AF8</f>
        <v>1</v>
      </c>
      <c r="AN9" s="31">
        <f>AM9*参数调整!$J$24</f>
        <v>5000</v>
      </c>
      <c r="AO9" s="48"/>
      <c r="AP9" s="48"/>
    </row>
    <row r="10" ht="14.4" customHeight="1" spans="1:42">
      <c r="A10" s="75" t="s">
        <v>159</v>
      </c>
      <c r="B10" s="82">
        <f>SUMIF($N$3:$N$14,2,$S$3:$S$14)+SUMIF($N$3:$N$14,2,$T$3:$T$14)+SUMIF($N$3:$N$14,2,$U$3:$U$14)+SUMIF($N$3:$N$14,2,$V$3:$V$14)</f>
        <v>445</v>
      </c>
      <c r="C10" s="77">
        <f>参数调整!E52</f>
        <v>72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68.4</v>
      </c>
      <c r="E10" s="77">
        <f>参数调整!I52</f>
        <v>1</v>
      </c>
      <c r="F10" s="69">
        <f>D10*G10*(参数调整!$B$6+1)</f>
        <v>35612.46</v>
      </c>
      <c r="G10" s="83">
        <f t="shared" si="0"/>
        <v>445</v>
      </c>
      <c r="H10" s="29"/>
      <c r="J10" s="54" t="str">
        <f>第一季度!J10</f>
        <v>L</v>
      </c>
      <c r="K10" s="54">
        <f>第一季度!K10</f>
        <v>121</v>
      </c>
      <c r="L10" s="43" t="str">
        <f t="shared" si="3"/>
        <v>1</v>
      </c>
      <c r="M10" s="43" t="str">
        <f t="shared" si="4"/>
        <v>2</v>
      </c>
      <c r="N10" s="43" t="str">
        <f t="shared" si="5"/>
        <v>1</v>
      </c>
      <c r="O10" s="43" t="str">
        <f t="shared" si="6"/>
        <v/>
      </c>
      <c r="P10" s="43" t="str">
        <f t="shared" si="1"/>
        <v/>
      </c>
      <c r="Q10" s="54">
        <v>112</v>
      </c>
      <c r="R10" s="54">
        <v>0</v>
      </c>
      <c r="S10" s="54">
        <v>180</v>
      </c>
      <c r="T10" s="54">
        <v>0</v>
      </c>
      <c r="U10" s="54">
        <v>0</v>
      </c>
      <c r="V10" s="54">
        <v>70</v>
      </c>
      <c r="W10" s="99">
        <f>TRUNC(S10*参数调整!$I$30)+TRUNC(T10*参数调整!$H$30)+TRUNC(U10*参数调整!$G$30)+TRUNC(V10*参数调整!$F$30)+Q10</f>
        <v>310</v>
      </c>
      <c r="X10" s="99">
        <f t="shared" si="2"/>
        <v>295</v>
      </c>
      <c r="Y10" s="54">
        <v>8000</v>
      </c>
      <c r="Z10" s="89">
        <f>Y10+第二季度!X10*0.53653684*0.46055126+第三季度!Y10*0.53653684</f>
        <v>8000</v>
      </c>
      <c r="AA10" s="89">
        <f>IF(J10="S",Z10*参数调整!$H$11/($X$29*$J$18),IF(J10="B",Z10*参数调整!$H$12/($X$30*$J$18),IF(J10="Q",Z10*参数调整!$H$13/($X$31*$J$18),Z10*参数调整!$H$14/($X$32*$J$18))))</f>
        <v>1.05711431606989</v>
      </c>
      <c r="AB10" s="137" t="s">
        <v>233</v>
      </c>
      <c r="AD10" s="31"/>
      <c r="AE10" s="31" t="s">
        <v>231</v>
      </c>
      <c r="AF10" s="54">
        <v>0</v>
      </c>
      <c r="AG10" s="102"/>
      <c r="AI10" s="111"/>
      <c r="AJ10" s="112"/>
      <c r="AK10" s="112"/>
      <c r="AL10" s="31" t="s">
        <v>76</v>
      </c>
      <c r="AM10" s="43">
        <f>AF9</f>
        <v>1</v>
      </c>
      <c r="AN10" s="31">
        <f>AM10*参数调整!$H$24</f>
        <v>8000</v>
      </c>
      <c r="AO10" s="48"/>
      <c r="AP10" s="48"/>
    </row>
    <row r="11" ht="14.4" customHeight="1" spans="1:42">
      <c r="A11" s="75" t="s">
        <v>160</v>
      </c>
      <c r="B11" s="82">
        <f>SUMIF($N$3:$N$14,3,$S$3:$S$14)+SUMIF($N$3:$N$14,3,$T$3:$T$14)+SUMIF($N$3:$N$14,3,$U$3:$U$14)+SUMIF($N$3:$N$14,3,$V$3:$V$14)</f>
        <v>595</v>
      </c>
      <c r="C11" s="77">
        <f>参数调整!E53</f>
        <v>118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106.2</v>
      </c>
      <c r="E11" s="77">
        <f>参数调整!I53</f>
        <v>0</v>
      </c>
      <c r="F11" s="69">
        <f>D11*G11*(参数调整!$B$6+1)</f>
        <v>73931.13</v>
      </c>
      <c r="G11" s="83">
        <f t="shared" si="0"/>
        <v>595</v>
      </c>
      <c r="H11" s="29"/>
      <c r="J11" s="54">
        <f>第一季度!J11</f>
        <v>0</v>
      </c>
      <c r="K11" s="54">
        <f>第一季度!K11</f>
        <v>212</v>
      </c>
      <c r="L11" s="43" t="str">
        <f t="shared" si="3"/>
        <v>2</v>
      </c>
      <c r="M11" s="43" t="str">
        <f t="shared" si="4"/>
        <v>1</v>
      </c>
      <c r="N11" s="43" t="str">
        <f t="shared" si="5"/>
        <v>2</v>
      </c>
      <c r="O11" s="43" t="str">
        <f t="shared" si="6"/>
        <v/>
      </c>
      <c r="P11" s="43" t="str">
        <f t="shared" si="1"/>
        <v/>
      </c>
      <c r="Q11" s="54"/>
      <c r="R11" s="54"/>
      <c r="S11" s="54">
        <v>0</v>
      </c>
      <c r="T11" s="54">
        <v>0</v>
      </c>
      <c r="U11" s="54">
        <v>0</v>
      </c>
      <c r="V11" s="54"/>
      <c r="W11" s="99">
        <f>TRUNC(S11*参数调整!$I$30)+TRUNC(T11*参数调整!$H$30)+TRUNC(U11*参数调整!$G$30)+TRUNC(V11*参数调整!$F$30)+Q11</f>
        <v>0</v>
      </c>
      <c r="X11" s="99">
        <f t="shared" si="2"/>
        <v>8</v>
      </c>
      <c r="Y11" s="54">
        <v>0</v>
      </c>
      <c r="Z11" s="89">
        <f>Y11+第二季度!X11*0.53653684*0.46055126+第三季度!Y11*0.53653684</f>
        <v>0</v>
      </c>
      <c r="AA11" s="89">
        <f>IF(J11="S",Z11*参数调整!$H$11/($X$29*$J$18),IF(J11="B",Z11*参数调整!$H$12/($X$30*$J$18),IF(J11="Q",Z11*参数调整!$H$13/($X$31*$J$18),Z11*参数调整!$H$14/($X$32*$J$18))))</f>
        <v>0</v>
      </c>
      <c r="AB11" s="138">
        <f>AG31</f>
        <v>0.297999999980675</v>
      </c>
      <c r="AD11" s="31" t="s">
        <v>234</v>
      </c>
      <c r="AE11" s="31" t="s">
        <v>101</v>
      </c>
      <c r="AF11" s="54">
        <v>3</v>
      </c>
      <c r="AG11" s="89">
        <f>AF11*参数调整!$I$29</f>
        <v>150000</v>
      </c>
      <c r="AI11" s="111"/>
      <c r="AJ11" s="112"/>
      <c r="AK11" s="113"/>
      <c r="AL11" s="31" t="s">
        <v>75</v>
      </c>
      <c r="AM11" s="43">
        <f>AF10</f>
        <v>0</v>
      </c>
      <c r="AN11" s="31">
        <f>AM11*参数调整!$F$24</f>
        <v>0</v>
      </c>
      <c r="AO11" s="48"/>
      <c r="AP11" s="48"/>
    </row>
    <row r="12" ht="14.4" customHeight="1" spans="1:42">
      <c r="A12" s="75" t="s">
        <v>161</v>
      </c>
      <c r="B12" s="82">
        <f>SUMIF($N$3:$N$14,4,$S$3:$S$14)+SUMIF($N$3:$N$14,4,$T$3:$T$14)+SUMIF($N$3:$N$14,4,$U$3:$U$14)+SUMIF($N$3:$N$14,4,$V$3:$V$14)</f>
        <v>0</v>
      </c>
      <c r="C12" s="77">
        <f>参数调整!E54</f>
        <v>150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77">
        <f>参数调整!I54</f>
        <v>1</v>
      </c>
      <c r="F12" s="69">
        <f>D12*G12*(参数调整!$B$6+1)</f>
        <v>0</v>
      </c>
      <c r="G12" s="83">
        <f t="shared" si="0"/>
        <v>0</v>
      </c>
      <c r="H12" s="29"/>
      <c r="J12" s="54">
        <f>第一季度!J12</f>
        <v>0</v>
      </c>
      <c r="K12" s="54">
        <f>第一季度!K12</f>
        <v>1121</v>
      </c>
      <c r="L12" s="43" t="str">
        <f t="shared" si="3"/>
        <v>1</v>
      </c>
      <c r="M12" s="43" t="str">
        <f t="shared" si="4"/>
        <v>1</v>
      </c>
      <c r="N12" s="43" t="str">
        <f t="shared" si="5"/>
        <v>2</v>
      </c>
      <c r="O12" s="43" t="str">
        <f t="shared" si="6"/>
        <v>1</v>
      </c>
      <c r="P12" s="43" t="str">
        <f t="shared" si="1"/>
        <v/>
      </c>
      <c r="Q12" s="54"/>
      <c r="R12" s="54"/>
      <c r="S12" s="54">
        <v>0</v>
      </c>
      <c r="T12" s="54">
        <v>0</v>
      </c>
      <c r="U12" s="54">
        <v>0</v>
      </c>
      <c r="V12" s="54"/>
      <c r="W12" s="99">
        <f>TRUNC(S12*参数调整!$I$30)+TRUNC(T12*参数调整!$H$30)+TRUNC(U12*参数调整!$G$30)+TRUNC(V12*参数调整!$F$30)+Q12</f>
        <v>0</v>
      </c>
      <c r="X12" s="99">
        <f t="shared" si="2"/>
        <v>8</v>
      </c>
      <c r="Y12" s="54">
        <v>0</v>
      </c>
      <c r="Z12" s="89">
        <f>Y12+第二季度!X12*0.53653684*0.46055126+第三季度!Y12*0.53653684</f>
        <v>0</v>
      </c>
      <c r="AA12" s="89">
        <f>IF(J12="S",Z12*参数调整!$H$11/($X$29*$J$18),IF(J12="B",Z12*参数调整!$H$12/($X$30*$J$18),IF(J12="Q",Z12*参数调整!$H$13/($X$31*$J$18),Z12*参数调整!$H$14/($X$32*$J$18))))</f>
        <v>0</v>
      </c>
      <c r="AD12" s="31"/>
      <c r="AE12" s="31" t="s">
        <v>100</v>
      </c>
      <c r="AF12" s="54">
        <v>0</v>
      </c>
      <c r="AG12" s="89">
        <f>AF12*参数调整!$H$29</f>
        <v>0</v>
      </c>
      <c r="AI12" s="111"/>
      <c r="AJ12" s="112"/>
      <c r="AK12" s="114" t="s">
        <v>236</v>
      </c>
      <c r="AL12" s="115"/>
      <c r="AM12" s="43">
        <f>AM18</f>
        <v>16</v>
      </c>
      <c r="AN12" s="31">
        <f>AM12*参数调整!$J$18*(1+参数调整!$B$12+参数调整!$B$13+参数调整!$B$14+参数调整!$B$15+参数调整!$B$16)</f>
        <v>77529.6</v>
      </c>
      <c r="AO12" s="48"/>
      <c r="AP12" s="48"/>
    </row>
    <row r="13" ht="14.4" customHeight="1" spans="1:42">
      <c r="A13" s="75" t="s">
        <v>162</v>
      </c>
      <c r="B13" s="84">
        <f>SUMIF($O$3:$O$14,1,$S$3:$S$14)+SUMIF($O$3:$O$14,1,$T$3:$T$14)+SUMIF($O$3:$O$14,1,$U$3:$U$14)+SUMIF($O$3:$O$14,1,$V$3:$V$14)+SUMIF($P$3:$P$14,1,$S$3:$S$14)+SUMIF($P$3:$P$14,1,$T$3:$T$14)+SUMIF($P$3:$P$14,1,$U$3:$U$14)+SUMIF($P$3:$P$14,1,$V$3:$V$14)</f>
        <v>635</v>
      </c>
      <c r="C13" s="77">
        <f>参数调整!E55</f>
        <v>44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77">
        <f>参数调整!I55</f>
        <v>1</v>
      </c>
      <c r="F13" s="69">
        <f>D13*G13*(参数调整!$B$6+1)</f>
        <v>5353.92</v>
      </c>
      <c r="G13" s="85">
        <f t="shared" si="0"/>
        <v>104</v>
      </c>
      <c r="H13" s="38"/>
      <c r="J13" s="54">
        <f>第一季度!J13</f>
        <v>0</v>
      </c>
      <c r="K13" s="54">
        <f>第一季度!K13</f>
        <v>121</v>
      </c>
      <c r="L13" s="43" t="str">
        <f t="shared" si="3"/>
        <v>1</v>
      </c>
      <c r="M13" s="43" t="str">
        <f t="shared" si="4"/>
        <v>2</v>
      </c>
      <c r="N13" s="43" t="str">
        <f t="shared" si="5"/>
        <v>1</v>
      </c>
      <c r="O13" s="43" t="str">
        <f t="shared" si="6"/>
        <v/>
      </c>
      <c r="P13" s="43" t="str">
        <f t="shared" si="1"/>
        <v/>
      </c>
      <c r="Q13" s="54"/>
      <c r="R13" s="54"/>
      <c r="S13" s="54"/>
      <c r="T13" s="54">
        <v>0</v>
      </c>
      <c r="U13" s="54">
        <v>0</v>
      </c>
      <c r="V13" s="54"/>
      <c r="W13" s="99">
        <f>TRUNC(S13*参数调整!$I$30)+TRUNC(T13*参数调整!$H$30)+TRUNC(U13*参数调整!$G$30)+TRUNC(V13*参数调整!$F$30)+Q13</f>
        <v>0</v>
      </c>
      <c r="X13" s="99">
        <f t="shared" si="2"/>
        <v>8</v>
      </c>
      <c r="Y13" s="54"/>
      <c r="Z13" s="89">
        <f>Y13+第二季度!X13*0.53653684*0.46055126+第三季度!Y13*0.53653684</f>
        <v>0</v>
      </c>
      <c r="AA13" s="89">
        <f>IF(J13="S",Z13*参数调整!$H$11/($X$29*$J$18),IF(J13="B",Z13*参数调整!$H$12/($X$30*$J$18),IF(J13="Q",Z13*参数调整!$H$13/($X$31*$J$18),Z13*参数调整!$H$14/($X$32*$J$18))))</f>
        <v>0</v>
      </c>
      <c r="AD13" s="31"/>
      <c r="AE13" s="31" t="s">
        <v>235</v>
      </c>
      <c r="AF13" s="54">
        <v>0</v>
      </c>
      <c r="AG13" s="89">
        <f>AF13*参数调整!$G$29</f>
        <v>0</v>
      </c>
      <c r="AI13" s="111"/>
      <c r="AJ13" s="112"/>
      <c r="AK13" s="70" t="s">
        <v>237</v>
      </c>
      <c r="AL13" s="31" t="s">
        <v>101</v>
      </c>
      <c r="AM13" s="54">
        <v>3</v>
      </c>
      <c r="AN13" s="56">
        <f>AM13*参数调整!$I$33</f>
        <v>4500</v>
      </c>
      <c r="AO13" s="48"/>
      <c r="AP13" s="48"/>
    </row>
    <row r="14" ht="14.4" customHeight="1" spans="1:42">
      <c r="A14" s="75" t="s">
        <v>163</v>
      </c>
      <c r="B14" s="84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77">
        <f>参数调整!E56</f>
        <v>52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77">
        <f>参数调整!I56</f>
        <v>1</v>
      </c>
      <c r="F14" s="69">
        <f>D14*G14*(参数调整!$B$6+1)</f>
        <v>0</v>
      </c>
      <c r="G14" s="85">
        <f t="shared" si="0"/>
        <v>0</v>
      </c>
      <c r="H14" s="38"/>
      <c r="J14" s="54">
        <f>第一季度!J14</f>
        <v>0</v>
      </c>
      <c r="K14" s="54">
        <f>第一季度!K14</f>
        <v>122</v>
      </c>
      <c r="L14" s="43" t="str">
        <f t="shared" si="3"/>
        <v>1</v>
      </c>
      <c r="M14" s="43" t="str">
        <f t="shared" si="4"/>
        <v>2</v>
      </c>
      <c r="N14" s="43" t="str">
        <f t="shared" si="5"/>
        <v>2</v>
      </c>
      <c r="O14" s="43" t="str">
        <f t="shared" si="6"/>
        <v/>
      </c>
      <c r="P14" s="43" t="str">
        <f t="shared" si="1"/>
        <v/>
      </c>
      <c r="Q14" s="54"/>
      <c r="R14" s="54"/>
      <c r="S14" s="54"/>
      <c r="T14" s="54">
        <v>0</v>
      </c>
      <c r="U14" s="54">
        <v>0</v>
      </c>
      <c r="V14" s="54"/>
      <c r="W14" s="99">
        <f>TRUNC(S14*参数调整!$I$30)+TRUNC(T14*参数调整!$H$30)+TRUNC(U14*参数调整!$G$30)+TRUNC(V14*参数调整!$F$30)+Q14</f>
        <v>0</v>
      </c>
      <c r="X14" s="99">
        <f t="shared" si="2"/>
        <v>8</v>
      </c>
      <c r="Y14" s="54">
        <v>0</v>
      </c>
      <c r="Z14" s="89">
        <f>Y14+第二季度!X14*0.53653684*0.46055126+第三季度!Y14*0.53653684</f>
        <v>0</v>
      </c>
      <c r="AA14" s="89">
        <f>IF(J14="S",Z14*参数调整!$H$11/($X$29*$J$18),IF(J14="B",Z14*参数调整!$H$12/($X$30*$J$18),IF(J14="Q",Z14*参数调整!$H$13/($X$31*$J$18),Z14*参数调整!$H$14/($X$32*$J$18))))</f>
        <v>0</v>
      </c>
      <c r="AD14" s="31"/>
      <c r="AE14" s="31" t="s">
        <v>98</v>
      </c>
      <c r="AF14" s="54">
        <v>0</v>
      </c>
      <c r="AG14" s="89">
        <f>AF14*参数调整!$F$29</f>
        <v>0</v>
      </c>
      <c r="AI14" s="111"/>
      <c r="AJ14" s="112"/>
      <c r="AK14" s="112"/>
      <c r="AL14" s="31" t="s">
        <v>98</v>
      </c>
      <c r="AM14" s="54">
        <v>2</v>
      </c>
      <c r="AN14" s="31">
        <f>AM14*参数调整!$F$33</f>
        <v>6000</v>
      </c>
      <c r="AO14" s="48"/>
      <c r="AP14" s="48"/>
    </row>
    <row r="15" ht="14.4" customHeight="1" spans="1:42">
      <c r="A15" s="75" t="s">
        <v>164</v>
      </c>
      <c r="B15" s="84">
        <f>SUMIF($O$3:$O$14,3,$S$3:$S$14)+SUMIF($O$3:$O$14,3,$T$3:$T$14)+SUMIF($O$3:$O$14,3,$U$3:$U$14)+SUMIF($O$3:$O$14,3,$V$3:$V$14)+SUMIF($P$3:$P$14,3,$S$3:$S$14)+SUMIF($P$3:$P$14,3,$T$3:$T$14)+SUMIF($P$3:$P$14,3,$U$3:$U$14)+SUMIF($P$3:$P$14,3,$V$3:$V$14)</f>
        <v>201</v>
      </c>
      <c r="C15" s="77">
        <f>参数调整!E57</f>
        <v>75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77">
        <f>参数调整!I57</f>
        <v>1</v>
      </c>
      <c r="F15" s="69">
        <f>D15*G15*(参数调整!$B$6+1)</f>
        <v>0</v>
      </c>
      <c r="G15" s="85">
        <f t="shared" si="0"/>
        <v>0</v>
      </c>
      <c r="H15" s="38"/>
      <c r="S15" s="43">
        <f>SUM(S3:S14)</f>
        <v>530</v>
      </c>
      <c r="T15" s="43">
        <f t="shared" ref="T15:V15" si="7">SUM(T3:T14)</f>
        <v>0</v>
      </c>
      <c r="U15" s="43">
        <f t="shared" si="7"/>
        <v>0</v>
      </c>
      <c r="V15" s="43">
        <f t="shared" si="7"/>
        <v>900</v>
      </c>
      <c r="AD15" s="31" t="s">
        <v>238</v>
      </c>
      <c r="AE15" s="31"/>
      <c r="AF15" s="54">
        <v>0</v>
      </c>
      <c r="AG15" s="89">
        <f>AF15*参数调整!$B$31</f>
        <v>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ht="14.4" customHeight="1" spans="1:42">
      <c r="A16" s="75" t="s">
        <v>165</v>
      </c>
      <c r="B16" s="84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77">
        <f>参数调整!E58</f>
        <v>85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77">
        <f>参数调整!I58</f>
        <v>1</v>
      </c>
      <c r="F16" s="69">
        <f>D16*G16*(参数调整!$B$6+1)</f>
        <v>0</v>
      </c>
      <c r="G16" s="85">
        <f t="shared" si="0"/>
        <v>0</v>
      </c>
      <c r="H16" s="38"/>
      <c r="AC16" s="89" t="s">
        <v>248</v>
      </c>
      <c r="AD16" s="31" t="s">
        <v>239</v>
      </c>
      <c r="AE16" s="31"/>
      <c r="AF16" s="54">
        <v>0</v>
      </c>
      <c r="AG16" s="89">
        <f>AF16*参数调整!$B$32</f>
        <v>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48"/>
    </row>
    <row r="17" customHeight="1" spans="10:42">
      <c r="J17" s="77" t="s">
        <v>241</v>
      </c>
      <c r="K17" s="77"/>
      <c r="O17">
        <f>SUM(R18:X18)-(SUM(第五季度!R18:X18)-SUM(第五季度!R22:X22))</f>
        <v>4611</v>
      </c>
      <c r="Q17" s="89" t="s">
        <v>244</v>
      </c>
      <c r="R17" s="89" t="s">
        <v>245</v>
      </c>
      <c r="S17" s="89" t="s">
        <v>284</v>
      </c>
      <c r="T17" s="89" t="s">
        <v>285</v>
      </c>
      <c r="U17" s="89" t="s">
        <v>314</v>
      </c>
      <c r="V17" s="89" t="s">
        <v>315</v>
      </c>
      <c r="W17" s="89" t="s">
        <v>327</v>
      </c>
      <c r="X17" s="89" t="s">
        <v>328</v>
      </c>
      <c r="AB17" s="43" t="str">
        <f>J3</f>
        <v>S</v>
      </c>
      <c r="AC17" s="54">
        <v>81</v>
      </c>
      <c r="AD17" s="31" t="s">
        <v>240</v>
      </c>
      <c r="AE17" s="31" t="s">
        <v>10</v>
      </c>
      <c r="AF17" s="54">
        <v>0</v>
      </c>
      <c r="AG17" s="89">
        <f>AF17*参数调整!$F$3</f>
        <v>0</v>
      </c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86" t="s">
        <v>243</v>
      </c>
      <c r="B18" s="87"/>
      <c r="G18" s="88">
        <f>SUMIF(E3:E16,0,F3:F16)</f>
        <v>105069.744</v>
      </c>
      <c r="J18" s="94">
        <v>25</v>
      </c>
      <c r="K18" s="95"/>
      <c r="O18">
        <f>SUM(R19:X19)-(SUM(第五季度!R19:X19)-SUM(第五季度!R23:X23))</f>
        <v>5307</v>
      </c>
      <c r="Q18" s="89" t="s">
        <v>175</v>
      </c>
      <c r="R18" s="54">
        <v>725</v>
      </c>
      <c r="S18" s="54">
        <v>580</v>
      </c>
      <c r="T18" s="54">
        <v>580</v>
      </c>
      <c r="U18" s="54">
        <v>725</v>
      </c>
      <c r="V18" s="54">
        <v>986</v>
      </c>
      <c r="W18" s="54"/>
      <c r="X18" s="54">
        <v>1015</v>
      </c>
      <c r="AB18" s="43" t="str">
        <f t="shared" ref="AB18:AB28" si="8">J4</f>
        <v>S</v>
      </c>
      <c r="AC18" s="54">
        <v>132</v>
      </c>
      <c r="AD18" s="31"/>
      <c r="AE18" s="31" t="s">
        <v>13</v>
      </c>
      <c r="AF18" s="54">
        <v>0</v>
      </c>
      <c r="AG18" s="89">
        <f>AF18*参数调整!$F$4</f>
        <v>0</v>
      </c>
      <c r="AI18" s="111"/>
      <c r="AJ18" s="107" t="s">
        <v>249</v>
      </c>
      <c r="AK18" s="108"/>
      <c r="AL18" s="31" t="s">
        <v>67</v>
      </c>
      <c r="AM18" s="43">
        <f>AF25+第一季度!AF24+第二季度!AF25+第三季度!AF25</f>
        <v>16</v>
      </c>
      <c r="AN18" s="116">
        <f>AM18*参数调整!$B$10</f>
        <v>16000</v>
      </c>
      <c r="AO18" s="48"/>
      <c r="AP18" s="48"/>
    </row>
    <row r="19" customHeight="1" spans="10:42">
      <c r="J19" s="94"/>
      <c r="K19" s="95"/>
      <c r="O19">
        <f>SUM(R20:X20)-(SUM(第五季度!R20:X20)-SUM(第五季度!R24:X24))</f>
        <v>6206</v>
      </c>
      <c r="Q19" s="89" t="s">
        <v>176</v>
      </c>
      <c r="R19" s="54">
        <v>696</v>
      </c>
      <c r="S19" s="54">
        <v>725</v>
      </c>
      <c r="T19" s="54">
        <v>841</v>
      </c>
      <c r="U19" s="54">
        <v>870</v>
      </c>
      <c r="V19" s="54">
        <v>1015</v>
      </c>
      <c r="W19" s="54"/>
      <c r="X19" s="54">
        <v>1160</v>
      </c>
      <c r="AB19" s="43" t="str">
        <f t="shared" si="8"/>
        <v>B</v>
      </c>
      <c r="AC19" s="54">
        <v>71</v>
      </c>
      <c r="AD19" s="31"/>
      <c r="AE19" s="31" t="s">
        <v>16</v>
      </c>
      <c r="AF19" s="54">
        <v>0</v>
      </c>
      <c r="AG19" s="89">
        <f>AF19*参数调整!$F$5</f>
        <v>0</v>
      </c>
      <c r="AI19" s="111"/>
      <c r="AJ19" s="73"/>
      <c r="AK19" s="109"/>
      <c r="AL19" s="31" t="s">
        <v>250</v>
      </c>
      <c r="AM19" s="43">
        <f>AF26+第一季度!AF25+第二季度!AF26+第三季度!AF26</f>
        <v>8</v>
      </c>
      <c r="AN19" s="31">
        <f>AM19*参数调整!$B$10</f>
        <v>8000</v>
      </c>
      <c r="AO19" s="48"/>
      <c r="AP19" s="48"/>
    </row>
    <row r="20" customHeight="1" spans="10:42">
      <c r="J20" s="94"/>
      <c r="K20" s="95"/>
      <c r="O20">
        <f>SUM(R21:X21)-(SUM(第五季度!R21:X21)-SUM(第五季度!R25:X25))</f>
        <v>7250</v>
      </c>
      <c r="Q20" s="89" t="s">
        <v>177</v>
      </c>
      <c r="R20" s="54">
        <v>870</v>
      </c>
      <c r="S20" s="54">
        <v>870</v>
      </c>
      <c r="T20" s="54">
        <v>870</v>
      </c>
      <c r="U20" s="54">
        <v>1131</v>
      </c>
      <c r="V20" s="54">
        <v>1160</v>
      </c>
      <c r="W20" s="54"/>
      <c r="X20" s="54">
        <v>1305</v>
      </c>
      <c r="AB20" s="43" t="str">
        <f t="shared" si="8"/>
        <v>B</v>
      </c>
      <c r="AC20" s="54">
        <v>122</v>
      </c>
      <c r="AD20" s="31"/>
      <c r="AE20" s="31" t="s">
        <v>19</v>
      </c>
      <c r="AF20" s="54">
        <v>0</v>
      </c>
      <c r="AG20" s="89">
        <f>AF20*参数调整!$F$6</f>
        <v>0</v>
      </c>
      <c r="AI20" s="111"/>
      <c r="AJ20" s="107" t="s">
        <v>252</v>
      </c>
      <c r="AK20" s="108"/>
      <c r="AL20" s="31" t="s">
        <v>101</v>
      </c>
      <c r="AM20" s="54">
        <v>0</v>
      </c>
      <c r="AN20" s="31">
        <f>AM20*参数调整!$I$29</f>
        <v>0</v>
      </c>
      <c r="AO20" s="48"/>
      <c r="AP20" s="48"/>
    </row>
    <row r="21" customHeight="1" spans="10:42">
      <c r="J21" s="77" t="s">
        <v>253</v>
      </c>
      <c r="K21" s="96"/>
      <c r="Q21" s="89" t="s">
        <v>178</v>
      </c>
      <c r="R21" s="54">
        <v>1015</v>
      </c>
      <c r="S21" s="54">
        <v>1160</v>
      </c>
      <c r="T21" s="54">
        <v>1015</v>
      </c>
      <c r="U21" s="54">
        <v>1160</v>
      </c>
      <c r="V21" s="54">
        <v>1305</v>
      </c>
      <c r="W21" s="54"/>
      <c r="X21" s="54">
        <v>1595</v>
      </c>
      <c r="AB21" s="43" t="str">
        <f t="shared" si="8"/>
        <v>B</v>
      </c>
      <c r="AC21" s="54">
        <v>63</v>
      </c>
      <c r="AD21" s="31"/>
      <c r="AE21" s="31" t="s">
        <v>22</v>
      </c>
      <c r="AF21" s="54">
        <v>0</v>
      </c>
      <c r="AG21" s="89">
        <f>AF21*参数调整!$F$7</f>
        <v>0</v>
      </c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customHeight="1" spans="10:42">
      <c r="J22" s="94">
        <v>29</v>
      </c>
      <c r="K22" s="94"/>
      <c r="Q22" s="100" t="s">
        <v>316</v>
      </c>
      <c r="R22" s="132">
        <f>$J$22*25</f>
        <v>725</v>
      </c>
      <c r="S22" s="132">
        <f>$J$22*20</f>
        <v>580</v>
      </c>
      <c r="T22" s="132">
        <f>$J$22*20</f>
        <v>580</v>
      </c>
      <c r="U22" s="132">
        <f>$J$22*25</f>
        <v>725</v>
      </c>
      <c r="V22" s="132">
        <f>$J$22*34</f>
        <v>986</v>
      </c>
      <c r="W22" s="132">
        <f>$J$22*35</f>
        <v>1015</v>
      </c>
      <c r="X22" s="132">
        <f>$J$22*35</f>
        <v>1015</v>
      </c>
      <c r="AB22" s="43" t="str">
        <f t="shared" si="8"/>
        <v>Q</v>
      </c>
      <c r="AC22" s="54">
        <v>167</v>
      </c>
      <c r="AD22" s="31"/>
      <c r="AE22" s="31" t="s">
        <v>25</v>
      </c>
      <c r="AF22" s="54">
        <v>0</v>
      </c>
      <c r="AG22" s="89">
        <f>AF22*参数调整!$F$8</f>
        <v>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customHeight="1" spans="10:42">
      <c r="J23" s="94"/>
      <c r="K23" s="94"/>
      <c r="Q23" s="101"/>
      <c r="R23" s="132">
        <f>$J$22*24</f>
        <v>696</v>
      </c>
      <c r="S23" s="132">
        <f>$J$22*25</f>
        <v>725</v>
      </c>
      <c r="T23" s="132">
        <f>$J$22*29</f>
        <v>841</v>
      </c>
      <c r="U23" s="132">
        <f>$J$22*30</f>
        <v>870</v>
      </c>
      <c r="V23" s="132">
        <f>$J$22*35</f>
        <v>1015</v>
      </c>
      <c r="W23" s="132">
        <f>$J$22*44</f>
        <v>1276</v>
      </c>
      <c r="X23" s="132">
        <f>$J$22*40</f>
        <v>1160</v>
      </c>
      <c r="AB23" s="43" t="str">
        <f t="shared" si="8"/>
        <v>Q</v>
      </c>
      <c r="AC23" s="54">
        <v>107</v>
      </c>
      <c r="AD23" s="104" t="s">
        <v>254</v>
      </c>
      <c r="AE23" s="52"/>
      <c r="AF23" s="54">
        <v>0</v>
      </c>
      <c r="AG23" s="89">
        <f>AF23*参数调整!$C$40</f>
        <v>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customHeight="1" spans="10:42">
      <c r="J24" s="94"/>
      <c r="K24" s="94"/>
      <c r="Q24" s="101"/>
      <c r="R24" s="132">
        <f>$J$22*30</f>
        <v>870</v>
      </c>
      <c r="S24" s="132">
        <f>$J$22*30</f>
        <v>870</v>
      </c>
      <c r="T24" s="132">
        <f>$J$22*30</f>
        <v>870</v>
      </c>
      <c r="U24" s="132">
        <f>$J$22*39</f>
        <v>1131</v>
      </c>
      <c r="V24" s="132">
        <f>$J$22*40</f>
        <v>1160</v>
      </c>
      <c r="W24" s="132">
        <f>$J$22*45</f>
        <v>1305</v>
      </c>
      <c r="X24" s="132">
        <f>$J$22*45</f>
        <v>1305</v>
      </c>
      <c r="AB24" s="43" t="str">
        <f t="shared" si="8"/>
        <v>L</v>
      </c>
      <c r="AC24" s="54">
        <v>176</v>
      </c>
      <c r="AD24" s="104" t="s">
        <v>256</v>
      </c>
      <c r="AE24" s="52"/>
      <c r="AF24" s="54">
        <v>0</v>
      </c>
      <c r="AG24" s="89">
        <f>AF24*参数调整!$C$41</f>
        <v>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customHeight="1" spans="17:42">
      <c r="Q25" s="102"/>
      <c r="R25" s="132">
        <f>$J$22*35</f>
        <v>1015</v>
      </c>
      <c r="S25" s="132">
        <f>$J$22*40</f>
        <v>1160</v>
      </c>
      <c r="T25" s="132">
        <f>$J$22*35</f>
        <v>1015</v>
      </c>
      <c r="U25" s="132">
        <f>$J$22*40</f>
        <v>1160</v>
      </c>
      <c r="V25" s="132">
        <f>$J$22*45</f>
        <v>1305</v>
      </c>
      <c r="W25" s="132">
        <f>$J$22*50</f>
        <v>1450</v>
      </c>
      <c r="X25" s="132">
        <f>$J$22*55</f>
        <v>1595</v>
      </c>
      <c r="AB25" s="43">
        <f t="shared" si="8"/>
        <v>0</v>
      </c>
      <c r="AC25" s="54"/>
      <c r="AD25" s="31" t="s">
        <v>257</v>
      </c>
      <c r="AE25" s="31"/>
      <c r="AF25" s="54">
        <v>6</v>
      </c>
      <c r="AG25" s="89">
        <f>AF25*参数调整!$F$18</f>
        <v>1800</v>
      </c>
      <c r="AI25" s="111"/>
      <c r="AJ25" s="72"/>
      <c r="AK25" s="117"/>
      <c r="AL25" s="31" t="s">
        <v>76</v>
      </c>
      <c r="AM25" s="54">
        <v>0</v>
      </c>
      <c r="AN25" s="31">
        <f>AM25*参数调整!$H$23</f>
        <v>0</v>
      </c>
      <c r="AO25" s="48"/>
      <c r="AP25" s="48"/>
    </row>
    <row r="26" customHeight="1" spans="28:42">
      <c r="AB26" s="43">
        <f t="shared" si="8"/>
        <v>0</v>
      </c>
      <c r="AC26" s="54"/>
      <c r="AD26" s="31" t="s">
        <v>259</v>
      </c>
      <c r="AE26" s="31"/>
      <c r="AF26" s="54">
        <v>3</v>
      </c>
      <c r="AG26" s="89">
        <f>AF26*参数调整!$F$17</f>
        <v>1500</v>
      </c>
      <c r="AI26" s="111"/>
      <c r="AJ26" s="73"/>
      <c r="AK26" s="109"/>
      <c r="AL26" s="31" t="s">
        <v>77</v>
      </c>
      <c r="AM26" s="54">
        <v>0</v>
      </c>
      <c r="AN26" s="31">
        <f>AM26*参数调整!$J$23</f>
        <v>0</v>
      </c>
      <c r="AO26" s="48"/>
      <c r="AP26" s="48"/>
    </row>
    <row r="27" customHeight="1" spans="28:42">
      <c r="AB27" s="43">
        <f t="shared" si="8"/>
        <v>0</v>
      </c>
      <c r="AC27" s="54"/>
      <c r="AD27" s="31" t="s">
        <v>260</v>
      </c>
      <c r="AE27" s="31"/>
      <c r="AF27" s="31"/>
      <c r="AG27" s="89">
        <f>SUM(Y3:Y14)</f>
        <v>47168</v>
      </c>
      <c r="AI27" s="111"/>
      <c r="AJ27" s="104" t="s">
        <v>262</v>
      </c>
      <c r="AK27" s="106"/>
      <c r="AL27" s="52"/>
      <c r="AM27" s="43">
        <f>AM19</f>
        <v>8</v>
      </c>
      <c r="AN27" s="31">
        <f>AM27*参数调整!$J$17*(1+参数调整!$B$12+参数调整!$B$13+参数调整!$B$14+参数调整!$B$15+参数调整!$B$16)</f>
        <v>43072</v>
      </c>
      <c r="AO27" s="48"/>
      <c r="AP27" s="48"/>
    </row>
    <row r="28" customHeight="1" spans="9:42">
      <c r="I28" s="89" t="s">
        <v>317</v>
      </c>
      <c r="J28" s="89" t="s">
        <v>329</v>
      </c>
      <c r="K28" s="89" t="s">
        <v>330</v>
      </c>
      <c r="Q28" s="89" t="s">
        <v>331</v>
      </c>
      <c r="R28" s="89" t="s">
        <v>332</v>
      </c>
      <c r="S28" s="89" t="s">
        <v>333</v>
      </c>
      <c r="T28" s="89" t="s">
        <v>308</v>
      </c>
      <c r="U28" s="89" t="s">
        <v>319</v>
      </c>
      <c r="V28" s="89" t="s">
        <v>309</v>
      </c>
      <c r="W28" s="89" t="s">
        <v>247</v>
      </c>
      <c r="X28" s="89" t="s">
        <v>286</v>
      </c>
      <c r="Y28" s="69"/>
      <c r="AB28" s="43">
        <f t="shared" si="8"/>
        <v>0</v>
      </c>
      <c r="AC28" s="54"/>
      <c r="AD28" s="31" t="s">
        <v>261</v>
      </c>
      <c r="AE28" s="31"/>
      <c r="AF28" s="31"/>
      <c r="AG28" s="89">
        <f>G18</f>
        <v>105069.744</v>
      </c>
      <c r="AI28" s="111"/>
      <c r="AJ28" s="70" t="s">
        <v>264</v>
      </c>
      <c r="AK28" s="118" t="s">
        <v>265</v>
      </c>
      <c r="AL28" s="119" t="s">
        <v>175</v>
      </c>
      <c r="AM28" s="120">
        <v>80</v>
      </c>
      <c r="AN28" s="70">
        <f>AM28*参数调整!$B$30*参数调整!F11</f>
        <v>24000</v>
      </c>
      <c r="AO28" s="48"/>
      <c r="AP28" s="48"/>
    </row>
    <row r="29" customHeight="1" spans="7:42">
      <c r="G29" s="89" t="str">
        <f>J3</f>
        <v>S</v>
      </c>
      <c r="H29" s="89">
        <f>第三季度!W3-第四季度!Q3+第四季度!R3</f>
        <v>83</v>
      </c>
      <c r="I29" s="54">
        <v>92</v>
      </c>
      <c r="J29" s="89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2.40633047145393</v>
      </c>
      <c r="K29" s="54">
        <v>1648</v>
      </c>
      <c r="Q29" s="102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3.91578747054882</v>
      </c>
      <c r="R29" s="124">
        <v>2777</v>
      </c>
      <c r="S29" s="102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3.64821884539315</v>
      </c>
      <c r="T29" s="102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0.103832841943341</v>
      </c>
      <c r="U29" s="89">
        <f>T29-(第三季度!S29+第二季度!AA41)</f>
        <v>-0.00486281023057245</v>
      </c>
      <c r="V29" s="124">
        <v>0.6941</v>
      </c>
      <c r="W29" s="124">
        <v>6803.80205146195</v>
      </c>
      <c r="X29" s="89">
        <f>W29+第三季度!W29*0.53653684+第二季度!U18*0.53653684*0.46055126</f>
        <v>13028.8578423113</v>
      </c>
      <c r="Y29" s="139">
        <v>9958.97057899969</v>
      </c>
      <c r="AD29" s="31" t="s">
        <v>263</v>
      </c>
      <c r="AE29" s="31"/>
      <c r="AF29" s="31"/>
      <c r="AG29" s="121">
        <f>AG3+AG4*(1-参数调整!$B$18)-SUM(AG5:AG28)</f>
        <v>-170631.917</v>
      </c>
      <c r="AH29" s="121">
        <f>AG29/(1-参数调整!B23)</f>
        <v>-175909.192783505</v>
      </c>
      <c r="AI29" s="111"/>
      <c r="AJ29" s="112"/>
      <c r="AK29" s="122"/>
      <c r="AL29" s="123"/>
      <c r="AM29" s="124"/>
      <c r="AN29" s="113"/>
      <c r="AO29" s="48"/>
      <c r="AP29" s="48"/>
    </row>
    <row r="30" customHeight="1" spans="7:42">
      <c r="G30" s="89" t="str">
        <f t="shared" ref="G30:G40" si="9">J4</f>
        <v>S</v>
      </c>
      <c r="H30" s="89">
        <f>第三季度!W4-第四季度!Q4+第四季度!R4</f>
        <v>119</v>
      </c>
      <c r="I30" s="54">
        <v>128</v>
      </c>
      <c r="J30" s="89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2.94801091463161</v>
      </c>
      <c r="K30" s="54">
        <v>1598</v>
      </c>
      <c r="Q30" s="102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4.94979170874488</v>
      </c>
      <c r="R30" s="54">
        <v>3449</v>
      </c>
      <c r="S30" s="102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4.47167112492977</v>
      </c>
      <c r="T30" s="102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0.11857454172542</v>
      </c>
      <c r="U30" s="89">
        <f>T30-(第三季度!S30+第二季度!AA42)</f>
        <v>0.0277655158586064</v>
      </c>
      <c r="V30" s="54">
        <v>0</v>
      </c>
      <c r="W30" s="54">
        <v>10935.3581755263</v>
      </c>
      <c r="X30" s="89">
        <f>W30+第三季度!W30*0.53653684+第二季度!U19*0.53653684*0.46055126</f>
        <v>20070.6260982006</v>
      </c>
      <c r="Y30" s="105">
        <v>14666.8928736839</v>
      </c>
      <c r="AD30" s="104" t="s">
        <v>267</v>
      </c>
      <c r="AE30" s="106"/>
      <c r="AF30" s="52"/>
      <c r="AG30" s="54">
        <v>175909.5</v>
      </c>
      <c r="AH30" s="143">
        <v>259158.99</v>
      </c>
      <c r="AI30" s="111"/>
      <c r="AJ30" s="112"/>
      <c r="AK30" s="122"/>
      <c r="AL30" s="119" t="s">
        <v>176</v>
      </c>
      <c r="AM30" s="120">
        <v>80</v>
      </c>
      <c r="AN30" s="70">
        <f>参数调整!F12*AM30*参数调整!$B$30</f>
        <v>19200</v>
      </c>
      <c r="AO30" s="48"/>
      <c r="AP30" s="48"/>
    </row>
    <row r="31" customHeight="1" spans="7:42">
      <c r="G31" s="89" t="str">
        <f t="shared" si="9"/>
        <v>B</v>
      </c>
      <c r="H31" s="89">
        <f>第三季度!W5-第四季度!Q5+第四季度!R5</f>
        <v>109</v>
      </c>
      <c r="I31" s="54">
        <v>140</v>
      </c>
      <c r="J31" s="89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1.86104554174873</v>
      </c>
      <c r="K31" s="89" t="s">
        <v>288</v>
      </c>
      <c r="Q31" s="102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2.83056466775301</v>
      </c>
      <c r="R31" s="54">
        <v>3588</v>
      </c>
      <c r="S31" s="102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2.88747486141367</v>
      </c>
      <c r="T31" s="102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0.115323133135419</v>
      </c>
      <c r="U31" s="89">
        <f>T31-(第三季度!S31+第二季度!AA43)</f>
        <v>-0.00511198729970139</v>
      </c>
      <c r="V31" s="54">
        <v>0.9601</v>
      </c>
      <c r="W31" s="54">
        <v>5300.02008020767</v>
      </c>
      <c r="X31" s="89">
        <f>W31+第三季度!W31*0.53653684+第二季度!U20*0.53653684*0.46055126</f>
        <v>10661.897197922</v>
      </c>
      <c r="Y31" s="105">
        <v>7753.06659125229</v>
      </c>
      <c r="AD31" s="104" t="s">
        <v>263</v>
      </c>
      <c r="AE31" s="106"/>
      <c r="AF31" s="52"/>
      <c r="AG31" s="121">
        <f>AG30*(1-参数调整!B23)+AG29</f>
        <v>0.297999999980675</v>
      </c>
      <c r="AI31" s="111"/>
      <c r="AJ31" s="112"/>
      <c r="AK31" s="122"/>
      <c r="AL31" s="123"/>
      <c r="AM31" s="124"/>
      <c r="AN31" s="113"/>
      <c r="AO31" s="48"/>
      <c r="AP31" s="48"/>
    </row>
    <row r="32" customHeight="1" spans="7:42">
      <c r="G32" s="89" t="str">
        <f t="shared" si="9"/>
        <v>B</v>
      </c>
      <c r="H32" s="89">
        <f>第三季度!W6-第四季度!Q6+第四季度!R6</f>
        <v>100</v>
      </c>
      <c r="I32" s="54">
        <v>202</v>
      </c>
      <c r="J32" s="89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3.05626747491906</v>
      </c>
      <c r="K32" s="54">
        <v>9</v>
      </c>
      <c r="Q32" s="102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4.65153319683528</v>
      </c>
      <c r="R32" s="54">
        <v>3989</v>
      </c>
      <c r="S32" s="102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4.73919519475809</v>
      </c>
      <c r="T32" s="102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0.0873487097510847</v>
      </c>
      <c r="U32" s="89">
        <f>T32-(第三季度!S32+第二季度!AA44)</f>
        <v>0.0187136411160161</v>
      </c>
      <c r="V32" s="54">
        <v>0</v>
      </c>
      <c r="W32" s="54">
        <v>720.403089247917</v>
      </c>
      <c r="X32" s="89">
        <f>W32+第三季度!W32*0.53653684+第二季度!U21*0.53653684*0.46055126</f>
        <v>1513.55437692721</v>
      </c>
      <c r="Y32" s="105">
        <v>866.985923200739</v>
      </c>
      <c r="AI32" s="111"/>
      <c r="AJ32" s="112"/>
      <c r="AK32" s="122"/>
      <c r="AL32" s="119" t="s">
        <v>177</v>
      </c>
      <c r="AM32" s="120">
        <v>70</v>
      </c>
      <c r="AN32" s="70">
        <f>参数调整!F13*AM32*参数调整!$B$30</f>
        <v>12600</v>
      </c>
      <c r="AO32" s="48"/>
      <c r="AP32" s="48"/>
    </row>
    <row r="33" customHeight="1" spans="7:42">
      <c r="G33" s="89" t="str">
        <f t="shared" si="9"/>
        <v>B</v>
      </c>
      <c r="H33" s="89">
        <f>第三季度!W7-第四季度!Q7+第四季度!R7</f>
        <v>50</v>
      </c>
      <c r="I33" s="69"/>
      <c r="J33" s="89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1.05743260084717</v>
      </c>
      <c r="K33" s="69"/>
      <c r="Q33" s="102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1.59031727323877</v>
      </c>
      <c r="R33" s="89" t="s">
        <v>288</v>
      </c>
      <c r="S33" s="102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1.65639549135824</v>
      </c>
      <c r="T33" s="102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0.0439598081753825</v>
      </c>
      <c r="U33" s="89">
        <f>T33-(第三季度!S33+第二季度!AA45)</f>
        <v>0.00899477321034754</v>
      </c>
      <c r="V33" s="54">
        <v>0</v>
      </c>
      <c r="W33" s="69"/>
      <c r="X33" s="69"/>
      <c r="Y33" s="69"/>
      <c r="AI33" s="111"/>
      <c r="AJ33" s="112"/>
      <c r="AK33" s="122"/>
      <c r="AL33" s="123"/>
      <c r="AM33" s="124"/>
      <c r="AN33" s="113"/>
      <c r="AO33" s="48"/>
      <c r="AP33" s="48"/>
    </row>
    <row r="34" customHeight="1" spans="7:42">
      <c r="G34" s="89" t="str">
        <f t="shared" si="9"/>
        <v>Q</v>
      </c>
      <c r="H34" s="89">
        <f>第三季度!W8-第四季度!Q8+第四季度!R8</f>
        <v>107</v>
      </c>
      <c r="I34" s="69"/>
      <c r="J34" s="89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1.82792974365425</v>
      </c>
      <c r="K34" s="69"/>
      <c r="Q34" s="102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1.82792974365425</v>
      </c>
      <c r="R34" s="54">
        <v>17</v>
      </c>
      <c r="S34" s="102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2.69683341821684</v>
      </c>
      <c r="T34" s="102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0.290229885057471</v>
      </c>
      <c r="U34" s="89">
        <f>T34-(第三季度!S34+第二季度!AA46)</f>
        <v>-0.0120611628848283</v>
      </c>
      <c r="V34" s="54">
        <v>0.1732</v>
      </c>
      <c r="W34" s="69"/>
      <c r="X34" s="69"/>
      <c r="Y34" s="69"/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customHeight="1" spans="7:42">
      <c r="G35" s="89" t="str">
        <f t="shared" si="9"/>
        <v>Q</v>
      </c>
      <c r="H35" s="89">
        <f>第三季度!W9-第四季度!Q9+第四季度!R9</f>
        <v>85</v>
      </c>
      <c r="I35" s="69"/>
      <c r="J35" s="89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1.91809907807318</v>
      </c>
      <c r="K35" s="69"/>
      <c r="Q35" s="102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1.91809907807318</v>
      </c>
      <c r="R35" s="69"/>
      <c r="S35" s="102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2.84024469563205</v>
      </c>
      <c r="T35" s="102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0.183908045977011</v>
      </c>
      <c r="U35" s="89">
        <f>T35-(第三季度!S35+第二季度!AA47)</f>
        <v>0.0470815716452338</v>
      </c>
      <c r="V35" s="54">
        <v>0</v>
      </c>
      <c r="W35" s="69"/>
      <c r="X35" s="69"/>
      <c r="Y35" s="69"/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customHeight="1" spans="4:42">
      <c r="D36" s="29" t="s">
        <v>270</v>
      </c>
      <c r="E36" s="30" t="s">
        <v>271</v>
      </c>
      <c r="F36" s="30" t="s">
        <v>272</v>
      </c>
      <c r="G36" s="89" t="str">
        <f t="shared" si="9"/>
        <v>L</v>
      </c>
      <c r="H36" s="89">
        <f>第三季度!W10-第四季度!Q10+第四季度!R10</f>
        <v>158</v>
      </c>
      <c r="I36" s="69"/>
      <c r="J36" s="89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3.66587646316867</v>
      </c>
      <c r="K36" s="69"/>
      <c r="Q36" s="102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3.66587646316867</v>
      </c>
      <c r="R36" s="69"/>
      <c r="S36" s="102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5.48746022435057</v>
      </c>
      <c r="T36" s="102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0.113647401651287</v>
      </c>
      <c r="U36" s="89">
        <f>T36-(第三季度!S36+第二季度!AA48)</f>
        <v>0.115367848202748</v>
      </c>
      <c r="V36" s="54">
        <v>0.11</v>
      </c>
      <c r="W36" s="69"/>
      <c r="X36" s="69"/>
      <c r="Y36" s="69"/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AN2-SUM(AN5:AN19)+SUM(AN20:AN26)-SUM(AN27:AN35)+AO36*(1-参数调整!B23)+AP36*(1-参数调整!B24)-第一季度!AG29</f>
        <v>-137872.96</v>
      </c>
      <c r="AO36" s="54">
        <v>0</v>
      </c>
      <c r="AP36" s="54">
        <v>0</v>
      </c>
    </row>
    <row r="37" customHeight="1" spans="4:42">
      <c r="D37" s="29"/>
      <c r="E37" s="30"/>
      <c r="F37" s="30"/>
      <c r="G37" s="89">
        <f t="shared" si="9"/>
        <v>0</v>
      </c>
      <c r="H37" s="89">
        <f>第三季度!W11-第四季度!Q11+第四季度!R11</f>
        <v>0</v>
      </c>
      <c r="J37" s="89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0.0961538461538462</v>
      </c>
      <c r="Q37" s="102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0.0961538461538462</v>
      </c>
      <c r="S37" s="102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0.143221914911693</v>
      </c>
      <c r="T37" s="102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89">
        <f>T37-(第三季度!S37+第二季度!AA49)</f>
        <v>0.0961538461538462</v>
      </c>
      <c r="V37" s="54">
        <v>0</v>
      </c>
      <c r="Y37">
        <v>23</v>
      </c>
      <c r="Z37">
        <v>6</v>
      </c>
      <c r="AA37">
        <v>26</v>
      </c>
      <c r="AI37" s="127" t="s">
        <v>334</v>
      </c>
      <c r="AJ37" s="104" t="s">
        <v>274</v>
      </c>
      <c r="AK37" s="106"/>
      <c r="AL37" s="106"/>
      <c r="AM37" s="52"/>
      <c r="AN37" s="43">
        <f>AO3-AO36</f>
        <v>0</v>
      </c>
      <c r="AO37" s="48"/>
      <c r="AP37" s="48"/>
    </row>
    <row r="38" customHeight="1" spans="4:42">
      <c r="D38" s="69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48">
        <f>第三季度!G3+第三季度!H3+第三季度!E38-第三季度!B3</f>
        <v>0</v>
      </c>
      <c r="F38" s="48">
        <f>E38+G3-B3</f>
        <v>0</v>
      </c>
      <c r="G38" s="89">
        <f t="shared" si="9"/>
        <v>0</v>
      </c>
      <c r="H38" s="89">
        <f>第三季度!W12-第四季度!Q12+第四季度!R12</f>
        <v>0</v>
      </c>
      <c r="J38" s="89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0.0961538461538462</v>
      </c>
      <c r="Q38" s="102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0.0961538461538462</v>
      </c>
      <c r="S38" s="102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0.143221914911693</v>
      </c>
      <c r="T38" s="102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89">
        <f>T38-(第三季度!S38+第二季度!AA50)</f>
        <v>0.0961538461538462</v>
      </c>
      <c r="V38" s="54">
        <v>0</v>
      </c>
      <c r="Y38">
        <v>25</v>
      </c>
      <c r="AI38" s="128"/>
      <c r="AJ38" s="104" t="s">
        <v>275</v>
      </c>
      <c r="AK38" s="106"/>
      <c r="AL38" s="106"/>
      <c r="AM38" s="52"/>
      <c r="AN38" s="43">
        <f>(G3*D3*E3+G4*D4*E4+G5*D5*1.5*E5+G6*D6*E6+G7*E7*D7+G8*E8*D8+G9*E9*D9+G10*E10*D10+G11*E11*D11+G12*E12*D12+G13*E13*D13*1.5+G14*E14*D14*1.5+G15*E15*D15*1.5+G16*E16*D16*1.5)*(1+参数调整!B6)</f>
        <v>122298.4035</v>
      </c>
      <c r="AO38" s="48"/>
      <c r="AP38" s="48"/>
    </row>
    <row r="39" customHeight="1" spans="4:42">
      <c r="D39" s="69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48">
        <f>第三季度!G4+第三季度!H4+第三季度!E39-第三季度!B4</f>
        <v>0</v>
      </c>
      <c r="F39" s="48">
        <f t="shared" ref="F39:F51" si="10">E39+G4-B4</f>
        <v>0</v>
      </c>
      <c r="G39" s="89">
        <f t="shared" si="9"/>
        <v>0</v>
      </c>
      <c r="H39" s="89">
        <f>第三季度!W13-第四季度!Q13+第四季度!R13</f>
        <v>0</v>
      </c>
      <c r="J39" s="89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0.0961538461538462</v>
      </c>
      <c r="Q39" s="102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0.0961538461538462</v>
      </c>
      <c r="S39" s="102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0.143221914911693</v>
      </c>
      <c r="T39" s="102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89">
        <f>T39-(第三季度!S39+第二季度!AA51)</f>
        <v>0.0961538461538462</v>
      </c>
      <c r="V39" s="54">
        <v>0</v>
      </c>
      <c r="Y39">
        <v>5</v>
      </c>
      <c r="AI39" s="128"/>
      <c r="AJ39" s="104" t="s">
        <v>276</v>
      </c>
      <c r="AK39" s="106"/>
      <c r="AL39" s="106"/>
      <c r="AM39" s="52"/>
      <c r="AN39" s="43">
        <f>H5*D40*(1+参数调整!B6)+H13*D48*(1+参数调整!B6)+H14*D49*(1+参数调整!B6)+H15*D50*(1+参数调整!B6)+H16*D51*(1+参数调整!B6)</f>
        <v>0</v>
      </c>
      <c r="AO39" s="48"/>
      <c r="AP39" s="48"/>
    </row>
    <row r="40" customHeight="1" spans="4:42">
      <c r="D40" s="69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48">
        <f>第三季度!G5+第三季度!H5+第三季度!E40-第三季度!B5</f>
        <v>220</v>
      </c>
      <c r="F40" s="48">
        <f t="shared" si="10"/>
        <v>19</v>
      </c>
      <c r="G40" s="89">
        <f t="shared" si="9"/>
        <v>0</v>
      </c>
      <c r="H40" s="89">
        <f>第三季度!W14-第四季度!Q14+第四季度!R14</f>
        <v>0</v>
      </c>
      <c r="J40" s="89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0.0961538461538462</v>
      </c>
      <c r="Q40" s="102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0.0961538461538462</v>
      </c>
      <c r="S40" s="102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0.143221914911693</v>
      </c>
      <c r="T40" s="102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89">
        <f>T40-(第三季度!S40+第二季度!AA52)</f>
        <v>0.0961538461538462</v>
      </c>
      <c r="V40" s="54">
        <v>0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customHeight="1" spans="4:42">
      <c r="D41" s="69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48">
        <f>第三季度!G6+第三季度!H6+第三季度!E41-第三季度!B6</f>
        <v>0</v>
      </c>
      <c r="F41" s="48">
        <f t="shared" si="10"/>
        <v>0</v>
      </c>
      <c r="AI41" s="128"/>
      <c r="AJ41" s="104" t="s">
        <v>277</v>
      </c>
      <c r="AK41" s="106"/>
      <c r="AL41" s="106"/>
      <c r="AM41" s="52"/>
      <c r="AN41" s="43">
        <f>(AN2+AO3+AP3-AK2)*参数调整!B6/(1+参数调整!B6)-(F3+F4+F5*1.5+F6+F7+F8+F9+F10+F11+F12+F13*1.5+F14*1.5+F15*1.5+F16*1.5+第二季度!AN39)/(1+参数调整!B6)*参数调整!B6</f>
        <v>6889.83533760686</v>
      </c>
      <c r="AO41" s="48"/>
      <c r="AP41" s="48"/>
    </row>
    <row r="42" customHeight="1" spans="4:42">
      <c r="D42" s="69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48">
        <f>第三季度!G7+第三季度!H7+第三季度!E42-第三季度!B7</f>
        <v>0</v>
      </c>
      <c r="F42" s="48">
        <f t="shared" si="10"/>
        <v>0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826.780240512824</v>
      </c>
      <c r="AO42" s="48"/>
      <c r="AP42" s="48"/>
    </row>
    <row r="43" customHeight="1" spans="1:42">
      <c r="A43" s="89" t="s">
        <v>309</v>
      </c>
      <c r="B43" s="89" t="s">
        <v>247</v>
      </c>
      <c r="D43" s="69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48">
        <f>第三季度!G8+第三季度!H8+第三季度!E43-第三季度!B8</f>
        <v>0</v>
      </c>
      <c r="F43" s="48">
        <f t="shared" si="10"/>
        <v>0</v>
      </c>
      <c r="AI43" s="128"/>
      <c r="AJ43" s="104" t="s">
        <v>279</v>
      </c>
      <c r="AK43" s="106"/>
      <c r="AL43" s="106"/>
      <c r="AM43" s="52"/>
      <c r="AN43" s="43">
        <v>25000</v>
      </c>
      <c r="AO43" s="48"/>
      <c r="AP43" s="48"/>
    </row>
    <row r="44" customHeight="1" spans="1:42">
      <c r="A44" s="54">
        <v>0.39</v>
      </c>
      <c r="B44" s="89">
        <f>((AB3*参数调整!H11/第四季度!A44)-第二季度!U18*第四季度!$J$18*0.536537*0.46055126-第三季度!W29*第四季度!$J$18*0.536537)/第四季度!$J$18</f>
        <v>29470.1197422789</v>
      </c>
      <c r="D44" s="69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48">
        <f>第三季度!G9+第三季度!H9+第三季度!E44-第三季度!B9</f>
        <v>0</v>
      </c>
      <c r="F44" s="48">
        <f t="shared" si="10"/>
        <v>0</v>
      </c>
      <c r="Q44" s="89" t="s">
        <v>293</v>
      </c>
      <c r="R44" s="89" t="s">
        <v>245</v>
      </c>
      <c r="S44" s="89" t="s">
        <v>284</v>
      </c>
      <c r="T44" s="89" t="s">
        <v>285</v>
      </c>
      <c r="U44" s="89" t="s">
        <v>314</v>
      </c>
      <c r="V44" s="89" t="s">
        <v>315</v>
      </c>
      <c r="W44" s="89" t="s">
        <v>327</v>
      </c>
      <c r="X44" s="89" t="s">
        <v>328</v>
      </c>
      <c r="Y44" s="89" t="s">
        <v>335</v>
      </c>
      <c r="AI44" s="129"/>
      <c r="AJ44" s="104" t="s">
        <v>263</v>
      </c>
      <c r="AK44" s="106"/>
      <c r="AL44" s="106"/>
      <c r="AM44" s="52"/>
      <c r="AN44" s="121">
        <f>AN36+AN37-SUM(AN38:AN43)</f>
        <v>-302887.97907812</v>
      </c>
      <c r="AO44" s="48"/>
      <c r="AP44" s="48"/>
    </row>
    <row r="45" spans="1:26">
      <c r="A45" s="54">
        <v>0.03</v>
      </c>
      <c r="B45" s="89">
        <f>((AB4*参数调整!H12/第四季度!A45)-第二季度!U19*第四季度!$J$18*0.536537*0.46055126-第三季度!W30*第四季度!$J$18*0.536537)/第四季度!$J$18</f>
        <v>981912.936643485</v>
      </c>
      <c r="D45" s="69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48">
        <f>第三季度!G10+第三季度!H10+第三季度!E45-第三季度!B10</f>
        <v>0</v>
      </c>
      <c r="F45" s="48">
        <f t="shared" si="10"/>
        <v>0</v>
      </c>
      <c r="Q45" s="89" t="str">
        <f t="shared" ref="Q45:Q56" si="11">J3</f>
        <v>S</v>
      </c>
      <c r="R45" s="135">
        <f>ROUNDUP(R65+R79,1)</f>
        <v>29.6</v>
      </c>
      <c r="S45" s="136">
        <f t="shared" ref="S45:X45" si="12">ROUNDUP(S65+S79,1)</f>
        <v>23.7</v>
      </c>
      <c r="T45" s="136">
        <f t="shared" si="12"/>
        <v>14.6</v>
      </c>
      <c r="U45" s="136">
        <f t="shared" si="12"/>
        <v>18.2</v>
      </c>
      <c r="V45" s="136">
        <f t="shared" si="12"/>
        <v>24.7</v>
      </c>
      <c r="W45" s="135">
        <f t="shared" si="12"/>
        <v>0</v>
      </c>
      <c r="X45" s="135">
        <f t="shared" si="12"/>
        <v>38.6</v>
      </c>
      <c r="Y45" s="89">
        <f>W3-TRUNC(R45)-TRUNC(S45)-TRUNC(T45)-TRUNC(U45)-TRUNC(V45)-TRUNC(W45)-TRUNC(X45)</f>
        <v>3</v>
      </c>
      <c r="Z45">
        <v>42</v>
      </c>
    </row>
    <row r="46" spans="1:26">
      <c r="A46" s="54">
        <v>0.25</v>
      </c>
      <c r="B46" s="89">
        <f>((AB5*参数调整!H13/第四季度!A46)-第二季度!U20*第四季度!$J$18*0.536537*0.46055126-第三季度!W31*第四季度!$J$18*0.536537)/第四季度!$J$18</f>
        <v>13703.4731037221</v>
      </c>
      <c r="D46" s="69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48">
        <f>第三季度!G11+第三季度!H11+第三季度!E46-第三季度!B11</f>
        <v>0</v>
      </c>
      <c r="F46" s="48">
        <f t="shared" si="10"/>
        <v>0</v>
      </c>
      <c r="Q46" s="89" t="str">
        <f t="shared" si="11"/>
        <v>S</v>
      </c>
      <c r="R46" s="136">
        <f t="shared" ref="R46:X56" si="13">ROUNDUP(R66+R80,1)</f>
        <v>37.2</v>
      </c>
      <c r="S46" s="135">
        <f t="shared" si="13"/>
        <v>29.8</v>
      </c>
      <c r="T46" s="135">
        <f t="shared" si="13"/>
        <v>17.8</v>
      </c>
      <c r="U46" s="136">
        <f t="shared" si="13"/>
        <v>22.2</v>
      </c>
      <c r="V46" s="136">
        <f t="shared" si="13"/>
        <v>30.2</v>
      </c>
      <c r="W46" s="135">
        <f t="shared" si="13"/>
        <v>0</v>
      </c>
      <c r="X46" s="136">
        <f t="shared" si="13"/>
        <v>47.1</v>
      </c>
      <c r="Y46" s="89">
        <f t="shared" ref="Y46:Y56" si="14">W4-TRUNC(R46)-TRUNC(S46)-TRUNC(T46)-TRUNC(U46)-TRUNC(V46)-TRUNC(W46)-TRUNC(X46)</f>
        <v>2</v>
      </c>
      <c r="Z46">
        <v>50</v>
      </c>
    </row>
    <row r="47" spans="1:26">
      <c r="A47" s="54">
        <v>0.05</v>
      </c>
      <c r="B47" s="89">
        <f>((AB6*参数调整!H14/第四季度!A47)-第二季度!U21*第四季度!$J$18*0.536537*0.46055126-第三季度!W32*第四季度!$J$18*0.536537)/第四季度!$J$18</f>
        <v>31206.848475796</v>
      </c>
      <c r="D47" s="69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48">
        <f>第三季度!G12+第三季度!H12+第三季度!E47-第三季度!B12</f>
        <v>0</v>
      </c>
      <c r="F47" s="48">
        <f t="shared" si="10"/>
        <v>0</v>
      </c>
      <c r="Q47" s="89" t="str">
        <f t="shared" si="11"/>
        <v>B</v>
      </c>
      <c r="R47" s="136">
        <f t="shared" si="13"/>
        <v>20.9</v>
      </c>
      <c r="S47" s="135">
        <f t="shared" si="13"/>
        <v>21.8</v>
      </c>
      <c r="T47" s="135">
        <f t="shared" si="13"/>
        <v>16.7</v>
      </c>
      <c r="U47" s="136">
        <f t="shared" si="13"/>
        <v>17.2</v>
      </c>
      <c r="V47" s="135">
        <f t="shared" si="13"/>
        <v>20.1</v>
      </c>
      <c r="W47" s="135">
        <f t="shared" si="13"/>
        <v>0</v>
      </c>
      <c r="X47" s="136">
        <f t="shared" si="13"/>
        <v>35.6</v>
      </c>
      <c r="Y47" s="89">
        <f t="shared" si="14"/>
        <v>3</v>
      </c>
      <c r="Z47">
        <v>39</v>
      </c>
    </row>
    <row r="48" spans="4:26">
      <c r="D48" s="69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</v>
      </c>
      <c r="E48" s="48">
        <f>第三季度!G13+第三季度!H13+第三季度!E48-第三季度!B13</f>
        <v>531</v>
      </c>
      <c r="F48" s="48">
        <f t="shared" si="10"/>
        <v>0</v>
      </c>
      <c r="Q48" s="89" t="str">
        <f t="shared" si="11"/>
        <v>B</v>
      </c>
      <c r="R48" s="136">
        <f t="shared" si="13"/>
        <v>32.8</v>
      </c>
      <c r="S48" s="135">
        <f t="shared" si="13"/>
        <v>34.2</v>
      </c>
      <c r="T48" s="135">
        <f t="shared" si="13"/>
        <v>26.1</v>
      </c>
      <c r="U48" s="136">
        <f t="shared" si="13"/>
        <v>27</v>
      </c>
      <c r="V48" s="136">
        <f t="shared" si="13"/>
        <v>31.5</v>
      </c>
      <c r="W48" s="136">
        <f t="shared" si="13"/>
        <v>0</v>
      </c>
      <c r="X48" s="136">
        <f t="shared" si="13"/>
        <v>55.7</v>
      </c>
      <c r="Y48" s="89">
        <f t="shared" si="14"/>
        <v>2</v>
      </c>
      <c r="Z48">
        <v>59</v>
      </c>
    </row>
    <row r="49" spans="4:26">
      <c r="D49" s="69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48">
        <f>第三季度!G14+第三季度!H14+第三季度!E49-第三季度!B14</f>
        <v>0</v>
      </c>
      <c r="F49" s="48">
        <f t="shared" si="10"/>
        <v>0</v>
      </c>
      <c r="Q49" s="89" t="str">
        <f t="shared" si="11"/>
        <v>B</v>
      </c>
      <c r="R49" s="135">
        <f t="shared" si="13"/>
        <v>11.3</v>
      </c>
      <c r="S49" s="136">
        <f t="shared" si="13"/>
        <v>11.8</v>
      </c>
      <c r="T49" s="136">
        <f t="shared" si="13"/>
        <v>9.1</v>
      </c>
      <c r="U49" s="136">
        <f t="shared" si="13"/>
        <v>9.4</v>
      </c>
      <c r="V49" s="136">
        <f t="shared" si="13"/>
        <v>11</v>
      </c>
      <c r="W49" s="135">
        <f t="shared" si="13"/>
        <v>0</v>
      </c>
      <c r="X49" s="135">
        <f t="shared" si="13"/>
        <v>19.6</v>
      </c>
      <c r="Y49" s="89">
        <f t="shared" si="14"/>
        <v>2</v>
      </c>
      <c r="Z49">
        <v>23</v>
      </c>
    </row>
    <row r="50" spans="4:26">
      <c r="D50" s="69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48">
        <f>第三季度!G15+第三季度!H15+第三季度!E50-第三季度!B15</f>
        <v>220</v>
      </c>
      <c r="F50" s="48">
        <f t="shared" si="10"/>
        <v>19</v>
      </c>
      <c r="Q50" s="89" t="str">
        <f t="shared" si="11"/>
        <v>Q</v>
      </c>
      <c r="R50" s="136">
        <f t="shared" si="13"/>
        <v>16.6</v>
      </c>
      <c r="S50" s="135">
        <f t="shared" si="13"/>
        <v>22.1</v>
      </c>
      <c r="T50" s="136">
        <f t="shared" si="13"/>
        <v>16.6</v>
      </c>
      <c r="U50" s="136">
        <f t="shared" si="13"/>
        <v>21.5</v>
      </c>
      <c r="V50" s="135">
        <f t="shared" si="13"/>
        <v>22.1</v>
      </c>
      <c r="W50" s="136">
        <f t="shared" si="13"/>
        <v>0</v>
      </c>
      <c r="X50" s="136">
        <f t="shared" si="13"/>
        <v>36.6</v>
      </c>
      <c r="Y50" s="89">
        <f t="shared" si="14"/>
        <v>2</v>
      </c>
      <c r="Z50">
        <v>40</v>
      </c>
    </row>
    <row r="51" spans="4:26">
      <c r="D51" s="69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48">
        <f>第三季度!G16+第三季度!H16+第三季度!E51-第三季度!B16</f>
        <v>0</v>
      </c>
      <c r="F51" s="48">
        <f t="shared" si="10"/>
        <v>0</v>
      </c>
      <c r="Q51" s="89" t="str">
        <f t="shared" si="11"/>
        <v>Q</v>
      </c>
      <c r="R51" s="135">
        <f t="shared" si="13"/>
        <v>17.1</v>
      </c>
      <c r="S51" s="136">
        <f t="shared" si="13"/>
        <v>22.8</v>
      </c>
      <c r="T51" s="135">
        <f t="shared" si="13"/>
        <v>17.1</v>
      </c>
      <c r="U51" s="136">
        <f t="shared" si="13"/>
        <v>22.3</v>
      </c>
      <c r="V51" s="135">
        <f t="shared" si="13"/>
        <v>22.8</v>
      </c>
      <c r="W51" s="136">
        <f t="shared" si="13"/>
        <v>0</v>
      </c>
      <c r="X51" s="136">
        <f t="shared" si="13"/>
        <v>38</v>
      </c>
      <c r="Y51" s="89">
        <f t="shared" si="14"/>
        <v>2</v>
      </c>
      <c r="Z51">
        <v>42</v>
      </c>
    </row>
    <row r="52" spans="17:26">
      <c r="Q52" s="89" t="str">
        <f t="shared" si="11"/>
        <v>L</v>
      </c>
      <c r="R52" s="135">
        <f t="shared" si="13"/>
        <v>39.2</v>
      </c>
      <c r="S52" s="136">
        <f t="shared" si="13"/>
        <v>44.8</v>
      </c>
      <c r="T52" s="135">
        <f t="shared" si="13"/>
        <v>39.2</v>
      </c>
      <c r="U52" s="136">
        <f t="shared" si="13"/>
        <v>44.8</v>
      </c>
      <c r="V52" s="136">
        <f t="shared" si="13"/>
        <v>50.4</v>
      </c>
      <c r="W52" s="136">
        <f t="shared" si="13"/>
        <v>0</v>
      </c>
      <c r="X52" s="136">
        <f t="shared" si="13"/>
        <v>92.1</v>
      </c>
      <c r="Y52" s="89">
        <f t="shared" si="14"/>
        <v>2</v>
      </c>
      <c r="Z52">
        <v>96</v>
      </c>
    </row>
    <row r="53" spans="17:25">
      <c r="Q53" s="89">
        <f t="shared" si="11"/>
        <v>0</v>
      </c>
      <c r="R53" s="59">
        <f t="shared" si="13"/>
        <v>0</v>
      </c>
      <c r="S53" s="59">
        <f t="shared" si="13"/>
        <v>0</v>
      </c>
      <c r="T53" s="59">
        <f t="shared" si="13"/>
        <v>0</v>
      </c>
      <c r="U53" s="59">
        <f t="shared" si="13"/>
        <v>0</v>
      </c>
      <c r="V53" s="59">
        <f t="shared" si="13"/>
        <v>0</v>
      </c>
      <c r="W53" s="59">
        <f t="shared" si="13"/>
        <v>0</v>
      </c>
      <c r="X53" s="59">
        <f t="shared" si="13"/>
        <v>0</v>
      </c>
      <c r="Y53" s="89">
        <f t="shared" si="14"/>
        <v>0</v>
      </c>
    </row>
    <row r="54" spans="17:25">
      <c r="Q54" s="89">
        <f t="shared" si="11"/>
        <v>0</v>
      </c>
      <c r="R54" s="59">
        <f t="shared" si="13"/>
        <v>0</v>
      </c>
      <c r="S54" s="59">
        <f t="shared" si="13"/>
        <v>0</v>
      </c>
      <c r="T54" s="59">
        <f t="shared" si="13"/>
        <v>0</v>
      </c>
      <c r="U54" s="59">
        <f t="shared" si="13"/>
        <v>0</v>
      </c>
      <c r="V54" s="59">
        <f t="shared" si="13"/>
        <v>0</v>
      </c>
      <c r="W54" s="59">
        <f t="shared" si="13"/>
        <v>0</v>
      </c>
      <c r="X54" s="59">
        <f t="shared" si="13"/>
        <v>0</v>
      </c>
      <c r="Y54" s="89">
        <f t="shared" si="14"/>
        <v>0</v>
      </c>
    </row>
    <row r="55" spans="17:25">
      <c r="Q55" s="89">
        <f t="shared" si="11"/>
        <v>0</v>
      </c>
      <c r="R55" s="59">
        <f t="shared" si="13"/>
        <v>0</v>
      </c>
      <c r="S55" s="59">
        <f t="shared" si="13"/>
        <v>0</v>
      </c>
      <c r="T55" s="59">
        <f t="shared" si="13"/>
        <v>0</v>
      </c>
      <c r="U55" s="59">
        <f t="shared" si="13"/>
        <v>0</v>
      </c>
      <c r="V55" s="59">
        <f t="shared" si="13"/>
        <v>0</v>
      </c>
      <c r="W55" s="59">
        <f t="shared" si="13"/>
        <v>0</v>
      </c>
      <c r="X55" s="59">
        <f t="shared" si="13"/>
        <v>0</v>
      </c>
      <c r="Y55" s="89">
        <f t="shared" si="14"/>
        <v>0</v>
      </c>
    </row>
    <row r="56" spans="17:25">
      <c r="Q56" s="89">
        <f t="shared" si="11"/>
        <v>0</v>
      </c>
      <c r="R56" s="59">
        <f t="shared" si="13"/>
        <v>0</v>
      </c>
      <c r="S56" s="59">
        <f t="shared" si="13"/>
        <v>0</v>
      </c>
      <c r="T56" s="59">
        <f t="shared" si="13"/>
        <v>0</v>
      </c>
      <c r="U56" s="59">
        <f t="shared" si="13"/>
        <v>0</v>
      </c>
      <c r="V56" s="59">
        <f t="shared" si="13"/>
        <v>0</v>
      </c>
      <c r="W56" s="59">
        <f t="shared" si="13"/>
        <v>0</v>
      </c>
      <c r="X56" s="59">
        <f t="shared" si="13"/>
        <v>0</v>
      </c>
      <c r="Y56" s="89">
        <f t="shared" si="14"/>
        <v>0</v>
      </c>
    </row>
    <row r="64" spans="17:26">
      <c r="Q64" s="89" t="s">
        <v>200</v>
      </c>
      <c r="R64" s="89" t="s">
        <v>7</v>
      </c>
      <c r="S64" s="89" t="s">
        <v>10</v>
      </c>
      <c r="T64" s="89" t="s">
        <v>13</v>
      </c>
      <c r="U64" s="89" t="s">
        <v>16</v>
      </c>
      <c r="V64" s="89" t="s">
        <v>19</v>
      </c>
      <c r="W64" s="89" t="s">
        <v>22</v>
      </c>
      <c r="X64" s="89" t="s">
        <v>25</v>
      </c>
      <c r="Y64" s="140" t="s">
        <v>336</v>
      </c>
      <c r="Z64" s="141"/>
    </row>
    <row r="65" spans="17:26">
      <c r="Q65" s="89" t="str">
        <f t="shared" ref="Q65:Q76" si="15">J3</f>
        <v>S</v>
      </c>
      <c r="R65" s="69">
        <f>IF(Q65="S",Q29*$R$18/100,IF(Q65="B",Q29*$R$19/100,IF(Q65="Q",Q29*$R$20/100,Q29*$R$21/100)))</f>
        <v>28.3894591614789</v>
      </c>
      <c r="S65" s="69">
        <f t="shared" ref="S65:S76" si="16">IF(Q65="S",Q29*$S$18/100,IF(Q65="B",Q29*$S$19/100,IF(Q65="R",Q29*$S$20/100,Q29*$S$21/100)))</f>
        <v>22.7115673291831</v>
      </c>
      <c r="T65" s="69">
        <f t="shared" ref="T65:T76" si="17">IF(Q65="S",J29*$T$18/100,IF(Q65="B",J29*$T$19/100,IF(Q65="Q",J29*$T$20/100,J29*$T$21/100)))</f>
        <v>13.9567167344328</v>
      </c>
      <c r="U65" s="69">
        <f t="shared" ref="U65:U76" si="18">IF(Q65="S",J29*$U$18/100,IF(Q65="B",J29*$U$19/100,IF(Q65="Q",J29*$U$20/100,J29*$U$21/100)))</f>
        <v>17.445895918041</v>
      </c>
      <c r="V65" s="69">
        <f t="shared" ref="V65:V76" si="19">IF(Q65="S",J29*$V$18/100,IF(Q65="B",J29*$V$19/100,IF(Q65="Q",J29*$V$20/100,J29*$V$21/100)))</f>
        <v>23.7264184485357</v>
      </c>
      <c r="W65" s="69">
        <f t="shared" ref="W65:W76" si="20">IF(Q65="S",S29*$W$18/100,IF(Q65="B",S29*$W$19/100,IF(Q65="Q",S29*$W$20/100,S29*$W$21/100)))</f>
        <v>0</v>
      </c>
      <c r="X65" s="69">
        <f t="shared" ref="X65:X76" si="21">IF(Q65="S",S29*$X$18/100,IF(Q65="B",S29*$X$19/100,IF(Q65="Q",S29*$X$20/100,S29*$X$21/100)))</f>
        <v>37.0294212807405</v>
      </c>
      <c r="Y65" s="144">
        <f>W3-SUM(R65:X65)</f>
        <v>5.74052112758801</v>
      </c>
      <c r="Z65" s="144"/>
    </row>
    <row r="66" spans="17:26">
      <c r="Q66" s="89" t="str">
        <f t="shared" si="15"/>
        <v>S</v>
      </c>
      <c r="R66" s="69">
        <f t="shared" ref="R66:R76" si="22">IF(Q66="S",Q30*$R$18/100,IF(Q66="B",Q30*$R$19/100,IF(Q66="Q",Q30*$R$20/100,Q30*$R$21/100)))</f>
        <v>35.8859898884004</v>
      </c>
      <c r="S66" s="69">
        <f t="shared" si="16"/>
        <v>28.7087919107203</v>
      </c>
      <c r="T66" s="69">
        <f t="shared" si="17"/>
        <v>17.0984633048634</v>
      </c>
      <c r="U66" s="69">
        <f t="shared" si="18"/>
        <v>21.3730791310792</v>
      </c>
      <c r="V66" s="69">
        <f t="shared" si="19"/>
        <v>29.0673876182677</v>
      </c>
      <c r="W66" s="69">
        <f t="shared" si="20"/>
        <v>0</v>
      </c>
      <c r="X66" s="69">
        <f t="shared" si="21"/>
        <v>45.3874619180371</v>
      </c>
      <c r="Y66" s="144">
        <f t="shared" ref="Y66:Y76" si="23">W4-SUM(R66:X66)</f>
        <v>6.47882622863196</v>
      </c>
      <c r="Z66" s="144"/>
    </row>
    <row r="67" spans="17:26">
      <c r="Q67" s="89" t="str">
        <f t="shared" si="15"/>
        <v>B</v>
      </c>
      <c r="R67" s="69">
        <f t="shared" si="22"/>
        <v>19.7007300875609</v>
      </c>
      <c r="S67" s="69">
        <f t="shared" si="16"/>
        <v>20.5215938412093</v>
      </c>
      <c r="T67" s="69">
        <f t="shared" si="17"/>
        <v>15.6513930061068</v>
      </c>
      <c r="U67" s="69">
        <f t="shared" si="18"/>
        <v>16.191096213214</v>
      </c>
      <c r="V67" s="69">
        <f t="shared" si="19"/>
        <v>18.8896122487496</v>
      </c>
      <c r="W67" s="69">
        <f t="shared" si="20"/>
        <v>0</v>
      </c>
      <c r="X67" s="69">
        <f t="shared" si="21"/>
        <v>33.4947083923986</v>
      </c>
      <c r="Y67" s="144">
        <f t="shared" si="23"/>
        <v>7.55086621076073</v>
      </c>
      <c r="Z67" s="144"/>
    </row>
    <row r="68" spans="17:26">
      <c r="Q68" s="89" t="str">
        <f t="shared" si="15"/>
        <v>B</v>
      </c>
      <c r="R68" s="69">
        <f t="shared" si="22"/>
        <v>32.3746710499735</v>
      </c>
      <c r="S68" s="69">
        <f t="shared" si="16"/>
        <v>33.7236156770558</v>
      </c>
      <c r="T68" s="69">
        <f t="shared" si="17"/>
        <v>25.7032094640693</v>
      </c>
      <c r="U68" s="69">
        <f t="shared" si="18"/>
        <v>26.5895270317958</v>
      </c>
      <c r="V68" s="69">
        <f t="shared" si="19"/>
        <v>31.0211148704284</v>
      </c>
      <c r="W68" s="69">
        <f t="shared" si="20"/>
        <v>0</v>
      </c>
      <c r="X68" s="69">
        <f t="shared" si="21"/>
        <v>54.9746642591938</v>
      </c>
      <c r="Y68" s="144">
        <f t="shared" si="23"/>
        <v>2.6131976474833</v>
      </c>
      <c r="Z68" s="144"/>
    </row>
    <row r="69" spans="17:26">
      <c r="Q69" s="89" t="str">
        <f t="shared" si="15"/>
        <v>B</v>
      </c>
      <c r="R69" s="69">
        <f t="shared" si="22"/>
        <v>11.0686082217419</v>
      </c>
      <c r="S69" s="69">
        <f t="shared" si="16"/>
        <v>11.5298002309811</v>
      </c>
      <c r="T69" s="69">
        <f t="shared" si="17"/>
        <v>8.89300817312469</v>
      </c>
      <c r="U69" s="69">
        <f t="shared" si="18"/>
        <v>9.19966362737037</v>
      </c>
      <c r="V69" s="69">
        <f t="shared" si="19"/>
        <v>10.7329408985988</v>
      </c>
      <c r="W69" s="69">
        <f t="shared" si="20"/>
        <v>0</v>
      </c>
      <c r="X69" s="69">
        <f t="shared" si="21"/>
        <v>19.2141876997555</v>
      </c>
      <c r="Y69" s="144">
        <f t="shared" si="23"/>
        <v>1.3617911484277</v>
      </c>
      <c r="Z69" s="144"/>
    </row>
    <row r="70" spans="17:26">
      <c r="Q70" s="89" t="str">
        <f t="shared" si="15"/>
        <v>Q</v>
      </c>
      <c r="R70" s="69">
        <f t="shared" si="22"/>
        <v>15.902988769792</v>
      </c>
      <c r="S70" s="69">
        <f t="shared" si="16"/>
        <v>21.2039850263893</v>
      </c>
      <c r="T70" s="69">
        <f t="shared" si="17"/>
        <v>15.902988769792</v>
      </c>
      <c r="U70" s="69">
        <f t="shared" si="18"/>
        <v>20.6738854007296</v>
      </c>
      <c r="V70" s="69">
        <f t="shared" si="19"/>
        <v>21.2039850263893</v>
      </c>
      <c r="W70" s="69">
        <f t="shared" si="20"/>
        <v>0</v>
      </c>
      <c r="X70" s="69">
        <f t="shared" si="21"/>
        <v>35.1936761077297</v>
      </c>
      <c r="Y70" s="144">
        <f t="shared" si="23"/>
        <v>4.91849089917821</v>
      </c>
      <c r="Z70" s="144"/>
    </row>
    <row r="71" spans="17:26">
      <c r="Q71" s="89" t="str">
        <f t="shared" si="15"/>
        <v>Q</v>
      </c>
      <c r="R71" s="69">
        <f t="shared" si="22"/>
        <v>16.6874619792366</v>
      </c>
      <c r="S71" s="69">
        <f t="shared" si="16"/>
        <v>22.2499493056488</v>
      </c>
      <c r="T71" s="69">
        <f t="shared" si="17"/>
        <v>16.6874619792366</v>
      </c>
      <c r="U71" s="69">
        <f t="shared" si="18"/>
        <v>21.6937005730076</v>
      </c>
      <c r="V71" s="69">
        <f t="shared" si="19"/>
        <v>22.2499493056488</v>
      </c>
      <c r="W71" s="69">
        <f t="shared" si="20"/>
        <v>0</v>
      </c>
      <c r="X71" s="69">
        <f t="shared" si="21"/>
        <v>37.0651932779983</v>
      </c>
      <c r="Y71" s="144">
        <f t="shared" si="23"/>
        <v>3.36628357922319</v>
      </c>
      <c r="Z71" s="144"/>
    </row>
    <row r="72" spans="17:26">
      <c r="Q72" s="89" t="str">
        <f t="shared" si="15"/>
        <v>L</v>
      </c>
      <c r="R72" s="69">
        <f t="shared" si="22"/>
        <v>37.208646101162</v>
      </c>
      <c r="S72" s="69">
        <f t="shared" si="16"/>
        <v>42.5241669727566</v>
      </c>
      <c r="T72" s="69">
        <f t="shared" si="17"/>
        <v>37.208646101162</v>
      </c>
      <c r="U72" s="69">
        <f t="shared" si="18"/>
        <v>42.5241669727566</v>
      </c>
      <c r="V72" s="69">
        <f t="shared" si="19"/>
        <v>47.8396878443512</v>
      </c>
      <c r="W72" s="69">
        <f t="shared" si="20"/>
        <v>0</v>
      </c>
      <c r="X72" s="69">
        <f t="shared" si="21"/>
        <v>87.5249905783916</v>
      </c>
      <c r="Y72" s="144">
        <f t="shared" si="23"/>
        <v>15.1696954294201</v>
      </c>
      <c r="Z72" s="144"/>
    </row>
    <row r="73" spans="17:26">
      <c r="Q73" s="89">
        <f t="shared" si="15"/>
        <v>0</v>
      </c>
      <c r="R73" s="69">
        <f t="shared" si="22"/>
        <v>0.975961538461539</v>
      </c>
      <c r="S73" s="69">
        <f t="shared" si="16"/>
        <v>1.11538461538462</v>
      </c>
      <c r="T73" s="69">
        <f t="shared" si="17"/>
        <v>0.975961538461539</v>
      </c>
      <c r="U73" s="69">
        <f t="shared" si="18"/>
        <v>1.11538461538462</v>
      </c>
      <c r="V73" s="69">
        <f t="shared" si="19"/>
        <v>1.25480769230769</v>
      </c>
      <c r="W73" s="69">
        <f t="shared" si="20"/>
        <v>0</v>
      </c>
      <c r="X73" s="69">
        <f t="shared" si="21"/>
        <v>2.2843895428415</v>
      </c>
      <c r="Y73" s="144">
        <f t="shared" si="23"/>
        <v>-7.7218895428415</v>
      </c>
      <c r="Z73" s="144"/>
    </row>
    <row r="74" spans="17:26">
      <c r="Q74" s="89">
        <f t="shared" si="15"/>
        <v>0</v>
      </c>
      <c r="R74" s="69">
        <f t="shared" si="22"/>
        <v>0.975961538461539</v>
      </c>
      <c r="S74" s="69">
        <f t="shared" si="16"/>
        <v>1.11538461538462</v>
      </c>
      <c r="T74" s="69">
        <f t="shared" si="17"/>
        <v>0.975961538461539</v>
      </c>
      <c r="U74" s="69">
        <f t="shared" si="18"/>
        <v>1.11538461538462</v>
      </c>
      <c r="V74" s="69">
        <f t="shared" si="19"/>
        <v>1.25480769230769</v>
      </c>
      <c r="W74" s="69">
        <f t="shared" si="20"/>
        <v>0</v>
      </c>
      <c r="X74" s="69">
        <f t="shared" si="21"/>
        <v>2.2843895428415</v>
      </c>
      <c r="Y74" s="144">
        <f t="shared" si="23"/>
        <v>-7.7218895428415</v>
      </c>
      <c r="Z74" s="144"/>
    </row>
    <row r="75" spans="17:26">
      <c r="Q75" s="89">
        <f t="shared" si="15"/>
        <v>0</v>
      </c>
      <c r="R75" s="69">
        <f t="shared" si="22"/>
        <v>0.975961538461539</v>
      </c>
      <c r="S75" s="69">
        <f t="shared" si="16"/>
        <v>1.11538461538462</v>
      </c>
      <c r="T75" s="69">
        <f t="shared" si="17"/>
        <v>0.975961538461539</v>
      </c>
      <c r="U75" s="69">
        <f t="shared" si="18"/>
        <v>1.11538461538462</v>
      </c>
      <c r="V75" s="69">
        <f t="shared" si="19"/>
        <v>1.25480769230769</v>
      </c>
      <c r="W75" s="69">
        <f t="shared" si="20"/>
        <v>0</v>
      </c>
      <c r="X75" s="69">
        <f t="shared" si="21"/>
        <v>2.2843895428415</v>
      </c>
      <c r="Y75" s="144">
        <f t="shared" si="23"/>
        <v>-7.7218895428415</v>
      </c>
      <c r="Z75" s="144"/>
    </row>
    <row r="76" spans="17:26">
      <c r="Q76" s="89">
        <f t="shared" si="15"/>
        <v>0</v>
      </c>
      <c r="R76" s="69">
        <f t="shared" si="22"/>
        <v>0.975961538461539</v>
      </c>
      <c r="S76" s="69">
        <f t="shared" si="16"/>
        <v>1.11538461538462</v>
      </c>
      <c r="T76" s="69">
        <f t="shared" si="17"/>
        <v>0.975961538461539</v>
      </c>
      <c r="U76" s="69">
        <f t="shared" si="18"/>
        <v>1.11538461538462</v>
      </c>
      <c r="V76" s="69">
        <f t="shared" si="19"/>
        <v>1.25480769230769</v>
      </c>
      <c r="W76" s="69">
        <f t="shared" si="20"/>
        <v>0</v>
      </c>
      <c r="X76" s="69">
        <f t="shared" si="21"/>
        <v>2.2843895428415</v>
      </c>
      <c r="Y76" s="144">
        <f t="shared" si="23"/>
        <v>-7.7218895428415</v>
      </c>
      <c r="Z76" s="144"/>
    </row>
    <row r="77" spans="25:25">
      <c r="Y77" s="69"/>
    </row>
    <row r="78" spans="25:25">
      <c r="Y78" s="69"/>
    </row>
    <row r="79" spans="17:25">
      <c r="Q79" s="69"/>
      <c r="R79" s="69">
        <f t="shared" ref="R79:R86" si="24">Y65*R65/SUM(R65:X65)</f>
        <v>1.13758818194787</v>
      </c>
      <c r="S79" s="69">
        <f t="shared" ref="S79:S86" si="25">Y65*S65/SUM(R65:X65)</f>
        <v>0.910070545558298</v>
      </c>
      <c r="T79" s="69">
        <f t="shared" ref="T79:T86" si="26">Y65*T65/SUM(R65:X65)</f>
        <v>0.559256727138642</v>
      </c>
      <c r="U79" s="69">
        <f t="shared" ref="U79:U86" si="27">Y65*U65/SUM(R65:X65)</f>
        <v>0.699070908923302</v>
      </c>
      <c r="V79" s="69">
        <f t="shared" ref="V79:V86" si="28">Y65*V65/SUM(R65:X65)</f>
        <v>0.950736436135691</v>
      </c>
      <c r="W79" s="69">
        <f t="shared" ref="W79:W86" si="29">Y65*W65/SUM(R65:X65)</f>
        <v>0</v>
      </c>
      <c r="X79" s="69">
        <f t="shared" ref="X79:X86" si="30">Y65*X65/SUM(R65:X65)</f>
        <v>1.48379832788421</v>
      </c>
      <c r="Y79" s="69"/>
    </row>
    <row r="80" spans="17:25">
      <c r="Q80" s="69"/>
      <c r="R80" s="69">
        <f t="shared" si="24"/>
        <v>1.30969781006985</v>
      </c>
      <c r="S80" s="69">
        <f t="shared" si="25"/>
        <v>1.04775824805588</v>
      </c>
      <c r="T80" s="69">
        <f t="shared" si="26"/>
        <v>0.624026814240888</v>
      </c>
      <c r="U80" s="69">
        <f t="shared" si="27"/>
        <v>0.780033517801109</v>
      </c>
      <c r="V80" s="69">
        <f t="shared" si="28"/>
        <v>1.06084558420951</v>
      </c>
      <c r="W80" s="69">
        <f t="shared" si="29"/>
        <v>0</v>
      </c>
      <c r="X80" s="69">
        <f t="shared" si="30"/>
        <v>1.65646425425473</v>
      </c>
      <c r="Y80" s="69"/>
    </row>
    <row r="81" spans="17:25">
      <c r="Q81" s="69"/>
      <c r="R81" s="69">
        <f t="shared" si="24"/>
        <v>1.19532834513263</v>
      </c>
      <c r="S81" s="69">
        <f t="shared" si="25"/>
        <v>1.24513369284649</v>
      </c>
      <c r="T81" s="69">
        <f t="shared" si="26"/>
        <v>0.949637582864138</v>
      </c>
      <c r="U81" s="69">
        <f t="shared" si="27"/>
        <v>0.982383706411177</v>
      </c>
      <c r="V81" s="69">
        <f t="shared" si="28"/>
        <v>1.14611432414637</v>
      </c>
      <c r="W81" s="69">
        <f t="shared" si="29"/>
        <v>0</v>
      </c>
      <c r="X81" s="69">
        <f t="shared" si="30"/>
        <v>2.03226855935991</v>
      </c>
      <c r="Y81" s="69"/>
    </row>
    <row r="82" spans="18:24">
      <c r="R82" s="69">
        <f t="shared" si="24"/>
        <v>0.413927970162771</v>
      </c>
      <c r="S82" s="69">
        <f t="shared" si="25"/>
        <v>0.431174968919553</v>
      </c>
      <c r="T82" s="69">
        <f t="shared" si="26"/>
        <v>0.328629665571209</v>
      </c>
      <c r="U82" s="69">
        <f t="shared" si="27"/>
        <v>0.339961723004699</v>
      </c>
      <c r="V82" s="69">
        <f t="shared" si="28"/>
        <v>0.396622010172149</v>
      </c>
      <c r="W82" s="69">
        <f t="shared" si="29"/>
        <v>0</v>
      </c>
      <c r="X82" s="69">
        <f t="shared" si="30"/>
        <v>0.702881309652922</v>
      </c>
    </row>
    <row r="83" spans="18:24">
      <c r="R83" s="69">
        <f t="shared" si="24"/>
        <v>0.213384978849823</v>
      </c>
      <c r="S83" s="69">
        <f t="shared" si="25"/>
        <v>0.222276019635232</v>
      </c>
      <c r="T83" s="69">
        <f t="shared" si="26"/>
        <v>0.171442906182733</v>
      </c>
      <c r="U83" s="69">
        <f t="shared" si="27"/>
        <v>0.177354730533861</v>
      </c>
      <c r="V83" s="69">
        <f t="shared" si="28"/>
        <v>0.206913852289505</v>
      </c>
      <c r="W83" s="69">
        <f t="shared" si="29"/>
        <v>0</v>
      </c>
      <c r="X83" s="69">
        <f t="shared" si="30"/>
        <v>0.370418660936545</v>
      </c>
    </row>
    <row r="84" spans="18:24">
      <c r="R84" s="69">
        <f t="shared" si="24"/>
        <v>0.601305335974619</v>
      </c>
      <c r="S84" s="69">
        <f t="shared" si="25"/>
        <v>0.801740447966158</v>
      </c>
      <c r="T84" s="69">
        <f t="shared" si="26"/>
        <v>0.601305335974619</v>
      </c>
      <c r="U84" s="69">
        <f t="shared" si="27"/>
        <v>0.781696936767004</v>
      </c>
      <c r="V84" s="69">
        <f t="shared" si="28"/>
        <v>0.801740447966158</v>
      </c>
      <c r="W84" s="69">
        <f t="shared" si="29"/>
        <v>0</v>
      </c>
      <c r="X84" s="69">
        <f t="shared" si="30"/>
        <v>1.33070239452965</v>
      </c>
    </row>
    <row r="85" spans="18:24">
      <c r="R85" s="69">
        <f t="shared" si="24"/>
        <v>0.41113372827114</v>
      </c>
      <c r="S85" s="69">
        <f t="shared" si="25"/>
        <v>0.54817830436152</v>
      </c>
      <c r="T85" s="69">
        <f t="shared" si="26"/>
        <v>0.41113372827114</v>
      </c>
      <c r="U85" s="69">
        <f t="shared" si="27"/>
        <v>0.534473846752482</v>
      </c>
      <c r="V85" s="69">
        <f t="shared" si="28"/>
        <v>0.54817830436152</v>
      </c>
      <c r="W85" s="69">
        <f t="shared" si="29"/>
        <v>0</v>
      </c>
      <c r="X85" s="69">
        <f t="shared" si="30"/>
        <v>0.913185667205393</v>
      </c>
    </row>
    <row r="86" spans="18:24">
      <c r="R86" s="69">
        <f t="shared" si="24"/>
        <v>1.91447018825903</v>
      </c>
      <c r="S86" s="69">
        <f t="shared" si="25"/>
        <v>2.1879659294389</v>
      </c>
      <c r="T86" s="69">
        <f t="shared" si="26"/>
        <v>1.91447018825903</v>
      </c>
      <c r="U86" s="69">
        <f t="shared" si="27"/>
        <v>2.1879659294389</v>
      </c>
      <c r="V86" s="69">
        <f t="shared" si="28"/>
        <v>2.46146167061876</v>
      </c>
      <c r="W86" s="69">
        <f t="shared" si="29"/>
        <v>0</v>
      </c>
      <c r="X86" s="69">
        <f t="shared" si="30"/>
        <v>4.50336152340546</v>
      </c>
    </row>
    <row r="87" spans="18:24">
      <c r="R87" s="69">
        <f t="shared" ref="R87:R90" si="31">Y73*R73/SUM(R73:X73)</f>
        <v>-0.975961538461539</v>
      </c>
      <c r="S87" s="69">
        <f t="shared" ref="S87:S90" si="32">Y73*S73/SUM(R73:X73)</f>
        <v>-1.11538461538462</v>
      </c>
      <c r="T87" s="69">
        <f t="shared" ref="T87:T90" si="33">Y73*T73/SUM(R73:X73)</f>
        <v>-0.975961538461539</v>
      </c>
      <c r="U87" s="69">
        <f t="shared" ref="U87:U90" si="34">Y73*U73/SUM(R73:X73)</f>
        <v>-1.11538461538462</v>
      </c>
      <c r="V87" s="69">
        <f t="shared" ref="V87:V90" si="35">Y73*V73/SUM(R73:X73)</f>
        <v>-1.25480769230769</v>
      </c>
      <c r="W87" s="69">
        <f t="shared" ref="W87:W90" si="36">Y73*W73/SUM(R73:X73)</f>
        <v>0</v>
      </c>
      <c r="X87" s="69">
        <f t="shared" ref="X87:X90" si="37">Y73*X73/SUM(R73:X73)</f>
        <v>-2.2843895428415</v>
      </c>
    </row>
    <row r="88" spans="18:24">
      <c r="R88" s="69">
        <f t="shared" si="31"/>
        <v>-0.975961538461539</v>
      </c>
      <c r="S88" s="69">
        <f t="shared" si="32"/>
        <v>-1.11538461538462</v>
      </c>
      <c r="T88" s="69">
        <f t="shared" si="33"/>
        <v>-0.975961538461539</v>
      </c>
      <c r="U88" s="69">
        <f t="shared" si="34"/>
        <v>-1.11538461538462</v>
      </c>
      <c r="V88" s="69">
        <f t="shared" si="35"/>
        <v>-1.25480769230769</v>
      </c>
      <c r="W88" s="69">
        <f t="shared" si="36"/>
        <v>0</v>
      </c>
      <c r="X88" s="69">
        <f t="shared" si="37"/>
        <v>-2.2843895428415</v>
      </c>
    </row>
    <row r="89" spans="18:24">
      <c r="R89" s="69">
        <f t="shared" si="31"/>
        <v>-0.975961538461539</v>
      </c>
      <c r="S89" s="69">
        <f t="shared" si="32"/>
        <v>-1.11538461538462</v>
      </c>
      <c r="T89" s="69">
        <f t="shared" si="33"/>
        <v>-0.975961538461539</v>
      </c>
      <c r="U89" s="69">
        <f t="shared" si="34"/>
        <v>-1.11538461538462</v>
      </c>
      <c r="V89" s="69">
        <f t="shared" si="35"/>
        <v>-1.25480769230769</v>
      </c>
      <c r="W89" s="69">
        <f t="shared" si="36"/>
        <v>0</v>
      </c>
      <c r="X89" s="69">
        <f t="shared" si="37"/>
        <v>-2.2843895428415</v>
      </c>
    </row>
    <row r="90" spans="18:24">
      <c r="R90" s="69">
        <f t="shared" si="31"/>
        <v>-0.975961538461539</v>
      </c>
      <c r="S90" s="69">
        <f t="shared" si="32"/>
        <v>-1.11538461538462</v>
      </c>
      <c r="T90" s="69">
        <f t="shared" si="33"/>
        <v>-0.975961538461539</v>
      </c>
      <c r="U90" s="69">
        <f t="shared" si="34"/>
        <v>-1.11538461538462</v>
      </c>
      <c r="V90" s="69">
        <f t="shared" si="35"/>
        <v>-1.25480769230769</v>
      </c>
      <c r="W90" s="69">
        <f t="shared" si="36"/>
        <v>0</v>
      </c>
      <c r="X90" s="69">
        <f t="shared" si="37"/>
        <v>-2.2843895428415</v>
      </c>
    </row>
  </sheetData>
  <mergeCells count="90">
    <mergeCell ref="S1:V1"/>
    <mergeCell ref="AD2:AG2"/>
    <mergeCell ref="AD3:AF3"/>
    <mergeCell ref="AD4:AF4"/>
    <mergeCell ref="AJ4:AL4"/>
    <mergeCell ref="AO4:AP4"/>
    <mergeCell ref="AK12:AL12"/>
    <mergeCell ref="AD15:AE15"/>
    <mergeCell ref="AD16:AE16"/>
    <mergeCell ref="J17:K17"/>
    <mergeCell ref="AJ17:AL17"/>
    <mergeCell ref="A18:B18"/>
    <mergeCell ref="J21:K21"/>
    <mergeCell ref="AD23:AE23"/>
    <mergeCell ref="AD24:AE24"/>
    <mergeCell ref="AD25:AE25"/>
    <mergeCell ref="AD26:AE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Y64:Z64"/>
    <mergeCell ref="Y65:Z65"/>
    <mergeCell ref="Y66:Z66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J18:K20"/>
    <mergeCell ref="J22:K24"/>
    <mergeCell ref="AJ18:AK19"/>
    <mergeCell ref="AJ20:AK23"/>
    <mergeCell ref="AJ24:AK26"/>
    <mergeCell ref="AI2:AJ3"/>
    <mergeCell ref="AL2:AM3"/>
    <mergeCell ref="AO5:AP6"/>
  </mergeCells>
  <dataValidations count="4">
    <dataValidation type="list" allowBlank="1" showInputMessage="1" showErrorMessage="1" sqref="AE5:AE7">
      <formula1>"购买小厂房,购买中厂房,购买大厂房"</formula1>
    </dataValidation>
    <dataValidation type="list" allowBlank="1" showInputMessage="1" showErrorMessage="1" sqref="AF17:AF24">
      <formula1>"1,0"</formula1>
    </dataValidation>
    <dataValidation type="list" allowBlank="1" showInputMessage="1" showErrorMessage="1" sqref="AE8:AE10">
      <formula1>"租用小厂房,租用中厂房,租用大厂房"</formula1>
    </dataValidation>
    <dataValidation type="list" allowBlank="1" showInputMessage="1" showErrorMessage="1" sqref="AE11:AE14">
      <formula1>"手工线,半自动线,全自动线,柔性线"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P53"/>
  <sheetViews>
    <sheetView zoomScale="91" zoomScaleNormal="91" topLeftCell="T1" workbookViewId="0">
      <selection activeCell="Y3" sqref="Y3:Y10"/>
    </sheetView>
  </sheetViews>
  <sheetFormatPr defaultColWidth="9" defaultRowHeight="13.8"/>
  <cols>
    <col min="2" max="2" width="14.2222222222222" customWidth="1"/>
    <col min="3" max="3" width="8.88888888888889" hidden="1" customWidth="1"/>
    <col min="4" max="4" width="13.6666666666667" hidden="1" customWidth="1"/>
    <col min="5" max="5" width="15.3333333333333" hidden="1" customWidth="1"/>
    <col min="6" max="6" width="8.88888888888889" hidden="1" customWidth="1"/>
    <col min="10" max="10" width="9.44444444444444" customWidth="1"/>
    <col min="12" max="16" width="8.88888888888889" hidden="1" customWidth="1"/>
    <col min="17" max="17" width="14.7777777777778" customWidth="1"/>
    <col min="18" max="18" width="14" customWidth="1"/>
    <col min="19" max="19" width="13.2222222222222" customWidth="1"/>
    <col min="20" max="20" width="12.4444444444444" customWidth="1"/>
    <col min="21" max="21" width="13" customWidth="1"/>
    <col min="22" max="22" width="11.5555555555556" customWidth="1"/>
    <col min="23" max="23" width="12.4444444444444" customWidth="1"/>
    <col min="24" max="24" width="14" customWidth="1"/>
    <col min="27" max="27" width="15.2222222222222" customWidth="1"/>
    <col min="31" max="31" width="16.5555555555556" customWidth="1"/>
    <col min="33" max="33" width="12.5555555555556" customWidth="1"/>
    <col min="34" max="34" width="12.4444444444444" customWidth="1"/>
    <col min="37" max="37" width="14.7777777777778" customWidth="1"/>
    <col min="39" max="39" width="11.3333333333333" customWidth="1"/>
    <col min="40" max="40" width="12.4444444444444" customWidth="1"/>
    <col min="41" max="41" width="20" customWidth="1"/>
    <col min="42" max="42" width="18.6666666666667" customWidth="1"/>
  </cols>
  <sheetData>
    <row r="1" spans="1:8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71" t="s">
        <v>196</v>
      </c>
      <c r="H1" s="29" t="s">
        <v>197</v>
      </c>
    </row>
    <row r="2" spans="1:42">
      <c r="A2" s="69"/>
      <c r="B2" s="72"/>
      <c r="C2" s="73"/>
      <c r="D2" s="29"/>
      <c r="E2" s="29"/>
      <c r="F2" s="69"/>
      <c r="G2" s="74"/>
      <c r="H2" s="29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281</v>
      </c>
      <c r="R2" s="89" t="s">
        <v>312</v>
      </c>
      <c r="S2" s="89" t="s">
        <v>201</v>
      </c>
      <c r="T2" s="89" t="s">
        <v>202</v>
      </c>
      <c r="U2" s="89" t="s">
        <v>203</v>
      </c>
      <c r="V2" s="89" t="s">
        <v>204</v>
      </c>
      <c r="W2" s="89" t="s">
        <v>205</v>
      </c>
      <c r="X2" s="89" t="s">
        <v>206</v>
      </c>
      <c r="Y2" s="89" t="s">
        <v>207</v>
      </c>
      <c r="Z2" s="89" t="s">
        <v>282</v>
      </c>
      <c r="AA2" s="43" t="s">
        <v>208</v>
      </c>
      <c r="AB2" s="89" t="s">
        <v>207</v>
      </c>
      <c r="AD2" s="31" t="s">
        <v>209</v>
      </c>
      <c r="AE2" s="31"/>
      <c r="AF2" s="31"/>
      <c r="AG2" s="31"/>
      <c r="AI2" s="107" t="s">
        <v>210</v>
      </c>
      <c r="AJ2" s="108"/>
      <c r="AK2" s="54">
        <v>0.02</v>
      </c>
      <c r="AL2" s="107" t="s">
        <v>211</v>
      </c>
      <c r="AM2" s="108"/>
      <c r="AN2" s="54">
        <v>229144.52</v>
      </c>
      <c r="AO2" s="31" t="s">
        <v>212</v>
      </c>
      <c r="AP2" s="31" t="s">
        <v>213</v>
      </c>
    </row>
    <row r="3" ht="25.95" spans="1:42">
      <c r="A3" s="75" t="s">
        <v>214</v>
      </c>
      <c r="B3" s="76">
        <f>SUMIF($L$3:$L$14,1,$S$3:$S$14)+SUMIF($L$3:$L$14,1,$T$3:$T$14)+SUMIF($L$3:$L$14,1,$U$3:$U$14)+SUMIF($L$3:$L$14,1,$V$3:$V$14)</f>
        <v>648</v>
      </c>
      <c r="C3" s="77">
        <f>参数调整!F45</f>
        <v>38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</v>
      </c>
      <c r="E3" s="77">
        <f>参数调整!I45</f>
        <v>1</v>
      </c>
      <c r="F3" s="69">
        <f>D3*G3*(参数调整!$B$6+1)</f>
        <v>25929.072</v>
      </c>
      <c r="G3" s="78">
        <f>IF(B3-E38&lt;=0,0,B3-E38)</f>
        <v>648</v>
      </c>
      <c r="H3" s="29"/>
      <c r="J3" s="54" t="str">
        <f>第一季度!J3</f>
        <v>S</v>
      </c>
      <c r="K3" s="54">
        <f>第一季度!K3</f>
        <v>113</v>
      </c>
      <c r="L3" s="43" t="str">
        <f>LEFT(K3,1)</f>
        <v>1</v>
      </c>
      <c r="M3" s="43" t="str">
        <f>MID(K3,2,1)</f>
        <v>1</v>
      </c>
      <c r="N3" s="43" t="str">
        <f>MID(K3,3,1)</f>
        <v>3</v>
      </c>
      <c r="O3" s="43" t="str">
        <f>MID(K3,4,1)</f>
        <v/>
      </c>
      <c r="P3" s="43" t="str">
        <f>MID(K3,5,1)</f>
        <v/>
      </c>
      <c r="Q3" s="54">
        <v>3</v>
      </c>
      <c r="R3" s="54">
        <v>0</v>
      </c>
      <c r="S3" s="54">
        <v>0</v>
      </c>
      <c r="T3" s="54">
        <v>0</v>
      </c>
      <c r="U3" s="54">
        <v>0</v>
      </c>
      <c r="V3" s="54">
        <v>74</v>
      </c>
      <c r="W3" s="99">
        <f>TRUNC(S3*参数调整!$I$30)+TRUNC(T3*参数调整!$H$30)+TRUNC(U3*参数调整!$G$30)+TRUNC(V3*参数调整!$F$30)+Q3</f>
        <v>69</v>
      </c>
      <c r="X3" s="99">
        <f>IF(J3="S",Y29*SUM($R$18:$X$18)/100,IF(J3="B",Y29*SUM($R$19:$X$19)/100,IF(J3="Q",Y29*SUM($R$20:$X$20)/100,Y29*SUM($R$21:$X$21)/100)))</f>
        <v>172.576199459151</v>
      </c>
      <c r="Y3" s="54">
        <v>6700</v>
      </c>
      <c r="Z3" s="89">
        <f>Y3+第三季度!Y3*0.53653684*0.46055126+第四季度!Y3*0.53653684</f>
        <v>16193.4537329795</v>
      </c>
      <c r="AA3" s="89">
        <f>IF(J3="S",Z3*参数调整!$H$11/($X$29*$J$18),IF(J3="B",Z3*参数调整!$H$12/($X$30*$J$18),IF(J3="Q",Z3*参数调整!$H$13/($X$31*$J$18),Z3*参数调整!$H$14/($X$32*$J$18))))</f>
        <v>0.457014675902253</v>
      </c>
      <c r="AB3" s="43">
        <f>SUMIF(J3:J14,"S",Z3:Z14)</f>
        <v>16193.4537329795</v>
      </c>
      <c r="AD3" s="31" t="s">
        <v>215</v>
      </c>
      <c r="AE3" s="31"/>
      <c r="AF3" s="31"/>
      <c r="AG3" s="54">
        <v>25948.04</v>
      </c>
      <c r="AI3" s="73"/>
      <c r="AJ3" s="109"/>
      <c r="AK3" s="54"/>
      <c r="AL3" s="73"/>
      <c r="AM3" s="109"/>
      <c r="AN3" s="54"/>
      <c r="AO3" s="130">
        <v>375230.7</v>
      </c>
      <c r="AP3" s="130">
        <v>212033.25</v>
      </c>
    </row>
    <row r="4" ht="27" customHeight="1" spans="1:42">
      <c r="A4" s="75" t="s">
        <v>216</v>
      </c>
      <c r="B4" s="76">
        <f>SUMIF($L$3:$L$14,2,$S$3:$S$14)+SUMIF($L$3:$L$14,2,$T$3:$T$14)+SUMIF($L$3:$L$14,2,$U$3:$U$14)+SUMIF($L$3:$L$14,2,$V$3:$V$14)</f>
        <v>120</v>
      </c>
      <c r="C4" s="77">
        <f>参数调整!F46</f>
        <v>80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77">
        <f>参数调整!I46</f>
        <v>1</v>
      </c>
      <c r="F4" s="69">
        <f>D4*G4*(参数调整!$B$6+1)</f>
        <v>11232</v>
      </c>
      <c r="G4" s="78">
        <f t="shared" ref="G4:G16" si="0">IF(B4-E39&lt;=0,0,B4-E39)</f>
        <v>120</v>
      </c>
      <c r="H4" s="29"/>
      <c r="J4" s="54" t="str">
        <f>第一季度!J4</f>
        <v>S</v>
      </c>
      <c r="K4" s="54">
        <f>第一季度!K4</f>
        <v>3333</v>
      </c>
      <c r="L4" s="43" t="str">
        <f>LEFT(K4,1)</f>
        <v>3</v>
      </c>
      <c r="M4" s="43" t="str">
        <f>MID(K4,2,1)</f>
        <v>3</v>
      </c>
      <c r="N4" s="43" t="str">
        <f>MID(K4,3,1)</f>
        <v>3</v>
      </c>
      <c r="O4" s="43" t="str">
        <f>MID(K4,4,1)</f>
        <v>3</v>
      </c>
      <c r="P4" s="43" t="str">
        <f t="shared" ref="P4:P14" si="1">MID(K4,5,1)</f>
        <v/>
      </c>
      <c r="Q4" s="54">
        <v>3</v>
      </c>
      <c r="R4" s="54">
        <v>0</v>
      </c>
      <c r="S4" s="54">
        <v>0</v>
      </c>
      <c r="T4" s="54">
        <v>0</v>
      </c>
      <c r="U4" s="54">
        <v>0</v>
      </c>
      <c r="V4" s="54">
        <v>132</v>
      </c>
      <c r="W4" s="99">
        <f>TRUNC(S4*参数调整!$I$30)+TRUNC(T4*参数调整!$H$30)+TRUNC(U4*参数调整!$G$30)+TRUNC(V4*参数调整!$F$30)+Q4</f>
        <v>121</v>
      </c>
      <c r="X4" s="99">
        <f t="shared" ref="X4:X14" si="2">IF(J4="S",Y30*SUM($R$18:$X$18)/100,IF(J4="B",Y30*SUM($R$19:$X$19)/100,IF(J4="Q",Y30*SUM($R$20:$X$20)/100,Y30*SUM($R$21:$X$21)/100)))</f>
        <v>210.318014494491</v>
      </c>
      <c r="Y4" s="54">
        <v>0</v>
      </c>
      <c r="Z4" s="89">
        <f>Y4+第三季度!Y4*0.53653684*0.46055126+第四季度!Y4*0.53653684</f>
        <v>0</v>
      </c>
      <c r="AA4" s="89">
        <f>IF(J4="S",Z4*参数调整!$H$11/($X$29*$J$18),IF(J4="B",Z4*参数调整!$H$12/($X$30*$J$18),IF(J4="Q",Z4*参数调整!$H$13/($X$31*$J$18),Z4*参数调整!$H$14/($X$32*$J$18))))</f>
        <v>0</v>
      </c>
      <c r="AB4" s="43">
        <f>SUMIF(J4:J15,"B",Z3:Z14)</f>
        <v>14422.3159540984</v>
      </c>
      <c r="AD4" s="31" t="s">
        <v>266</v>
      </c>
      <c r="AE4" s="31"/>
      <c r="AF4" s="31"/>
      <c r="AG4" s="54">
        <v>0</v>
      </c>
      <c r="AH4">
        <v>159588.39</v>
      </c>
      <c r="AI4" s="110" t="s">
        <v>337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</row>
    <row r="5" ht="25.95" spans="1:42">
      <c r="A5" s="75" t="s">
        <v>154</v>
      </c>
      <c r="B5" s="79">
        <f>SUMIF($L$3:$L$14,3,$S$3:$S$14)+SUMIF($L$3:$L$14,3,$T$3:$T$14)+SUMIF($L$3:$L$14,3,$U$3:$U$14)+SUMIF($L$3:$L$14,3,$V$3:$V$14)</f>
        <v>132</v>
      </c>
      <c r="C5" s="77">
        <f>参数调整!F47</f>
        <v>114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114</v>
      </c>
      <c r="E5" s="77">
        <f>参数调整!I47</f>
        <v>1</v>
      </c>
      <c r="F5" s="69">
        <f>D5*G5*(参数调整!$B$6+1)</f>
        <v>15071.94</v>
      </c>
      <c r="G5" s="78">
        <f t="shared" si="0"/>
        <v>113</v>
      </c>
      <c r="H5" s="38">
        <v>106</v>
      </c>
      <c r="J5" s="54" t="str">
        <f>第一季度!J5</f>
        <v>B</v>
      </c>
      <c r="K5" s="54">
        <f>第一季度!K5</f>
        <v>1111</v>
      </c>
      <c r="L5" s="43" t="str">
        <f>LEFT(K5,1)</f>
        <v>1</v>
      </c>
      <c r="M5" s="43" t="str">
        <f>MID(K5,2,1)</f>
        <v>1</v>
      </c>
      <c r="N5" s="43" t="str">
        <f>MID(K5,3,1)</f>
        <v>1</v>
      </c>
      <c r="O5" s="43" t="str">
        <f>MID(K5,4,1)</f>
        <v>1</v>
      </c>
      <c r="P5" s="43" t="str">
        <f t="shared" si="1"/>
        <v/>
      </c>
      <c r="Q5" s="54">
        <v>3</v>
      </c>
      <c r="R5" s="54">
        <v>0</v>
      </c>
      <c r="S5" s="54">
        <v>0</v>
      </c>
      <c r="T5" s="54">
        <v>0</v>
      </c>
      <c r="U5" s="54">
        <v>0</v>
      </c>
      <c r="V5" s="54">
        <v>68</v>
      </c>
      <c r="W5" s="99">
        <f>TRUNC(S5*参数调整!$I$30)+TRUNC(T5*参数调整!$H$30)+TRUNC(U5*参数调整!$G$30)+TRUNC(V5*参数调整!$F$30)+Q5</f>
        <v>64</v>
      </c>
      <c r="X5" s="99">
        <f t="shared" si="2"/>
        <v>154.862603472141</v>
      </c>
      <c r="Y5" s="54">
        <v>2800</v>
      </c>
      <c r="Z5" s="89">
        <f>Y5+第三季度!Y5*0.53653684*0.46055126+第四季度!Y5*0.53653684</f>
        <v>4292.50041489845</v>
      </c>
      <c r="AA5" s="89">
        <f>IF(J5="S",Z5*参数调整!$H$11/($X$29*$J$18),IF(J5="B",Z5*参数调整!$H$12/($X$30*$J$18),IF(J5="Q",Z5*参数调整!$H$13/($X$31*$J$18),Z5*参数调整!$H$14/($X$32*$J$18))))</f>
        <v>0.110498065358293</v>
      </c>
      <c r="AB5" s="43">
        <f>SUMIF(J3:J14,"Q",Z3:Z14)</f>
        <v>8913.74520272</v>
      </c>
      <c r="AD5" s="31" t="s">
        <v>217</v>
      </c>
      <c r="AE5" s="31" t="s">
        <v>218</v>
      </c>
      <c r="AF5" s="54">
        <v>0</v>
      </c>
      <c r="AG5" s="89">
        <f>AF5*参数调整!$J$23</f>
        <v>0</v>
      </c>
      <c r="AI5" s="111"/>
      <c r="AJ5" s="70" t="s">
        <v>225</v>
      </c>
      <c r="AK5" s="70" t="s">
        <v>226</v>
      </c>
      <c r="AL5" s="31" t="s">
        <v>101</v>
      </c>
      <c r="AM5" s="43">
        <f>SUM(S3:S14)</f>
        <v>0</v>
      </c>
      <c r="AN5" s="31">
        <f>AM5*参数调整!$I$32</f>
        <v>0</v>
      </c>
      <c r="AO5" s="131">
        <f>AN2+AO36*(1-参数调整!B23)+AP36*(1-参数调整!B24)</f>
        <v>367083.074</v>
      </c>
      <c r="AP5" s="131"/>
    </row>
    <row r="6" ht="14.4" customHeight="1" spans="1:42">
      <c r="A6" s="75" t="s">
        <v>155</v>
      </c>
      <c r="B6" s="80">
        <f>SUMIF($M$3:$M$14,1,$S$3:$S$14)+SUMIF($M$3:$M$14,1,$T$3:$T$14)+SUMIF($M$3:$M$14,1,$U$3:$U$14)+SUMIF($M$3:$M$14,1,$V$3:$V$14)</f>
        <v>430</v>
      </c>
      <c r="C6" s="77">
        <f>参数调整!F48</f>
        <v>9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8.55</v>
      </c>
      <c r="E6" s="77">
        <f>参数调整!I48</f>
        <v>0</v>
      </c>
      <c r="F6" s="69">
        <f>D6*G6*(参数调整!$B$6+1)</f>
        <v>4301.505</v>
      </c>
      <c r="G6" s="81">
        <f t="shared" si="0"/>
        <v>430</v>
      </c>
      <c r="H6" s="29"/>
      <c r="J6" s="54" t="str">
        <f>第一季度!J6</f>
        <v>B</v>
      </c>
      <c r="K6" s="54">
        <f>第一季度!K6</f>
        <v>1331</v>
      </c>
      <c r="L6" s="43" t="str">
        <f>LEFT(K6,1)</f>
        <v>1</v>
      </c>
      <c r="M6" s="43" t="str">
        <f>MID(K6,2,1)</f>
        <v>3</v>
      </c>
      <c r="N6" s="43" t="str">
        <f>MID(K6,3,1)</f>
        <v>3</v>
      </c>
      <c r="O6" s="43" t="str">
        <f>MID(K6,4,1)</f>
        <v>1</v>
      </c>
      <c r="P6" s="43" t="str">
        <f t="shared" si="1"/>
        <v/>
      </c>
      <c r="Q6" s="54">
        <v>3</v>
      </c>
      <c r="R6" s="54">
        <v>0</v>
      </c>
      <c r="S6" s="54">
        <v>0</v>
      </c>
      <c r="T6" s="54">
        <v>0</v>
      </c>
      <c r="U6" s="54">
        <v>0</v>
      </c>
      <c r="V6" s="54">
        <v>122</v>
      </c>
      <c r="W6" s="99">
        <f>TRUNC(S6*参数调整!$I$30)+TRUNC(T6*参数调整!$H$30)+TRUNC(U6*参数调整!$G$30)+TRUNC(V6*参数调整!$F$30)+Q6</f>
        <v>112</v>
      </c>
      <c r="X6" s="99">
        <f t="shared" si="2"/>
        <v>254.143742846892</v>
      </c>
      <c r="Y6" s="54">
        <v>0</v>
      </c>
      <c r="Z6" s="89">
        <f>Y6+第三季度!Y6*0.53653684*0.46055126+第四季度!Y6*0.53653684</f>
        <v>10129.8155392</v>
      </c>
      <c r="AA6" s="89">
        <f>IF(J6="S",Z6*参数调整!$H$11/($X$29*$J$18),IF(J6="B",Z6*参数调整!$H$12/($X$30*$J$18),IF(J6="Q",Z6*参数调整!$H$13/($X$31*$J$18),Z6*参数调整!$H$14/($X$32*$J$18))))</f>
        <v>0.260762937991343</v>
      </c>
      <c r="AB6" s="43">
        <f>SUMIF(J3:J14,"L",Z3:Z14)</f>
        <v>5302.29472</v>
      </c>
      <c r="AD6" s="31"/>
      <c r="AE6" s="31" t="s">
        <v>224</v>
      </c>
      <c r="AF6" s="54">
        <v>0</v>
      </c>
      <c r="AG6" s="89">
        <f>AF6*参数调整!$H$23</f>
        <v>0</v>
      </c>
      <c r="AI6" s="111"/>
      <c r="AJ6" s="112"/>
      <c r="AK6" s="112"/>
      <c r="AL6" s="31" t="s">
        <v>98</v>
      </c>
      <c r="AM6" s="43">
        <f>SUM(V3:V14)</f>
        <v>900</v>
      </c>
      <c r="AN6" s="31">
        <f>AM6*参数调整!$F$32</f>
        <v>9000</v>
      </c>
      <c r="AO6" s="131"/>
      <c r="AP6" s="131"/>
    </row>
    <row r="7" ht="14.4" customHeight="1" spans="1:42">
      <c r="A7" s="75" t="s">
        <v>156</v>
      </c>
      <c r="B7" s="80">
        <f>SUMIF($M$3:$M$14,2,$S$3:$S$14)+SUMIF($M$3:$M$14,2,$T$3:$T$14)+SUMIF($M$3:$M$14,2,$U$3:$U$14)+SUMIF($M$3:$M$14,2,$V$3:$V$14)</f>
        <v>216</v>
      </c>
      <c r="C7" s="77">
        <f>参数调整!F49</f>
        <v>20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19</v>
      </c>
      <c r="E7" s="77">
        <f>参数调整!I49</f>
        <v>1</v>
      </c>
      <c r="F7" s="69">
        <f>D7*G7*(参数调整!$B$6+1)</f>
        <v>4801.68</v>
      </c>
      <c r="G7" s="81">
        <f t="shared" si="0"/>
        <v>216</v>
      </c>
      <c r="H7" s="29"/>
      <c r="J7" s="54" t="str">
        <f>第一季度!J7</f>
        <v>B</v>
      </c>
      <c r="K7" s="54">
        <f>第一季度!K7</f>
        <v>1121</v>
      </c>
      <c r="L7" s="43" t="str">
        <f t="shared" ref="L7:L14" si="3">LEFT(K7,1)</f>
        <v>1</v>
      </c>
      <c r="M7" s="43" t="str">
        <f t="shared" ref="M7:M14" si="4">MID(K7,2,1)</f>
        <v>1</v>
      </c>
      <c r="N7" s="43" t="str">
        <f t="shared" ref="N7:N14" si="5">MID(K7,3,1)</f>
        <v>2</v>
      </c>
      <c r="O7" s="43" t="str">
        <f t="shared" ref="O7:O14" si="6">MID(K7,4,1)</f>
        <v>1</v>
      </c>
      <c r="P7" s="43" t="str">
        <f t="shared" si="1"/>
        <v/>
      </c>
      <c r="Q7" s="54">
        <v>2</v>
      </c>
      <c r="R7" s="54">
        <v>0</v>
      </c>
      <c r="S7" s="54">
        <v>0</v>
      </c>
      <c r="T7" s="54">
        <v>0</v>
      </c>
      <c r="U7" s="54">
        <v>0</v>
      </c>
      <c r="V7" s="54">
        <v>64</v>
      </c>
      <c r="W7" s="99">
        <f>TRUNC(S7*参数调整!$I$30)+TRUNC(T7*参数调整!$H$30)+TRUNC(U7*参数调整!$G$30)+TRUNC(V7*参数调整!$F$30)+Q7</f>
        <v>59</v>
      </c>
      <c r="X7" s="99">
        <f t="shared" si="2"/>
        <v>82.0325563001947</v>
      </c>
      <c r="Y7" s="54">
        <v>0</v>
      </c>
      <c r="Z7" s="89">
        <f>Y7+第三季度!Y7*0.53653684*0.46055126+第四季度!Y7*0.53653684</f>
        <v>0</v>
      </c>
      <c r="AA7" s="89">
        <f>IF(J7="S",Z7*参数调整!$H$11/($X$29*$J$18),IF(J7="B",Z7*参数调整!$H$12/($X$30*$J$18),IF(J7="Q",Z7*参数调整!$H$13/($X$31*$J$18),Z7*参数调整!$H$14/($X$32*$J$18))))</f>
        <v>0</v>
      </c>
      <c r="AD7" s="31"/>
      <c r="AE7" s="31" t="s">
        <v>227</v>
      </c>
      <c r="AF7" s="54">
        <v>0</v>
      </c>
      <c r="AG7" s="89">
        <f>AF7*参数调整!$F$23</f>
        <v>0</v>
      </c>
      <c r="AI7" s="111"/>
      <c r="AJ7" s="112"/>
      <c r="AK7" s="112"/>
      <c r="AL7" s="31" t="s">
        <v>100</v>
      </c>
      <c r="AM7" s="43">
        <f>SUM(T3:T14)</f>
        <v>0</v>
      </c>
      <c r="AN7" s="31">
        <f>AM7*参数调整!H32</f>
        <v>0</v>
      </c>
      <c r="AO7" s="48"/>
      <c r="AP7" s="48"/>
    </row>
    <row r="8" ht="14.4" customHeight="1" spans="1:42">
      <c r="A8" s="75" t="s">
        <v>157</v>
      </c>
      <c r="B8" s="80">
        <f>SUMIF($M$3:$M$14,3,$S$3:$S$14)+SUMIF($M$3:$M$14,3,$T$3:$T$14)+SUMIF($M$3:$M$14,3,$U$3:$U$14)+SUMIF($M$3:$M$14,3,$V$3:$V$14)</f>
        <v>254</v>
      </c>
      <c r="C8" s="77">
        <f>参数调整!F50</f>
        <v>39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37.05</v>
      </c>
      <c r="E8" s="77">
        <f>参数调整!I50</f>
        <v>1</v>
      </c>
      <c r="F8" s="69">
        <f>D8*G8*(参数调整!$B$6+1)</f>
        <v>11010.519</v>
      </c>
      <c r="G8" s="81">
        <f t="shared" si="0"/>
        <v>254</v>
      </c>
      <c r="H8" s="29"/>
      <c r="J8" s="54" t="str">
        <f>第一季度!J8</f>
        <v>Q</v>
      </c>
      <c r="K8" s="54">
        <f>第一季度!K8</f>
        <v>212</v>
      </c>
      <c r="L8" s="43" t="str">
        <f t="shared" si="3"/>
        <v>2</v>
      </c>
      <c r="M8" s="43" t="str">
        <f t="shared" si="4"/>
        <v>1</v>
      </c>
      <c r="N8" s="43" t="str">
        <f t="shared" si="5"/>
        <v>2</v>
      </c>
      <c r="O8" s="43" t="str">
        <f t="shared" si="6"/>
        <v/>
      </c>
      <c r="P8" s="43" t="str">
        <f t="shared" si="1"/>
        <v/>
      </c>
      <c r="Q8" s="54">
        <v>9</v>
      </c>
      <c r="R8" s="54">
        <v>0</v>
      </c>
      <c r="S8" s="54">
        <v>0</v>
      </c>
      <c r="T8" s="54">
        <v>0</v>
      </c>
      <c r="U8" s="54">
        <v>0</v>
      </c>
      <c r="V8" s="54">
        <v>120</v>
      </c>
      <c r="W8" s="99">
        <f>TRUNC(S8*参数调整!$I$30)+TRUNC(T8*参数调整!$H$30)+TRUNC(U8*参数调整!$G$30)+TRUNC(V8*参数调整!$F$30)+Q8</f>
        <v>117</v>
      </c>
      <c r="X8" s="99">
        <f t="shared" si="2"/>
        <v>141.039453346052</v>
      </c>
      <c r="Y8" s="54">
        <v>5582.9245</v>
      </c>
      <c r="Z8" s="89">
        <f>Y8+第三季度!Y8*0.53653684*0.46055126+第四季度!Y8*0.53653684</f>
        <v>5582.9245</v>
      </c>
      <c r="AA8" s="89">
        <f>IF(J8="S",Z8*参数调整!$H$11/($X$29*$J$18),IF(J8="B",Z8*参数调整!$H$12/($X$30*$J$18),IF(J8="Q",Z8*参数调整!$H$13/($X$31*$J$18),Z8*参数调整!$H$14/($X$32*$J$18))))</f>
        <v>0.196681836704816</v>
      </c>
      <c r="AD8" s="31" t="s">
        <v>228</v>
      </c>
      <c r="AE8" s="31" t="s">
        <v>229</v>
      </c>
      <c r="AF8" s="54">
        <v>1</v>
      </c>
      <c r="AG8" s="100">
        <v>0</v>
      </c>
      <c r="AI8" s="111"/>
      <c r="AJ8" s="112"/>
      <c r="AK8" s="113"/>
      <c r="AL8" s="31" t="s">
        <v>99</v>
      </c>
      <c r="AM8" s="43">
        <f>SUM(U3:U14)</f>
        <v>0</v>
      </c>
      <c r="AN8" s="31">
        <f>AM8*参数调整!G32</f>
        <v>0</v>
      </c>
      <c r="AO8" s="48"/>
      <c r="AP8" s="48"/>
    </row>
    <row r="9" ht="14.4" customHeight="1" spans="1:42">
      <c r="A9" s="75" t="s">
        <v>158</v>
      </c>
      <c r="B9" s="82">
        <f>SUMIF($N$3:$N$14,1,$S$3:$S$14)+SUMIF($N$3:$N$14,1,$T$3:$T$14)+SUMIF($N$3:$N$14,1,$U$3:$U$14)+SUMIF($N$3:$N$14,1,$V$3:$V$14)</f>
        <v>284</v>
      </c>
      <c r="C9" s="77">
        <f>参数调整!F51</f>
        <v>58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55.1</v>
      </c>
      <c r="E9" s="77">
        <f>参数调整!I51</f>
        <v>0</v>
      </c>
      <c r="F9" s="69">
        <f>D9*G9*(参数调整!$B$6+1)</f>
        <v>18308.628</v>
      </c>
      <c r="G9" s="83">
        <f t="shared" si="0"/>
        <v>284</v>
      </c>
      <c r="H9" s="29"/>
      <c r="J9" s="54" t="str">
        <f>第一季度!J9</f>
        <v>Q</v>
      </c>
      <c r="K9" s="54">
        <f>第一季度!K9</f>
        <v>1121</v>
      </c>
      <c r="L9" s="43" t="str">
        <f t="shared" si="3"/>
        <v>1</v>
      </c>
      <c r="M9" s="43" t="str">
        <f t="shared" si="4"/>
        <v>1</v>
      </c>
      <c r="N9" s="43" t="str">
        <f t="shared" si="5"/>
        <v>2</v>
      </c>
      <c r="O9" s="43" t="str">
        <f t="shared" si="6"/>
        <v>1</v>
      </c>
      <c r="P9" s="43" t="str">
        <f t="shared" si="1"/>
        <v/>
      </c>
      <c r="Q9" s="54">
        <v>3</v>
      </c>
      <c r="R9" s="54">
        <v>0</v>
      </c>
      <c r="S9" s="54">
        <v>0</v>
      </c>
      <c r="T9" s="54">
        <v>0</v>
      </c>
      <c r="U9" s="54">
        <v>0</v>
      </c>
      <c r="V9" s="54">
        <v>104</v>
      </c>
      <c r="W9" s="99">
        <f>TRUNC(S9*参数调整!$I$30)+TRUNC(T9*参数调整!$H$30)+TRUNC(U9*参数调整!$G$30)+TRUNC(V9*参数调整!$F$30)+Q9</f>
        <v>96</v>
      </c>
      <c r="X9" s="99">
        <f t="shared" si="2"/>
        <v>167.413359650008</v>
      </c>
      <c r="Y9" s="54">
        <v>0</v>
      </c>
      <c r="Z9" s="89">
        <f>Y9+第三季度!Y9*0.53653684*0.46055126+第四季度!Y9*0.53653684</f>
        <v>3330.82070272</v>
      </c>
      <c r="AA9" s="89">
        <f>IF(J9="S",Z9*参数调整!$H$11/($X$29*$J$18),IF(J9="B",Z9*参数调整!$H$12/($X$30*$J$18),IF(J9="Q",Z9*参数调整!$H$13/($X$31*$J$18),Z9*参数调整!$H$14/($X$32*$J$18))))</f>
        <v>0.11734207287693</v>
      </c>
      <c r="AD9" s="31"/>
      <c r="AE9" s="31" t="s">
        <v>230</v>
      </c>
      <c r="AF9" s="54">
        <v>0</v>
      </c>
      <c r="AG9" s="101"/>
      <c r="AI9" s="111"/>
      <c r="AJ9" s="112"/>
      <c r="AK9" s="70" t="s">
        <v>232</v>
      </c>
      <c r="AL9" s="31" t="s">
        <v>77</v>
      </c>
      <c r="AM9" s="43">
        <v>1</v>
      </c>
      <c r="AN9" s="31">
        <f>AM9*参数调整!$J$24</f>
        <v>5000</v>
      </c>
      <c r="AO9" s="48"/>
      <c r="AP9" s="48"/>
    </row>
    <row r="10" ht="14.4" customHeight="1" spans="1:42">
      <c r="A10" s="75" t="s">
        <v>159</v>
      </c>
      <c r="B10" s="82">
        <f>SUMIF($N$3:$N$14,2,$S$3:$S$14)+SUMIF($N$3:$N$14,2,$T$3:$T$14)+SUMIF($N$3:$N$14,2,$U$3:$U$14)+SUMIF($N$3:$N$14,2,$V$3:$V$14)</f>
        <v>288</v>
      </c>
      <c r="C10" s="77">
        <f>参数调整!F52</f>
        <v>75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77">
        <f>参数调整!I52</f>
        <v>1</v>
      </c>
      <c r="F10" s="69">
        <f>D10*G10*(参数调整!$B$6+1)</f>
        <v>24008.4</v>
      </c>
      <c r="G10" s="83">
        <f t="shared" si="0"/>
        <v>288</v>
      </c>
      <c r="H10" s="29">
        <v>0</v>
      </c>
      <c r="J10" s="54" t="str">
        <f>第一季度!J10</f>
        <v>L</v>
      </c>
      <c r="K10" s="54">
        <f>第一季度!K10</f>
        <v>121</v>
      </c>
      <c r="L10" s="43" t="str">
        <f t="shared" si="3"/>
        <v>1</v>
      </c>
      <c r="M10" s="43" t="str">
        <f t="shared" si="4"/>
        <v>2</v>
      </c>
      <c r="N10" s="43" t="str">
        <f t="shared" si="5"/>
        <v>1</v>
      </c>
      <c r="O10" s="43" t="str">
        <f t="shared" si="6"/>
        <v/>
      </c>
      <c r="P10" s="43" t="str">
        <f t="shared" si="1"/>
        <v/>
      </c>
      <c r="Q10" s="54">
        <v>6</v>
      </c>
      <c r="R10" s="54">
        <v>0</v>
      </c>
      <c r="S10" s="54">
        <v>0</v>
      </c>
      <c r="T10" s="54">
        <v>0</v>
      </c>
      <c r="U10" s="54">
        <v>0</v>
      </c>
      <c r="V10" s="54">
        <v>216</v>
      </c>
      <c r="W10" s="99">
        <f>TRUNC(S10*参数调整!$I$30)+TRUNC(T10*参数调整!$H$30)+TRUNC(U10*参数调整!$G$30)+TRUNC(V10*参数调整!$F$30)+Q10</f>
        <v>200</v>
      </c>
      <c r="X10" s="99">
        <f t="shared" si="2"/>
        <v>382.73939914159</v>
      </c>
      <c r="Y10" s="54">
        <v>1010</v>
      </c>
      <c r="Z10" s="89">
        <f>Y10+第三季度!Y10*0.53653684*0.46055126+第四季度!Y10*0.53653684</f>
        <v>5302.29472</v>
      </c>
      <c r="AA10" s="89">
        <f>IF(J10="S",Z10*参数调整!$H$11/($X$29*$J$18),IF(J10="B",Z10*参数调整!$H$12/($X$30*$J$18),IF(J10="Q",Z10*参数调整!$H$13/($X$31*$J$18),Z10*参数调整!$H$14/($X$32*$J$18))))</f>
        <v>0.326115660209674</v>
      </c>
      <c r="AD10" s="31"/>
      <c r="AE10" s="31" t="s">
        <v>231</v>
      </c>
      <c r="AF10" s="54">
        <v>0</v>
      </c>
      <c r="AG10" s="102"/>
      <c r="AI10" s="111"/>
      <c r="AJ10" s="112"/>
      <c r="AK10" s="112"/>
      <c r="AL10" s="31" t="s">
        <v>76</v>
      </c>
      <c r="AM10" s="43">
        <f>AF9</f>
        <v>0</v>
      </c>
      <c r="AN10" s="31">
        <f>AM10*参数调整!$H$24</f>
        <v>0</v>
      </c>
      <c r="AO10" s="48"/>
      <c r="AP10" s="48"/>
    </row>
    <row r="11" ht="14.4" customHeight="1" spans="1:42">
      <c r="A11" s="75" t="s">
        <v>160</v>
      </c>
      <c r="B11" s="82">
        <f>SUMIF($N$3:$N$14,3,$S$3:$S$14)+SUMIF($N$3:$N$14,3,$T$3:$T$14)+SUMIF($N$3:$N$14,3,$U$3:$U$14)+SUMIF($N$3:$N$14,3,$V$3:$V$14)</f>
        <v>328</v>
      </c>
      <c r="C11" s="77">
        <f>参数调整!F53</f>
        <v>120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114</v>
      </c>
      <c r="E11" s="77">
        <f>参数调整!I53</f>
        <v>0</v>
      </c>
      <c r="F11" s="69">
        <f>D11*G11*(参数调整!$B$6+1)</f>
        <v>43748.64</v>
      </c>
      <c r="G11" s="83">
        <f t="shared" si="0"/>
        <v>328</v>
      </c>
      <c r="H11" s="29"/>
      <c r="J11" s="54">
        <f>第一季度!J11</f>
        <v>0</v>
      </c>
      <c r="K11" s="54">
        <f>第一季度!K11</f>
        <v>212</v>
      </c>
      <c r="L11" s="43" t="str">
        <f t="shared" si="3"/>
        <v>2</v>
      </c>
      <c r="M11" s="43" t="str">
        <f t="shared" si="4"/>
        <v>1</v>
      </c>
      <c r="N11" s="43" t="str">
        <f t="shared" si="5"/>
        <v>2</v>
      </c>
      <c r="O11" s="43" t="str">
        <f t="shared" si="6"/>
        <v/>
      </c>
      <c r="P11" s="43" t="str">
        <f t="shared" si="1"/>
        <v/>
      </c>
      <c r="Q11" s="54"/>
      <c r="R11" s="54"/>
      <c r="S11" s="54">
        <v>0</v>
      </c>
      <c r="T11" s="54">
        <v>0</v>
      </c>
      <c r="U11" s="54">
        <v>0</v>
      </c>
      <c r="V11" s="54"/>
      <c r="W11" s="99">
        <f>TRUNC(S11*参数调整!$I$30)+TRUNC(T11*参数调整!$H$30)+TRUNC(U11*参数调整!$G$30)+TRUNC(V11*参数调整!$F$30)+Q11</f>
        <v>0</v>
      </c>
      <c r="X11" s="99">
        <f t="shared" si="2"/>
        <v>0</v>
      </c>
      <c r="Y11" s="54">
        <v>0</v>
      </c>
      <c r="Z11" s="89">
        <f>Y11+第三季度!Y11*0.53653684*0.46055126+第四季度!Y11*0.53653684</f>
        <v>0</v>
      </c>
      <c r="AA11" s="89">
        <f>IF(J11="S",Z11*参数调整!$H$11/($X$29*$J$18),IF(J11="B",Z11*参数调整!$H$12/($X$30*$J$18),IF(J11="Q",Z11*参数调整!$H$13/($X$31*$J$18),Z11*参数调整!$H$14/($X$32*$J$18))))</f>
        <v>0</v>
      </c>
      <c r="AD11" s="31" t="s">
        <v>234</v>
      </c>
      <c r="AE11" s="31" t="s">
        <v>101</v>
      </c>
      <c r="AF11" s="54">
        <v>0</v>
      </c>
      <c r="AG11" s="89">
        <f>AF11*参数调整!$I$29</f>
        <v>0</v>
      </c>
      <c r="AI11" s="111"/>
      <c r="AJ11" s="112"/>
      <c r="AK11" s="113"/>
      <c r="AL11" s="31" t="s">
        <v>75</v>
      </c>
      <c r="AM11" s="43">
        <v>0</v>
      </c>
      <c r="AN11" s="31">
        <f>AM11*参数调整!$F$24</f>
        <v>0</v>
      </c>
      <c r="AO11" s="48"/>
      <c r="AP11" s="48"/>
    </row>
    <row r="12" ht="14.4" customHeight="1" spans="1:42">
      <c r="A12" s="75" t="s">
        <v>161</v>
      </c>
      <c r="B12" s="82">
        <f>SUMIF($N$3:$N$14,4,$S$3:$S$14)+SUMIF($N$3:$N$14,4,$T$3:$T$14)+SUMIF($N$3:$N$14,4,$U$3:$U$14)+SUMIF($N$3:$N$14,4,$V$3:$V$14)</f>
        <v>0</v>
      </c>
      <c r="C12" s="77">
        <f>参数调整!F54</f>
        <v>145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77">
        <f>参数调整!I54</f>
        <v>1</v>
      </c>
      <c r="F12" s="69">
        <f>D12*G12*(参数调整!$B$6+1)</f>
        <v>0</v>
      </c>
      <c r="G12" s="83">
        <f t="shared" si="0"/>
        <v>0</v>
      </c>
      <c r="H12" s="29"/>
      <c r="J12" s="54">
        <f>第一季度!J12</f>
        <v>0</v>
      </c>
      <c r="K12" s="54">
        <f>第一季度!K12</f>
        <v>1121</v>
      </c>
      <c r="L12" s="43" t="str">
        <f t="shared" si="3"/>
        <v>1</v>
      </c>
      <c r="M12" s="43" t="str">
        <f t="shared" si="4"/>
        <v>1</v>
      </c>
      <c r="N12" s="43" t="str">
        <f t="shared" si="5"/>
        <v>2</v>
      </c>
      <c r="O12" s="43" t="str">
        <f t="shared" si="6"/>
        <v>1</v>
      </c>
      <c r="P12" s="43" t="str">
        <f t="shared" si="1"/>
        <v/>
      </c>
      <c r="Q12" s="54"/>
      <c r="R12" s="54"/>
      <c r="S12" s="54">
        <v>0</v>
      </c>
      <c r="T12" s="54">
        <v>0</v>
      </c>
      <c r="U12" s="54">
        <v>0</v>
      </c>
      <c r="V12" s="54"/>
      <c r="W12" s="99">
        <f>TRUNC(S12*参数调整!$I$30)+TRUNC(T12*参数调整!$H$30)+TRUNC(U12*参数调整!$G$30)+TRUNC(V12*参数调整!$F$30)+Q12</f>
        <v>0</v>
      </c>
      <c r="X12" s="99">
        <f t="shared" si="2"/>
        <v>0</v>
      </c>
      <c r="Y12" s="54">
        <v>0</v>
      </c>
      <c r="Z12" s="89">
        <f>Y12+第三季度!Y12*0.53653684*0.46055126+第四季度!Y12*0.53653684</f>
        <v>0</v>
      </c>
      <c r="AA12" s="89">
        <f>IF(J12="S",Z12*参数调整!$H$11/($X$29*$J$18),IF(J12="B",Z12*参数调整!$H$12/($X$30*$J$18),IF(J12="Q",Z12*参数调整!$H$13/($X$31*$J$18),Z12*参数调整!$H$14/($X$32*$J$18))))</f>
        <v>0</v>
      </c>
      <c r="AD12" s="31"/>
      <c r="AE12" s="31" t="s">
        <v>100</v>
      </c>
      <c r="AF12" s="54">
        <v>0</v>
      </c>
      <c r="AG12" s="89">
        <f>AF12*参数调整!$H$29</f>
        <v>0</v>
      </c>
      <c r="AI12" s="111"/>
      <c r="AJ12" s="112"/>
      <c r="AK12" s="114" t="s">
        <v>236</v>
      </c>
      <c r="AL12" s="115"/>
      <c r="AM12" s="43">
        <f>AM18</f>
        <v>16</v>
      </c>
      <c r="AN12" s="31">
        <f>AM12*参数调整!$J$18*(1+参数调整!$B$12+参数调整!$B$13+参数调整!$B$14+参数调整!$B$15+参数调整!$B$16)</f>
        <v>77529.6</v>
      </c>
      <c r="AO12" s="48"/>
      <c r="AP12" s="48"/>
    </row>
    <row r="13" ht="14.4" customHeight="1" spans="1:42">
      <c r="A13" s="75" t="s">
        <v>162</v>
      </c>
      <c r="B13" s="84">
        <f>SUMIF($O$3:$O$14,1,$S$3:$S$14)+SUMIF($O$3:$O$14,1,$T$3:$T$14)+SUMIF($O$3:$O$14,1,$U$3:$U$14)+SUMIF($O$3:$O$14,1,$V$3:$V$14)+SUMIF($P$3:$P$14,1,$S$3:$S$14)+SUMIF($P$3:$P$14,1,$T$3:$T$14)+SUMIF($P$3:$P$14,1,$U$3:$U$14)+SUMIF($P$3:$P$14,1,$V$3:$V$14)</f>
        <v>358</v>
      </c>
      <c r="C13" s="77">
        <f>参数调整!F55</f>
        <v>47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44.65</v>
      </c>
      <c r="E13" s="77">
        <f>参数调整!I55</f>
        <v>1</v>
      </c>
      <c r="F13" s="69">
        <f>D13*G13*(参数调整!$B$6+1)</f>
        <v>18702.099</v>
      </c>
      <c r="G13" s="85">
        <f t="shared" si="0"/>
        <v>358</v>
      </c>
      <c r="H13" s="38">
        <v>316</v>
      </c>
      <c r="J13" s="54">
        <f>第一季度!J13</f>
        <v>0</v>
      </c>
      <c r="K13" s="54">
        <f>第一季度!K13</f>
        <v>121</v>
      </c>
      <c r="L13" s="43" t="str">
        <f t="shared" si="3"/>
        <v>1</v>
      </c>
      <c r="M13" s="43" t="str">
        <f t="shared" si="4"/>
        <v>2</v>
      </c>
      <c r="N13" s="43" t="str">
        <f t="shared" si="5"/>
        <v>1</v>
      </c>
      <c r="O13" s="43" t="str">
        <f t="shared" si="6"/>
        <v/>
      </c>
      <c r="P13" s="43" t="str">
        <f t="shared" si="1"/>
        <v/>
      </c>
      <c r="Q13" s="54"/>
      <c r="R13" s="54"/>
      <c r="S13" s="54"/>
      <c r="T13" s="54">
        <v>0</v>
      </c>
      <c r="U13" s="54">
        <v>0</v>
      </c>
      <c r="V13" s="54"/>
      <c r="W13" s="99">
        <f>TRUNC(S13*参数调整!$I$30)+TRUNC(T13*参数调整!$H$30)+TRUNC(U13*参数调整!$G$30)+TRUNC(V13*参数调整!$F$30)+Q13</f>
        <v>0</v>
      </c>
      <c r="X13" s="99">
        <f t="shared" si="2"/>
        <v>0</v>
      </c>
      <c r="Y13" s="54"/>
      <c r="Z13" s="89">
        <f>Y13+第三季度!Y13*0.53653684*0.46055126+第四季度!Y13*0.53653684</f>
        <v>0</v>
      </c>
      <c r="AA13" s="89">
        <f>IF(J13="S",Z13*参数调整!$H$11/($X$29*$J$18),IF(J13="B",Z13*参数调整!$H$12/($X$30*$J$18),IF(J13="Q",Z13*参数调整!$H$13/($X$31*$J$18),Z13*参数调整!$H$14/($X$32*$J$18))))</f>
        <v>0</v>
      </c>
      <c r="AD13" s="31"/>
      <c r="AE13" s="31" t="s">
        <v>235</v>
      </c>
      <c r="AF13" s="54">
        <v>0</v>
      </c>
      <c r="AG13" s="89">
        <f>AF13*参数调整!$G$29</f>
        <v>0</v>
      </c>
      <c r="AI13" s="111"/>
      <c r="AJ13" s="112"/>
      <c r="AK13" s="70" t="s">
        <v>237</v>
      </c>
      <c r="AL13" s="31" t="s">
        <v>101</v>
      </c>
      <c r="AM13" s="54">
        <v>0</v>
      </c>
      <c r="AN13" s="56">
        <f>AM13*参数调整!$I$33</f>
        <v>0</v>
      </c>
      <c r="AO13" s="48"/>
      <c r="AP13" s="48"/>
    </row>
    <row r="14" ht="14.4" customHeight="1" spans="1:42">
      <c r="A14" s="75" t="s">
        <v>163</v>
      </c>
      <c r="B14" s="84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77">
        <f>参数调整!F56</f>
        <v>50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77">
        <f>参数调整!I56</f>
        <v>1</v>
      </c>
      <c r="F14" s="69">
        <f>D14*G14*(参数调整!$B$6+1)</f>
        <v>0</v>
      </c>
      <c r="G14" s="85">
        <f t="shared" si="0"/>
        <v>0</v>
      </c>
      <c r="H14" s="38"/>
      <c r="J14" s="54">
        <f>第一季度!J14</f>
        <v>0</v>
      </c>
      <c r="K14" s="54">
        <f>第一季度!K14</f>
        <v>122</v>
      </c>
      <c r="L14" s="43" t="str">
        <f t="shared" si="3"/>
        <v>1</v>
      </c>
      <c r="M14" s="43" t="str">
        <f t="shared" si="4"/>
        <v>2</v>
      </c>
      <c r="N14" s="43" t="str">
        <f t="shared" si="5"/>
        <v>2</v>
      </c>
      <c r="O14" s="43" t="str">
        <f t="shared" si="6"/>
        <v/>
      </c>
      <c r="P14" s="43" t="str">
        <f t="shared" si="1"/>
        <v/>
      </c>
      <c r="Q14" s="54"/>
      <c r="R14" s="54"/>
      <c r="S14" s="54"/>
      <c r="T14" s="54">
        <v>0</v>
      </c>
      <c r="U14" s="54">
        <v>0</v>
      </c>
      <c r="V14" s="54"/>
      <c r="W14" s="99">
        <f>TRUNC(S14*参数调整!$I$30)+TRUNC(T14*参数调整!$H$30)+TRUNC(U14*参数调整!$G$30)+TRUNC(V14*参数调整!$F$30)+Q14</f>
        <v>0</v>
      </c>
      <c r="X14" s="99">
        <f t="shared" si="2"/>
        <v>0</v>
      </c>
      <c r="Y14" s="54">
        <v>0</v>
      </c>
      <c r="Z14" s="89">
        <f>Y14+第三季度!Y14*0.53653684*0.46055126+第四季度!Y14*0.53653684</f>
        <v>0</v>
      </c>
      <c r="AA14" s="89">
        <f>IF(J14="S",Z14*参数调整!$H$11/($X$29*$J$18),IF(J14="B",Z14*参数调整!$H$12/($X$30*$J$18),IF(J14="Q",Z14*参数调整!$H$13/($X$31*$J$18),Z14*参数调整!$H$14/($X$32*$J$18))))</f>
        <v>0</v>
      </c>
      <c r="AD14" s="31"/>
      <c r="AE14" s="31" t="s">
        <v>98</v>
      </c>
      <c r="AF14" s="54">
        <v>0</v>
      </c>
      <c r="AG14" s="89">
        <f>AF14*参数调整!$F$29</f>
        <v>0</v>
      </c>
      <c r="AI14" s="111"/>
      <c r="AJ14" s="112"/>
      <c r="AK14" s="112"/>
      <c r="AL14" s="31" t="s">
        <v>98</v>
      </c>
      <c r="AM14" s="54">
        <v>2</v>
      </c>
      <c r="AN14" s="31">
        <f>AM14*参数调整!$F$33</f>
        <v>6000</v>
      </c>
      <c r="AO14" s="48"/>
      <c r="AP14" s="48"/>
    </row>
    <row r="15" ht="14.4" customHeight="1" spans="1:42">
      <c r="A15" s="75" t="s">
        <v>164</v>
      </c>
      <c r="B15" s="84">
        <f>SUMIF($O$3:$O$14,3,$S$3:$S$14)+SUMIF($O$3:$O$14,3,$T$3:$T$14)+SUMIF($O$3:$O$14,3,$U$3:$U$14)+SUMIF($O$3:$O$14,3,$V$3:$V$14)+SUMIF($P$3:$P$14,3,$S$3:$S$14)+SUMIF($P$3:$P$14,3,$T$3:$T$14)+SUMIF($P$3:$P$14,3,$U$3:$U$14)+SUMIF($P$3:$P$14,3,$V$3:$V$14)</f>
        <v>132</v>
      </c>
      <c r="C15" s="77">
        <f>参数调整!F57</f>
        <v>74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77">
        <f>参数调整!I57</f>
        <v>1</v>
      </c>
      <c r="F15" s="69">
        <f>D15*G15*(参数调整!$B$6+1)</f>
        <v>9783.54</v>
      </c>
      <c r="G15" s="85">
        <f t="shared" si="0"/>
        <v>113</v>
      </c>
      <c r="H15" s="38">
        <v>106</v>
      </c>
      <c r="S15" s="43">
        <f>SUM(S3:S14)</f>
        <v>0</v>
      </c>
      <c r="T15" s="43">
        <f t="shared" ref="T15:V15" si="7">SUM(T3:T14)</f>
        <v>0</v>
      </c>
      <c r="U15" s="43">
        <f t="shared" si="7"/>
        <v>0</v>
      </c>
      <c r="V15" s="43">
        <f t="shared" si="7"/>
        <v>900</v>
      </c>
      <c r="AD15" s="31" t="s">
        <v>238</v>
      </c>
      <c r="AE15" s="31"/>
      <c r="AF15" s="54">
        <v>0</v>
      </c>
      <c r="AG15" s="89">
        <f>AF15*参数调整!$B$31</f>
        <v>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ht="14.4" customHeight="1" spans="1:42">
      <c r="A16" s="75" t="s">
        <v>165</v>
      </c>
      <c r="B16" s="84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77">
        <f>参数调整!F58</f>
        <v>87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87</v>
      </c>
      <c r="E16" s="77">
        <f>参数调整!I58</f>
        <v>1</v>
      </c>
      <c r="F16" s="69">
        <f>D16*G16*(参数调整!$B$6+1)</f>
        <v>0</v>
      </c>
      <c r="G16" s="85">
        <f t="shared" si="0"/>
        <v>0</v>
      </c>
      <c r="H16" s="38"/>
      <c r="AC16" s="89" t="s">
        <v>248</v>
      </c>
      <c r="AD16" s="31" t="s">
        <v>239</v>
      </c>
      <c r="AE16" s="31"/>
      <c r="AF16" s="54">
        <v>0</v>
      </c>
      <c r="AG16" s="89">
        <f>AF16*参数调整!$B$32</f>
        <v>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48"/>
    </row>
    <row r="17" customHeight="1" spans="10:42">
      <c r="J17" s="77" t="s">
        <v>241</v>
      </c>
      <c r="K17" s="77"/>
      <c r="O17">
        <f>SUM(R18:X18)-(SUM(第六季度!R18:X18)-SUM(第六季度!R22:X22))</f>
        <v>4576</v>
      </c>
      <c r="Q17" s="89" t="s">
        <v>244</v>
      </c>
      <c r="R17" s="89" t="s">
        <v>245</v>
      </c>
      <c r="S17" s="89" t="s">
        <v>284</v>
      </c>
      <c r="T17" s="89" t="s">
        <v>285</v>
      </c>
      <c r="U17" s="89" t="s">
        <v>314</v>
      </c>
      <c r="V17" s="89" t="s">
        <v>315</v>
      </c>
      <c r="W17" s="89" t="s">
        <v>327</v>
      </c>
      <c r="X17" s="89" t="s">
        <v>328</v>
      </c>
      <c r="AB17" s="43" t="str">
        <f>J3</f>
        <v>S</v>
      </c>
      <c r="AC17" s="54">
        <v>70</v>
      </c>
      <c r="AD17" s="31" t="s">
        <v>240</v>
      </c>
      <c r="AE17" s="31" t="s">
        <v>10</v>
      </c>
      <c r="AF17" s="54">
        <v>0</v>
      </c>
      <c r="AG17" s="89">
        <f>AF17*参数调整!$F$3</f>
        <v>0</v>
      </c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86" t="s">
        <v>243</v>
      </c>
      <c r="B18" s="87"/>
      <c r="G18" s="88">
        <f>SUMIF(E3:E16,0,F3:F16)</f>
        <v>66358.773</v>
      </c>
      <c r="J18" s="94">
        <v>26</v>
      </c>
      <c r="K18" s="95"/>
      <c r="O18">
        <f>SUM(R19:X19)-(SUM(第六季度!R19:X19)-SUM(第六季度!R23:X23))</f>
        <v>5460</v>
      </c>
      <c r="Q18" s="89" t="s">
        <v>175</v>
      </c>
      <c r="R18" s="54">
        <v>598</v>
      </c>
      <c r="S18" s="54">
        <v>520</v>
      </c>
      <c r="T18" s="54">
        <v>520</v>
      </c>
      <c r="U18" s="54">
        <v>650</v>
      </c>
      <c r="V18" s="54">
        <v>728</v>
      </c>
      <c r="W18" s="54">
        <v>780</v>
      </c>
      <c r="X18" s="54">
        <v>780</v>
      </c>
      <c r="AB18" s="43" t="str">
        <f t="shared" ref="AB18:AB28" si="8">J4</f>
        <v>S</v>
      </c>
      <c r="AC18" s="54">
        <v>129</v>
      </c>
      <c r="AD18" s="31"/>
      <c r="AE18" s="31" t="s">
        <v>13</v>
      </c>
      <c r="AF18" s="54">
        <v>0</v>
      </c>
      <c r="AG18" s="89">
        <f>AF18*参数调整!$F$4</f>
        <v>0</v>
      </c>
      <c r="AI18" s="111"/>
      <c r="AJ18" s="107" t="s">
        <v>249</v>
      </c>
      <c r="AK18" s="108"/>
      <c r="AL18" s="31" t="s">
        <v>67</v>
      </c>
      <c r="AM18" s="43">
        <f>AF25+第一季度!AF24+第二季度!AF25+第三季度!AF25+第四季度!AF25</f>
        <v>16</v>
      </c>
      <c r="AN18" s="116">
        <f>AM18*参数调整!$B$10</f>
        <v>16000</v>
      </c>
      <c r="AO18" s="48"/>
      <c r="AP18" s="48"/>
    </row>
    <row r="19" customHeight="1" spans="10:42">
      <c r="J19" s="94"/>
      <c r="K19" s="95"/>
      <c r="O19">
        <f>SUM(R20:X20)-(SUM(第六季度!R20:X20)-SUM(第六季度!R24:X24))</f>
        <v>6266</v>
      </c>
      <c r="Q19" s="89" t="s">
        <v>176</v>
      </c>
      <c r="R19" s="54">
        <v>624</v>
      </c>
      <c r="S19" s="54">
        <v>650</v>
      </c>
      <c r="T19" s="54">
        <v>728</v>
      </c>
      <c r="U19" s="54">
        <v>780</v>
      </c>
      <c r="V19" s="54">
        <v>780</v>
      </c>
      <c r="W19" s="54">
        <v>988</v>
      </c>
      <c r="X19" s="54">
        <v>910</v>
      </c>
      <c r="AB19" s="43" t="str">
        <f t="shared" si="8"/>
        <v>B</v>
      </c>
      <c r="AC19" s="54">
        <v>67</v>
      </c>
      <c r="AD19" s="31"/>
      <c r="AE19" s="31" t="s">
        <v>16</v>
      </c>
      <c r="AF19" s="54">
        <v>0</v>
      </c>
      <c r="AG19" s="89">
        <f>AF19*参数调整!$F$5</f>
        <v>0</v>
      </c>
      <c r="AI19" s="111"/>
      <c r="AJ19" s="73"/>
      <c r="AK19" s="109"/>
      <c r="AL19" s="31" t="s">
        <v>250</v>
      </c>
      <c r="AM19" s="43">
        <f>AF26+第一季度!AF25+第二季度!AF26+第三季度!AF26+第四季度!AF26</f>
        <v>8</v>
      </c>
      <c r="AN19" s="31">
        <f>AM19*参数调整!$B$10</f>
        <v>8000</v>
      </c>
      <c r="AO19" s="48"/>
      <c r="AP19" s="48"/>
    </row>
    <row r="20" customHeight="1" spans="10:42">
      <c r="J20" s="94"/>
      <c r="K20" s="95"/>
      <c r="O20">
        <f>SUM(R21:X21)-(SUM(第六季度!R21:X21)-SUM(第六季度!R25:X25))</f>
        <v>7358</v>
      </c>
      <c r="Q20" s="89" t="s">
        <v>177</v>
      </c>
      <c r="R20" s="54">
        <v>728</v>
      </c>
      <c r="S20" s="54">
        <v>780</v>
      </c>
      <c r="T20" s="54">
        <v>780</v>
      </c>
      <c r="U20" s="54">
        <v>988</v>
      </c>
      <c r="V20" s="54">
        <v>910</v>
      </c>
      <c r="W20" s="54">
        <v>1040</v>
      </c>
      <c r="X20" s="54">
        <v>1040</v>
      </c>
      <c r="AB20" s="43" t="str">
        <f t="shared" si="8"/>
        <v>B</v>
      </c>
      <c r="AC20" s="54">
        <v>118</v>
      </c>
      <c r="AD20" s="31"/>
      <c r="AE20" s="31" t="s">
        <v>19</v>
      </c>
      <c r="AF20" s="54">
        <v>0</v>
      </c>
      <c r="AG20" s="89">
        <f>AF20*参数调整!$F$6</f>
        <v>0</v>
      </c>
      <c r="AI20" s="111"/>
      <c r="AJ20" s="107" t="s">
        <v>252</v>
      </c>
      <c r="AK20" s="108"/>
      <c r="AL20" s="31" t="s">
        <v>101</v>
      </c>
      <c r="AM20" s="54">
        <v>0</v>
      </c>
      <c r="AN20" s="31">
        <f>AM20*参数调整!$I$29</f>
        <v>0</v>
      </c>
      <c r="AO20" s="48"/>
      <c r="AP20" s="48"/>
    </row>
    <row r="21" customHeight="1" spans="10:42">
      <c r="J21" s="77" t="s">
        <v>253</v>
      </c>
      <c r="K21" s="96"/>
      <c r="Q21" s="89" t="s">
        <v>178</v>
      </c>
      <c r="R21" s="54">
        <v>858</v>
      </c>
      <c r="S21" s="54">
        <v>1040</v>
      </c>
      <c r="T21" s="54">
        <v>910</v>
      </c>
      <c r="U21" s="54">
        <v>1040</v>
      </c>
      <c r="V21" s="54">
        <v>1040</v>
      </c>
      <c r="W21" s="54">
        <v>1170</v>
      </c>
      <c r="X21" s="54">
        <v>1300</v>
      </c>
      <c r="AB21" s="43" t="str">
        <f t="shared" si="8"/>
        <v>B</v>
      </c>
      <c r="AC21" s="54">
        <v>61</v>
      </c>
      <c r="AD21" s="31"/>
      <c r="AE21" s="31" t="s">
        <v>22</v>
      </c>
      <c r="AF21" s="54">
        <v>0</v>
      </c>
      <c r="AG21" s="89">
        <f>AF21*参数调整!$F$7</f>
        <v>0</v>
      </c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customHeight="1" spans="7:42">
      <c r="G22">
        <f>74-16</f>
        <v>58</v>
      </c>
      <c r="J22" s="94">
        <v>26</v>
      </c>
      <c r="K22" s="94"/>
      <c r="Q22" s="100" t="s">
        <v>316</v>
      </c>
      <c r="R22" s="132">
        <f>$J$22*23</f>
        <v>598</v>
      </c>
      <c r="S22" s="132">
        <f>$J$22*20</f>
        <v>520</v>
      </c>
      <c r="T22" s="132">
        <f>$J$22*20</f>
        <v>520</v>
      </c>
      <c r="U22" s="132">
        <f>$J$22*25</f>
        <v>650</v>
      </c>
      <c r="V22" s="132">
        <f>$J$22*28</f>
        <v>728</v>
      </c>
      <c r="W22" s="132">
        <f>$J$22*30</f>
        <v>780</v>
      </c>
      <c r="X22" s="132">
        <f>$J$22*30</f>
        <v>780</v>
      </c>
      <c r="AB22" s="43" t="str">
        <f t="shared" si="8"/>
        <v>Q</v>
      </c>
      <c r="AC22" s="54">
        <v>123</v>
      </c>
      <c r="AD22" s="31"/>
      <c r="AE22" s="31" t="s">
        <v>25</v>
      </c>
      <c r="AF22" s="54">
        <v>0</v>
      </c>
      <c r="AG22" s="89">
        <f>AF22*参数调整!$F$8</f>
        <v>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customHeight="1" spans="10:42">
      <c r="J23" s="94"/>
      <c r="K23" s="94"/>
      <c r="Q23" s="101"/>
      <c r="R23" s="132">
        <f>$J$22*24</f>
        <v>624</v>
      </c>
      <c r="S23" s="132">
        <f>$J$22*25</f>
        <v>650</v>
      </c>
      <c r="T23" s="132">
        <f>$J$22*28</f>
        <v>728</v>
      </c>
      <c r="U23" s="132">
        <f>$J$22*30</f>
        <v>780</v>
      </c>
      <c r="V23" s="132">
        <f>$J$22*30</f>
        <v>780</v>
      </c>
      <c r="W23" s="132">
        <f>$J$22*38</f>
        <v>988</v>
      </c>
      <c r="X23" s="132">
        <f>$J$22*35</f>
        <v>910</v>
      </c>
      <c r="AB23" s="43" t="str">
        <f t="shared" si="8"/>
        <v>Q</v>
      </c>
      <c r="AC23" s="54">
        <v>102</v>
      </c>
      <c r="AD23" s="104" t="s">
        <v>254</v>
      </c>
      <c r="AE23" s="52"/>
      <c r="AF23" s="54">
        <v>0</v>
      </c>
      <c r="AG23" s="89">
        <f>AF23*参数调整!$C$40</f>
        <v>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customHeight="1" spans="10:42">
      <c r="J24" s="94"/>
      <c r="K24" s="94"/>
      <c r="Q24" s="101"/>
      <c r="R24" s="132">
        <f>$J$22*28</f>
        <v>728</v>
      </c>
      <c r="S24" s="132">
        <f>$J$22*30</f>
        <v>780</v>
      </c>
      <c r="T24" s="132">
        <f>$J$22*30</f>
        <v>780</v>
      </c>
      <c r="U24" s="132">
        <f>$J$22*38</f>
        <v>988</v>
      </c>
      <c r="V24" s="132">
        <f>$J$22*35</f>
        <v>910</v>
      </c>
      <c r="W24" s="132">
        <f>$J$22*40</f>
        <v>1040</v>
      </c>
      <c r="X24" s="132">
        <f>$J$22*40</f>
        <v>1040</v>
      </c>
      <c r="AB24" s="43" t="str">
        <f t="shared" si="8"/>
        <v>L</v>
      </c>
      <c r="AC24" s="54">
        <v>195</v>
      </c>
      <c r="AD24" s="104" t="s">
        <v>256</v>
      </c>
      <c r="AE24" s="52"/>
      <c r="AF24" s="54">
        <v>1</v>
      </c>
      <c r="AG24" s="89">
        <f>AF24*参数调整!$C$41</f>
        <v>30000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customHeight="1" spans="17:42">
      <c r="Q25" s="102"/>
      <c r="R25" s="132">
        <f>$J$22*33</f>
        <v>858</v>
      </c>
      <c r="S25" s="132">
        <f>$J$22*40</f>
        <v>1040</v>
      </c>
      <c r="T25" s="132">
        <f>$J$22*35</f>
        <v>910</v>
      </c>
      <c r="U25" s="132">
        <f>$J$22*40</f>
        <v>1040</v>
      </c>
      <c r="V25" s="132">
        <f>$J$22*40</f>
        <v>1040</v>
      </c>
      <c r="W25" s="132">
        <f>$J$22*45</f>
        <v>1170</v>
      </c>
      <c r="X25" s="132">
        <f>$J$22*50</f>
        <v>1300</v>
      </c>
      <c r="AB25" s="43">
        <f t="shared" si="8"/>
        <v>0</v>
      </c>
      <c r="AC25" s="54"/>
      <c r="AD25" s="31" t="s">
        <v>257</v>
      </c>
      <c r="AE25" s="31"/>
      <c r="AF25" s="54">
        <v>0</v>
      </c>
      <c r="AG25" s="89">
        <f>AF25*参数调整!$F$18</f>
        <v>0</v>
      </c>
      <c r="AI25" s="111"/>
      <c r="AJ25" s="72"/>
      <c r="AK25" s="117"/>
      <c r="AL25" s="31" t="s">
        <v>76</v>
      </c>
      <c r="AM25" s="54">
        <v>0</v>
      </c>
      <c r="AN25" s="31">
        <f>AM25*参数调整!$H$23</f>
        <v>0</v>
      </c>
      <c r="AO25" s="48"/>
      <c r="AP25" s="48"/>
    </row>
    <row r="26" customHeight="1" spans="28:42">
      <c r="AB26" s="43">
        <f t="shared" si="8"/>
        <v>0</v>
      </c>
      <c r="AC26" s="54"/>
      <c r="AD26" s="31" t="s">
        <v>259</v>
      </c>
      <c r="AE26" s="31"/>
      <c r="AF26" s="54">
        <v>0</v>
      </c>
      <c r="AG26" s="89">
        <f>AF26*参数调整!$F$17</f>
        <v>0</v>
      </c>
      <c r="AI26" s="111"/>
      <c r="AJ26" s="73"/>
      <c r="AK26" s="109"/>
      <c r="AL26" s="31" t="s">
        <v>77</v>
      </c>
      <c r="AM26" s="54">
        <v>0</v>
      </c>
      <c r="AN26" s="31">
        <f>AM26*参数调整!$J$23</f>
        <v>0</v>
      </c>
      <c r="AO26" s="48"/>
      <c r="AP26" s="48"/>
    </row>
    <row r="27" customHeight="1" spans="28:42">
      <c r="AB27" s="43">
        <f t="shared" si="8"/>
        <v>0</v>
      </c>
      <c r="AC27" s="54"/>
      <c r="AD27" s="31" t="s">
        <v>260</v>
      </c>
      <c r="AE27" s="31"/>
      <c r="AF27" s="31"/>
      <c r="AG27" s="89">
        <f>SUM(Y3:Y14)</f>
        <v>16092.9245</v>
      </c>
      <c r="AI27" s="111"/>
      <c r="AJ27" s="104" t="s">
        <v>262</v>
      </c>
      <c r="AK27" s="106"/>
      <c r="AL27" s="52"/>
      <c r="AM27" s="43">
        <f>AM19</f>
        <v>8</v>
      </c>
      <c r="AN27" s="31">
        <f>AM27*参数调整!$J$17*(1+参数调整!$B$12+参数调整!$B$13+参数调整!$B$14+参数调整!$B$15+参数调整!$B$16)</f>
        <v>43072</v>
      </c>
      <c r="AO27" s="48"/>
      <c r="AP27" s="48"/>
    </row>
    <row r="28" customHeight="1" spans="10:42">
      <c r="J28" s="69"/>
      <c r="P28" s="69"/>
      <c r="Q28" s="89" t="s">
        <v>317</v>
      </c>
      <c r="R28" s="89" t="s">
        <v>329</v>
      </c>
      <c r="S28" s="89" t="s">
        <v>319</v>
      </c>
      <c r="T28" s="89" t="s">
        <v>309</v>
      </c>
      <c r="U28" s="89" t="s">
        <v>320</v>
      </c>
      <c r="V28" s="89" t="s">
        <v>321</v>
      </c>
      <c r="W28" s="89" t="s">
        <v>247</v>
      </c>
      <c r="X28" s="89" t="s">
        <v>286</v>
      </c>
      <c r="Y28" s="89" t="s">
        <v>322</v>
      </c>
      <c r="Z28" s="69"/>
      <c r="AB28" s="43">
        <f t="shared" si="8"/>
        <v>0</v>
      </c>
      <c r="AC28" s="54"/>
      <c r="AD28" s="31" t="s">
        <v>261</v>
      </c>
      <c r="AE28" s="31"/>
      <c r="AF28" s="31"/>
      <c r="AG28" s="89">
        <f>G18</f>
        <v>66358.773</v>
      </c>
      <c r="AI28" s="111"/>
      <c r="AJ28" s="70" t="s">
        <v>264</v>
      </c>
      <c r="AK28" s="118" t="s">
        <v>265</v>
      </c>
      <c r="AL28" s="119" t="s">
        <v>175</v>
      </c>
      <c r="AM28" s="120">
        <v>0</v>
      </c>
      <c r="AN28" s="70">
        <f>AM28*参数调整!$B$30*参数调整!F11</f>
        <v>0</v>
      </c>
      <c r="AO28" s="48"/>
      <c r="AP28" s="48"/>
    </row>
    <row r="29" customHeight="1" spans="10:42">
      <c r="J29" s="89" t="str">
        <f t="shared" ref="J29:J40" si="9">J3</f>
        <v>S</v>
      </c>
      <c r="K29" s="89">
        <f>第四季度!W3-第五季度!Q3+第五季度!R3</f>
        <v>146</v>
      </c>
      <c r="L29" s="89"/>
      <c r="M29" s="89"/>
      <c r="N29" s="89"/>
      <c r="O29" s="89"/>
      <c r="P29" s="89"/>
      <c r="Q29" s="54">
        <v>648</v>
      </c>
      <c r="R29" s="89">
        <f>IF(J29="S",K29*100/(SUM(第四季度!$R$18:$X$18)-$Q$29),IF(J29="B",K29*100/(SUM(第四季度!$R$19:$X$19)-$Q$30),IF(J29="Q",K29*100/(SUM(第四季度!$R$20:$X$20)-$Q$31),IF(第一季度!$R$22=0,K29*100/(SUM(第四季度!$R$21:$X$21)-$Q$32)))))</f>
        <v>3.68407771889982</v>
      </c>
      <c r="S29" s="89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0.020240635336711</v>
      </c>
      <c r="T29" s="54">
        <v>0.39</v>
      </c>
      <c r="U29" s="89">
        <f>R29+S29-T29</f>
        <v>3.31431835423653</v>
      </c>
      <c r="V29" s="89">
        <f>IF(J29="S",Z3*参数调整!$H$11/($X$29*$J$18),IF(J29="B",Z3*参数调整!$H$12/($X$30*$J$18),IF(J29="Q",Z3*参数调整!$H$13/($X$31*$J$18),Z3*参数调整!$H$14/($X$32*$J$18))))</f>
        <v>0.457014675902253</v>
      </c>
      <c r="W29" s="54">
        <v>15445.4142970706</v>
      </c>
      <c r="X29" s="69">
        <f>W29+第三季度!W29*0.53653684*0.46055126+第四季度!W29*0.53653684</f>
        <v>20442.1819391204</v>
      </c>
      <c r="Y29" s="89">
        <f>U29+V29</f>
        <v>3.77133303013879</v>
      </c>
      <c r="Z29" s="105">
        <v>19806.4635619122</v>
      </c>
      <c r="AD29" s="31" t="s">
        <v>263</v>
      </c>
      <c r="AE29" s="31"/>
      <c r="AF29" s="31"/>
      <c r="AG29" s="121">
        <f>AG3+AG4*(1-参数调整!$B$18)-SUM(AG5:AG28)</f>
        <v>-86503.6575</v>
      </c>
      <c r="AH29" s="121">
        <f>AG29/(1-参数调整!B23)</f>
        <v>-89179.0283505154</v>
      </c>
      <c r="AI29" s="111"/>
      <c r="AJ29" s="112"/>
      <c r="AK29" s="122"/>
      <c r="AL29" s="123"/>
      <c r="AM29" s="124"/>
      <c r="AN29" s="113"/>
      <c r="AO29" s="48"/>
      <c r="AP29" s="48"/>
    </row>
    <row r="30" customHeight="1" spans="10:42">
      <c r="J30" s="89" t="str">
        <f t="shared" si="9"/>
        <v>S</v>
      </c>
      <c r="K30" s="89">
        <f>第四季度!W4-第五季度!Q4+第五季度!R4</f>
        <v>181</v>
      </c>
      <c r="L30" s="89"/>
      <c r="M30" s="89"/>
      <c r="N30" s="89"/>
      <c r="O30" s="89"/>
      <c r="P30" s="89"/>
      <c r="Q30" s="54">
        <v>622</v>
      </c>
      <c r="R30" s="89">
        <f>IF(J30="S",K30*100/(SUM(第四季度!$R$18:$X$18)-$Q$29),IF(J30="B",K30*100/(SUM(第四季度!$R$19:$X$19)-$Q$30),IF(J30="Q",K30*100/(SUM(第四季度!$R$20:$X$20)-$Q$31),IF(第一季度!$R$22=0,K30*100/(SUM(第四季度!$R$21:$X$21)-$Q$32)))))</f>
        <v>4.56724703507444</v>
      </c>
      <c r="S30" s="89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0.0288634215359402</v>
      </c>
      <c r="T30" s="54">
        <v>0</v>
      </c>
      <c r="U30" s="89">
        <f t="shared" ref="U30:U40" si="10">R30+S30-T30</f>
        <v>4.59611045661038</v>
      </c>
      <c r="V30" s="89">
        <f>IF(J30="S",Z4*参数调整!$H$11/($X$29*$J$18),IF(J30="B",Z4*参数调整!$H$12/($X$30*$J$18),IF(J30="Q",Z4*参数调整!$H$13/($X$31*$J$18),Z4*参数调整!$H$14/($X$32*$J$18))))</f>
        <v>0</v>
      </c>
      <c r="W30" s="54">
        <v>29522.1925581965</v>
      </c>
      <c r="X30" s="69">
        <f>W30+第三季度!W30*0.53653684*0.46055126+第四季度!W30*0.53653684</f>
        <v>37352.7285904186</v>
      </c>
      <c r="Y30" s="89">
        <f t="shared" ref="Y30:Y40" si="11">U30+V30</f>
        <v>4.59611045661038</v>
      </c>
      <c r="Z30" s="105">
        <v>31560.4557601958</v>
      </c>
      <c r="AD30" s="104" t="s">
        <v>267</v>
      </c>
      <c r="AE30" s="106"/>
      <c r="AF30" s="52"/>
      <c r="AG30" s="54">
        <v>75061.35</v>
      </c>
      <c r="AI30" s="111"/>
      <c r="AJ30" s="112"/>
      <c r="AK30" s="122"/>
      <c r="AL30" s="119" t="s">
        <v>176</v>
      </c>
      <c r="AM30" s="120">
        <v>0</v>
      </c>
      <c r="AN30" s="70">
        <f>参数调整!F12*AM30*参数调整!$B$30</f>
        <v>0</v>
      </c>
      <c r="AO30" s="48"/>
      <c r="AP30" s="48"/>
    </row>
    <row r="31" spans="10:42">
      <c r="J31" s="89" t="str">
        <f t="shared" si="9"/>
        <v>B</v>
      </c>
      <c r="K31" s="89">
        <f>第四季度!W5-第五季度!Q5+第五季度!R5</f>
        <v>129</v>
      </c>
      <c r="L31" s="89"/>
      <c r="M31" s="89"/>
      <c r="N31" s="89"/>
      <c r="O31" s="89"/>
      <c r="P31" s="89"/>
      <c r="Q31" s="54">
        <v>725</v>
      </c>
      <c r="R31" s="89">
        <f>IF(J31="S",K31*100/(SUM(第四季度!$R$18:$X$18)-$Q$29),IF(J31="B",K31*100/(SUM(第四季度!$R$19:$X$19)-$Q$30),IF(J31="Q",K31*100/(SUM(第四季度!$R$20:$X$20)-$Q$31),IF(第一季度!$R$22=0,K31*100/(SUM(第四季度!$R$21:$X$21)-$Q$32)))))</f>
        <v>2.75346851654216</v>
      </c>
      <c r="S31" s="89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0.00234483700322298</v>
      </c>
      <c r="T31" s="54">
        <v>0.03</v>
      </c>
      <c r="U31" s="89">
        <f t="shared" si="10"/>
        <v>2.72581335354538</v>
      </c>
      <c r="V31" s="89">
        <f>IF(J31="S",Z5*参数调整!$H$11/($X$29*$J$18),IF(J31="B",Z5*参数调整!$H$12/($X$30*$J$18),IF(J31="Q",Z5*参数调整!$H$13/($X$31*$J$18),Z5*参数调整!$H$14/($X$32*$J$18))))</f>
        <v>0.110498065358293</v>
      </c>
      <c r="W31" s="54">
        <v>12679.5788454729</v>
      </c>
      <c r="X31" s="69">
        <f>W31+第三季度!W31*0.53653684*0.46055126+第四季度!W31*0.53653684</f>
        <v>16376.2858570578</v>
      </c>
      <c r="Y31" s="89">
        <f t="shared" si="11"/>
        <v>2.83631141890367</v>
      </c>
      <c r="Z31" s="105">
        <v>15922.8077108695</v>
      </c>
      <c r="AD31" s="104" t="s">
        <v>263</v>
      </c>
      <c r="AE31" s="106"/>
      <c r="AF31" s="52"/>
      <c r="AG31" s="121">
        <f>AG30*(1-参数调整!B23)+AG29</f>
        <v>-13694.148</v>
      </c>
      <c r="AI31" s="111"/>
      <c r="AJ31" s="112"/>
      <c r="AK31" s="122"/>
      <c r="AL31" s="123"/>
      <c r="AM31" s="124"/>
      <c r="AN31" s="113"/>
      <c r="AO31" s="48"/>
      <c r="AP31" s="48"/>
    </row>
    <row r="32" spans="10:42">
      <c r="J32" s="89" t="str">
        <f t="shared" si="9"/>
        <v>B</v>
      </c>
      <c r="K32" s="89">
        <f>第四季度!W6-第五季度!Q6+第五季度!R6</f>
        <v>204</v>
      </c>
      <c r="L32" s="89"/>
      <c r="M32" s="89"/>
      <c r="N32" s="89"/>
      <c r="O32" s="89"/>
      <c r="P32" s="89"/>
      <c r="Q32" s="54">
        <v>1028</v>
      </c>
      <c r="R32" s="89">
        <f>IF(J32="S",K32*100/(SUM(第四季度!$R$18:$X$18)-$Q$29),IF(J32="B",K32*100/(SUM(第四季度!$R$19:$X$19)-$Q$30),IF(J32="Q",K32*100/(SUM(第四季度!$R$20:$X$20)-$Q$31),IF(第一季度!$R$22=0,K32*100/(SUM(第四季度!$R$21:$X$21)-$Q$32)))))</f>
        <v>4.35432230522946</v>
      </c>
      <c r="S32" s="89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0.0395620616673298</v>
      </c>
      <c r="T32" s="54">
        <v>0</v>
      </c>
      <c r="U32" s="89">
        <f t="shared" si="10"/>
        <v>4.39388436689679</v>
      </c>
      <c r="V32" s="89">
        <f>IF(J32="S",Z6*参数调整!$H$11/($X$29*$J$18),IF(J32="B",Z6*参数调整!$H$12/($X$30*$J$18),IF(J32="Q",Z6*参数调整!$H$13/($X$31*$J$18),Z6*参数调整!$H$14/($X$32*$J$18))))</f>
        <v>0.260762937991343</v>
      </c>
      <c r="W32" s="54">
        <v>2562.18273549648</v>
      </c>
      <c r="X32" s="69">
        <f>W32+第三季度!W32*0.53653684*0.46055126+第四季度!W32*0.53653684</f>
        <v>3126.71909371929</v>
      </c>
      <c r="Y32" s="89">
        <f t="shared" si="11"/>
        <v>4.65464730488813</v>
      </c>
      <c r="Z32" s="105">
        <v>0</v>
      </c>
      <c r="AI32" s="111"/>
      <c r="AJ32" s="112"/>
      <c r="AK32" s="122"/>
      <c r="AL32" s="119" t="s">
        <v>177</v>
      </c>
      <c r="AM32" s="120">
        <v>0</v>
      </c>
      <c r="AN32" s="70">
        <f>参数调整!F13*AM32*参数调整!$B$30</f>
        <v>0</v>
      </c>
      <c r="AO32" s="48"/>
      <c r="AP32" s="48"/>
    </row>
    <row r="33" spans="1:42">
      <c r="A33" s="89" t="s">
        <v>309</v>
      </c>
      <c r="B33" s="89" t="s">
        <v>247</v>
      </c>
      <c r="J33" s="89" t="str">
        <f t="shared" si="9"/>
        <v>B</v>
      </c>
      <c r="K33" s="89">
        <f>第四季度!W7-第五季度!Q7+第五季度!R7</f>
        <v>70</v>
      </c>
      <c r="L33" s="89"/>
      <c r="M33" s="89"/>
      <c r="N33" s="89"/>
      <c r="O33" s="89"/>
      <c r="P33" s="89"/>
      <c r="R33" s="89">
        <f>IF(J33="S",K33*100/(SUM(第四季度!$R$18:$X$18)-$Q$29),IF(J33="B",K33*100/(SUM(第四季度!$R$19:$X$19)-$Q$30),IF(J33="Q",K33*100/(SUM(第四季度!$R$20:$X$20)-$Q$31),IF(第一季度!$R$22=0,K33*100/(SUM(第四季度!$R$21:$X$21)-$Q$32)))))</f>
        <v>1.49413020277481</v>
      </c>
      <c r="S33" s="89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0.00829756829102346</v>
      </c>
      <c r="T33" s="54">
        <v>0</v>
      </c>
      <c r="U33" s="89">
        <f t="shared" si="10"/>
        <v>1.50242777106584</v>
      </c>
      <c r="V33" s="89">
        <f>IF(J33="S",Z7*参数调整!$H$11/($X$29*$J$18),IF(J33="B",Z7*参数调整!$H$12/($X$30*$J$18),IF(J33="Q",Z7*参数调整!$H$13/($X$31*$J$18),Z7*参数调整!$H$14/($X$32*$J$18))))</f>
        <v>0</v>
      </c>
      <c r="W33" s="69"/>
      <c r="X33" s="69"/>
      <c r="Y33" s="89">
        <f t="shared" si="11"/>
        <v>1.50242777106584</v>
      </c>
      <c r="Z33" s="69"/>
      <c r="AI33" s="111"/>
      <c r="AJ33" s="112"/>
      <c r="AK33" s="122"/>
      <c r="AL33" s="123"/>
      <c r="AM33" s="124"/>
      <c r="AN33" s="113"/>
      <c r="AO33" s="48"/>
      <c r="AP33" s="48"/>
    </row>
    <row r="34" spans="1:42">
      <c r="A34" s="54">
        <v>0.34</v>
      </c>
      <c r="B34" s="89">
        <f>((AB3*参数调整!H11/A34)-第三季度!W29*$J$18*0.536537*0.46055126-第四季度!W29*$J$18*0.536537)/$J$18</f>
        <v>22480.8107315231</v>
      </c>
      <c r="J34" s="89" t="str">
        <f t="shared" si="9"/>
        <v>Q</v>
      </c>
      <c r="K34" s="89">
        <f>第四季度!W8-第五季度!Q8+第五季度!R8</f>
        <v>126</v>
      </c>
      <c r="L34" s="89"/>
      <c r="M34" s="89"/>
      <c r="N34" s="89"/>
      <c r="O34" s="89"/>
      <c r="P34" s="89"/>
      <c r="R34" s="89">
        <f>IF(J34="S",K34*100/(SUM(第四季度!$R$18:$X$18)-$Q$29),IF(J34="B",K34*100/(SUM(第四季度!$R$19:$X$19)-$Q$30),IF(J34="Q",K34*100/(SUM(第四季度!$R$20:$X$20)-$Q$31),IF(第一季度!$R$22=0,K34*100/(SUM(第四季度!$R$21:$X$21)-$Q$32)))))</f>
        <v>2.29885057471264</v>
      </c>
      <c r="S34" s="89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0.00533661740558294</v>
      </c>
      <c r="T34" s="54">
        <v>0.25</v>
      </c>
      <c r="U34" s="89">
        <f t="shared" si="10"/>
        <v>2.05418719211823</v>
      </c>
      <c r="V34" s="89">
        <f>IF(J34="S",Z8*参数调整!$H$11/($X$29*$J$18),IF(J34="B",Z8*参数调整!$H$12/($X$30*$J$18),IF(J34="Q",Z8*参数调整!$H$13/($X$31*$J$18),Z8*参数调整!$H$14/($X$32*$J$18))))</f>
        <v>0.196681836704816</v>
      </c>
      <c r="W34" s="69"/>
      <c r="X34" s="69"/>
      <c r="Y34" s="89">
        <f t="shared" si="11"/>
        <v>2.25086902882304</v>
      </c>
      <c r="Z34" s="69"/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spans="1:42">
      <c r="A35" s="54">
        <v>0.07</v>
      </c>
      <c r="B35" s="89">
        <f>((AB4*参数调整!H12/A35)-第三季度!W30*$J$18*0.536537*0.46055126-第四季度!W30*$J$18*0.536537)/$J$18</f>
        <v>190278.197265864</v>
      </c>
      <c r="J35" s="89" t="str">
        <f t="shared" si="9"/>
        <v>Q</v>
      </c>
      <c r="K35" s="89">
        <f>第四季度!W9-第五季度!Q9+第五季度!R9</f>
        <v>137</v>
      </c>
      <c r="L35" s="89"/>
      <c r="M35" s="89"/>
      <c r="N35" s="89"/>
      <c r="O35" s="89"/>
      <c r="P35" s="89"/>
      <c r="R35" s="89">
        <f>IF(J35="S",K35*100/(SUM(第四季度!$R$18:$X$18)-$Q$29),IF(J35="B",K35*100/(SUM(第四季度!$R$19:$X$19)-$Q$30),IF(J35="Q",K35*100/(SUM(第四季度!$R$20:$X$20)-$Q$31),IF(第一季度!$R$22=0,K35*100/(SUM(第四季度!$R$21:$X$21)-$Q$32)))))</f>
        <v>2.49954387885422</v>
      </c>
      <c r="S35" s="89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0.0548880611958829</v>
      </c>
      <c r="T35" s="54">
        <v>0</v>
      </c>
      <c r="U35" s="89">
        <f t="shared" si="10"/>
        <v>2.55443194005011</v>
      </c>
      <c r="V35" s="89">
        <f>IF(J35="S",Z9*参数调整!$H$11/($X$29*$J$18),IF(J35="B",Z9*参数调整!$H$12/($X$30*$J$18),IF(J35="Q",Z9*参数调整!$H$13/($X$31*$J$18),Z9*参数调整!$H$14/($X$32*$J$18))))</f>
        <v>0.11734207287693</v>
      </c>
      <c r="W35" s="69"/>
      <c r="X35" s="69"/>
      <c r="Y35" s="89">
        <f t="shared" si="11"/>
        <v>2.67177401292704</v>
      </c>
      <c r="Z35" s="69"/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spans="1:42">
      <c r="A36" s="54">
        <v>0.24</v>
      </c>
      <c r="B36" s="89">
        <f>((AB5*参数调整!H13/A36)-第三季度!W31*$J$18*0.536537*0.46055126-第四季度!W31*$J$18*0.536537)/$J$18</f>
        <v>17730.5640079477</v>
      </c>
      <c r="D36" s="29" t="s">
        <v>270</v>
      </c>
      <c r="E36" s="30" t="s">
        <v>271</v>
      </c>
      <c r="J36" s="89" t="str">
        <f t="shared" si="9"/>
        <v>L</v>
      </c>
      <c r="K36" s="89">
        <f>第四季度!W10-第五季度!Q10+第五季度!R10</f>
        <v>304</v>
      </c>
      <c r="L36" s="89"/>
      <c r="M36" s="89"/>
      <c r="N36" s="89"/>
      <c r="O36" s="89"/>
      <c r="P36" s="89"/>
      <c r="R36" s="89">
        <f>IF(J36="S",K36*100/(SUM(第四季度!$R$18:$X$18)-$Q$29),IF(J36="B",K36*100/(SUM(第四季度!$R$19:$X$19)-$Q$30),IF(J36="Q",K36*100/(SUM(第四季度!$R$20:$X$20)-$Q$31),IF(第一季度!$R$22=0,K36*100/(SUM(第四季度!$R$21:$X$21)-$Q$32)))))</f>
        <v>4.8858887817422</v>
      </c>
      <c r="S36" s="89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0.0396726325464901</v>
      </c>
      <c r="T36" s="54">
        <v>0.05</v>
      </c>
      <c r="U36" s="89">
        <f t="shared" si="10"/>
        <v>4.8755614142887</v>
      </c>
      <c r="V36" s="89">
        <f>IF(J36="S",Z10*参数调整!$H$11/($X$29*$J$18),IF(J36="B",Z10*参数调整!$H$12/($X$30*$J$18),IF(J36="Q",Z10*参数调整!$H$13/($X$31*$J$18),Z10*参数调整!$H$14/($X$32*$J$18))))</f>
        <v>0.326115660209674</v>
      </c>
      <c r="W36" s="69"/>
      <c r="X36" s="69"/>
      <c r="Y36" s="89">
        <f t="shared" si="11"/>
        <v>5.20167707449837</v>
      </c>
      <c r="Z36" s="69"/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AN2-SUM(AN5:AN19)+SUM(AN20:AN26)-SUM(AN27:AN35)+AO36*(1-参数调整!B23)+AP36*(1-参数调整!B24)-第二季度!AG4</f>
        <v>104442.054</v>
      </c>
      <c r="AO36" s="54">
        <v>110401.2</v>
      </c>
      <c r="AP36" s="54">
        <v>32818.5</v>
      </c>
    </row>
    <row r="37" spans="1:42">
      <c r="A37" s="54">
        <v>0.06</v>
      </c>
      <c r="B37" s="89">
        <f>((AB6*参数调整!H14/A37)-第三季度!W32*$J$18*0.536537*0.46055126-第四季度!W32*$J$18*0.536537)/$J$18</f>
        <v>16429.9978324018</v>
      </c>
      <c r="D37" s="29"/>
      <c r="E37" s="30"/>
      <c r="J37" s="89">
        <f t="shared" si="9"/>
        <v>0</v>
      </c>
      <c r="K37" s="89">
        <f>第四季度!W11-第五季度!Q11+第五季度!R11</f>
        <v>0</v>
      </c>
      <c r="L37" s="89"/>
      <c r="M37" s="89"/>
      <c r="N37" s="89"/>
      <c r="O37" s="89"/>
      <c r="P37" s="89"/>
      <c r="R37" s="89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89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54">
        <v>0</v>
      </c>
      <c r="U37" s="89">
        <f t="shared" si="10"/>
        <v>0</v>
      </c>
      <c r="V37" s="89">
        <f>IF(J37="S",Z11*参数调整!$H$11/($X$29*$J$18),IF(J37="B",Z11*参数调整!$H$12/($X$30*$J$18),IF(J37="Q",Z11*参数调整!$H$13/($X$31*$J$18),Z11*参数调整!$H$14/($X$32*$J$18))))</f>
        <v>0</v>
      </c>
      <c r="Y37" s="89">
        <f t="shared" si="11"/>
        <v>0</v>
      </c>
      <c r="AI37" s="127" t="s">
        <v>338</v>
      </c>
      <c r="AJ37" s="104" t="s">
        <v>274</v>
      </c>
      <c r="AK37" s="106"/>
      <c r="AL37" s="106"/>
      <c r="AM37" s="52"/>
      <c r="AN37" s="43">
        <f>AO3-AO36</f>
        <v>264829.5</v>
      </c>
      <c r="AO37" s="48"/>
      <c r="AP37" s="48"/>
    </row>
    <row r="38" spans="4:42">
      <c r="D38" s="69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48">
        <f>第四季度!G3+第四季度!H3+第四季度!E38-第四季度!B3</f>
        <v>0</v>
      </c>
      <c r="J38" s="89">
        <f t="shared" si="9"/>
        <v>0</v>
      </c>
      <c r="K38" s="89">
        <f>第四季度!W12-第五季度!Q12+第五季度!R12</f>
        <v>0</v>
      </c>
      <c r="L38" s="89"/>
      <c r="M38" s="89"/>
      <c r="N38" s="89"/>
      <c r="O38" s="89"/>
      <c r="P38" s="89"/>
      <c r="R38" s="89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89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54">
        <v>0</v>
      </c>
      <c r="U38" s="89">
        <f t="shared" si="10"/>
        <v>0</v>
      </c>
      <c r="V38" s="89">
        <f>IF(J38="S",Z12*参数调整!$H$11/($X$29*$J$18),IF(J38="B",Z12*参数调整!$H$12/($X$30*$J$18),IF(J38="Q",Z12*参数调整!$H$13/($X$31*$J$18),Z12*参数调整!$H$14/($X$32*$J$18))))</f>
        <v>0</v>
      </c>
      <c r="Y38" s="89">
        <f t="shared" si="11"/>
        <v>0</v>
      </c>
      <c r="AI38" s="128"/>
      <c r="AJ38" s="104" t="s">
        <v>275</v>
      </c>
      <c r="AK38" s="106"/>
      <c r="AL38" s="106"/>
      <c r="AM38" s="52"/>
      <c r="AN38" s="43">
        <f>(G3*D3*E3+G4*D4*E4+G5*D5*1.5*E5+G6*D6*E6+G7*E7*D7+G8*E8*D8+G9*E9*D9+G10*E10*D10+G11*E11*D11+G12*E12*D12+G13*E13*D13*1.5+G14*E14*D14*1.5+G15*E15*D15*1.5+G16*E16*D16*1.5)*(1+参数调整!B6)</f>
        <v>142318.0395</v>
      </c>
      <c r="AO38" s="48"/>
      <c r="AP38" s="48"/>
    </row>
    <row r="39" spans="4:41">
      <c r="D39" s="69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48">
        <f>第四季度!G4+第四季度!H4+第四季度!E39-第四季度!B4</f>
        <v>0</v>
      </c>
      <c r="J39" s="89">
        <f t="shared" si="9"/>
        <v>0</v>
      </c>
      <c r="K39" s="89">
        <f>第四季度!W13-第五季度!Q13+第五季度!R13</f>
        <v>0</v>
      </c>
      <c r="L39" s="89"/>
      <c r="M39" s="89"/>
      <c r="N39" s="89"/>
      <c r="O39" s="89"/>
      <c r="P39" s="89"/>
      <c r="R39" s="89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89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54">
        <v>0</v>
      </c>
      <c r="U39" s="89">
        <f t="shared" si="10"/>
        <v>0</v>
      </c>
      <c r="V39" s="89">
        <f>IF(J39="S",Z13*参数调整!$H$11/($X$29*$J$18),IF(J39="B",Z13*参数调整!$H$12/($X$30*$J$18),IF(J39="Q",Z13*参数调整!$H$13/($X$31*$J$18),Z13*参数调整!$H$14/($X$32*$J$18))))</f>
        <v>0</v>
      </c>
      <c r="Y39" s="89">
        <f t="shared" si="11"/>
        <v>0</v>
      </c>
      <c r="AI39" s="128"/>
      <c r="AJ39" s="104" t="s">
        <v>276</v>
      </c>
      <c r="AK39" s="106"/>
      <c r="AL39" s="106"/>
      <c r="AM39" s="52"/>
      <c r="AN39" s="43">
        <f>H5*D40*(1+参数调整!B6)+H13*D48*(1+参数调整!B6)+H14*D49*(1+参数调整!B6)+H15*D50*(1+参数调整!B6)+H16*D51*(1+参数调整!B6)</f>
        <v>39823.758</v>
      </c>
      <c r="AO39" s="48"/>
    </row>
    <row r="40" spans="4:42">
      <c r="D40" s="69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114</v>
      </c>
      <c r="E40" s="48">
        <f>第四季度!G5+第四季度!H5+第四季度!E40-第四季度!B5</f>
        <v>19</v>
      </c>
      <c r="J40" s="89">
        <f t="shared" si="9"/>
        <v>0</v>
      </c>
      <c r="K40" s="89">
        <f>第四季度!W14-第五季度!Q14+第五季度!R14</f>
        <v>0</v>
      </c>
      <c r="L40" s="89"/>
      <c r="M40" s="89"/>
      <c r="N40" s="89"/>
      <c r="O40" s="89"/>
      <c r="P40" s="89"/>
      <c r="R40" s="89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89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54">
        <v>0</v>
      </c>
      <c r="U40" s="89">
        <f t="shared" si="10"/>
        <v>0</v>
      </c>
      <c r="V40" s="89">
        <f>IF(J40="S",Z14*参数调整!$H$11/($X$29*$J$18),IF(J40="B",Z14*参数调整!$H$12/($X$30*$J$18),IF(J40="Q",Z14*参数调整!$H$13/($X$31*$J$18),Z14*参数调整!$H$14/($X$32*$J$18))))</f>
        <v>0</v>
      </c>
      <c r="Y40" s="89">
        <f t="shared" si="11"/>
        <v>0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spans="1:42">
      <c r="A41" s="89" t="s">
        <v>293</v>
      </c>
      <c r="B41" s="69"/>
      <c r="C41" s="69"/>
      <c r="D41" s="69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9</v>
      </c>
      <c r="E41" s="48">
        <f>第四季度!G6+第四季度!H6+第四季度!E41-第四季度!B6</f>
        <v>0</v>
      </c>
      <c r="AI41" s="128"/>
      <c r="AJ41" s="104" t="s">
        <v>277</v>
      </c>
      <c r="AK41" s="106"/>
      <c r="AL41" s="106"/>
      <c r="AM41" s="52"/>
      <c r="AN41" s="43">
        <f>(AN2+AO3+AP3-AK2)*参数调整!B6/(1+参数调整!B6)-(F3+F4+F5*1.5+F6+F7+F8+F9+F10+F11+F12+F13*1.5+F14*1.5+F15*1.5+F16*1.5+第四季度!AN39)/(1+参数调整!B6)*参数调整!B6</f>
        <v>88302.8875</v>
      </c>
      <c r="AO41" s="48"/>
      <c r="AP41" s="48"/>
    </row>
    <row r="42" spans="1:42">
      <c r="A42" s="91">
        <f>ROUNDUP(IF(J3="S",W3*$R$18/SUM($R$18:$X$18),IF(J3="B",W3*$R$19/SUM($R$19:$X$19),IF(J3="Q",W3*$R$20/SUM($R$20:$X$20),W3*$R$21/SUM($R$21:$X$21)))),1)</f>
        <v>9.1</v>
      </c>
      <c r="B42" s="90">
        <f>ROUNDUP(IF(J3="S",W3*$S$18/SUM($R$18:$X$18),IF(J3="B",W3*$S$19/SUM($R$19:$X$19),IF(J3="Q",W3*$S$20/SUM($R$20:$X$20),W3*$S$21/SUM($R$21:$X$21)))),1)</f>
        <v>7.9</v>
      </c>
      <c r="C42" s="91"/>
      <c r="D42" s="92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93">
        <f>第四季度!G7+第四季度!H7+第四季度!E42-第四季度!B7</f>
        <v>0</v>
      </c>
      <c r="F42" s="91"/>
      <c r="G42" s="90">
        <f>ROUNDUP(IF(J3="S",W3*$T$18/SUM($R$18:$X$18),IF(J3="B",W3*$T$19/SUM($R$19:$X$19),IF(J3="Q",W3*$T$20/SUM($R$20:$X$20),W3*$T$21/SUM($R$21:$X$21)))),1)</f>
        <v>7.9</v>
      </c>
      <c r="H42" s="90">
        <f>ROUNDUP(IF(J3="S",W3*$U$18/SUM($R$18:$X$18),IF(J3="B",W3*$U$19/SUM($R$19:$X$19),IF(J3="Q",W3*$U$20/SUM($R$20:$X$20),W3*$U$21/SUM($R$21:$X$21)))),1)</f>
        <v>9.9</v>
      </c>
      <c r="I42" s="91">
        <f>ROUNDUP(IF(J3="S",W3*$V$18/SUM($R$18:$X$18),IF(J3="B",W3*$V$19/SUM($R$19:$X$19),IF(J3="Q",W3*$V$20/SUM($R$20:$X$20),W3*$V$21/SUM($R$21:$X$21)))),1)</f>
        <v>11</v>
      </c>
      <c r="J42" s="97">
        <f>ROUNDUP(IF(J3="S",W3*$W$18/SUM($R$18:$X$18),IF(J3="B",W3*$W$19/SUM($R$19:$X$19),IF(J3="Q",W3*$W$20/SUM($R$20:$X$20),W3*$W$21/SUM($R$21:$X$21)))),1)</f>
        <v>11.8</v>
      </c>
      <c r="K42" s="91">
        <f>ROUNDUP(IF(J3="S",W3*$X$18/SUM($R$18:$X$18),IF(J3="B",W3*$X$19/SUM($R$19:$X$19),IF(J3="Q",W3*$X$20/SUM($R$20:$X$20),W3*$X$21/SUM($R$21:$X$21)))),1)</f>
        <v>11.8</v>
      </c>
      <c r="Q42" s="103">
        <f>W3-TRUNC(A42)-TRUNC(B42)-TRUNC(G42)-TRUNC(H42)-TRUNC(I42)-TRUNC(J42)-TRUNC(K42)</f>
        <v>4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10596.3465</v>
      </c>
      <c r="AO42" s="48"/>
      <c r="AP42" s="48"/>
    </row>
    <row r="43" spans="1:42">
      <c r="A43" s="90">
        <f t="shared" ref="A43:A53" si="12">ROUNDUP(IF(J4="S",W4*$R$18/SUM($R$18:$X$18),IF(J4="B",W4*$R$19/SUM($R$19:$X$19),IF(J4="Q",W4*$R$20/SUM($R$20:$X$20),W4*$R$21/SUM($R$21:$X$21)))),1)</f>
        <v>15.9</v>
      </c>
      <c r="B43" s="90">
        <f t="shared" ref="B43:B53" si="13">ROUNDUP(IF(J4="S",W4*$S$18/SUM($R$18:$X$18),IF(J4="B",W4*$S$19/SUM($R$19:$X$19),IF(J4="Q",W4*$S$20/SUM($R$20:$X$20),W4*$S$21/SUM($R$21:$X$21)))),1)</f>
        <v>13.8</v>
      </c>
      <c r="C43" s="91"/>
      <c r="D43" s="92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39</v>
      </c>
      <c r="E43" s="93">
        <f>第四季度!G8+第四季度!H8+第四季度!E43-第四季度!B8</f>
        <v>0</v>
      </c>
      <c r="F43" s="91"/>
      <c r="G43" s="90">
        <f t="shared" ref="G43:G53" si="14">ROUNDUP(IF(J4="S",W4*$T$18/SUM($R$18:$X$18),IF(J4="B",W4*$T$19/SUM($R$19:$X$19),IF(J4="Q",W4*$T$20/SUM($R$20:$X$20),W4*$T$21/SUM($R$21:$X$21)))),1)</f>
        <v>13.8</v>
      </c>
      <c r="H43" s="90">
        <f t="shared" ref="H43:H53" si="15">ROUNDUP(IF(J4="S",W4*$U$18/SUM($R$18:$X$18),IF(J4="B",W4*$U$19/SUM($R$19:$X$19),IF(J4="Q",W4*$U$20/SUM($R$20:$X$20),W4*$U$21/SUM($R$21:$X$21)))),1)</f>
        <v>17.2</v>
      </c>
      <c r="I43" s="91">
        <f t="shared" ref="I43:I53" si="16">ROUNDUP(IF(J4="S",W4*$V$18/SUM($R$18:$X$18),IF(J4="B",W4*$V$19/SUM($R$19:$X$19),IF(J4="Q",W4*$V$20/SUM($R$20:$X$20),W4*$V$21/SUM($R$21:$X$21)))),1)</f>
        <v>19.3</v>
      </c>
      <c r="J43" s="98">
        <f t="shared" ref="J43:J53" si="17">ROUNDUP(IF(J4="S",W4*$W$18/SUM($R$18:$X$18),IF(J4="B",W4*$W$19/SUM($R$19:$X$19),IF(J4="Q",W4*$W$20/SUM($R$20:$X$20),W4*$W$21/SUM($R$21:$X$21)))),1)</f>
        <v>20.7</v>
      </c>
      <c r="K43" s="91">
        <f t="shared" ref="K43:K53" si="18">ROUNDUP(IF(J4="S",W4*$X$18/SUM($R$18:$X$18),IF(J4="B",W4*$X$19/SUM($R$19:$X$19),IF(J4="Q",W4*$X$20/SUM($R$20:$X$20),W4*$X$21/SUM($R$21:$X$21)))),1)</f>
        <v>20.7</v>
      </c>
      <c r="Q43" s="103">
        <f t="shared" ref="Q43:Q53" si="19">W4-TRUNC(A43)-TRUNC(B43)-TRUNC(G43)-TRUNC(H43)-TRUNC(I43)-TRUNC(J43)-TRUNC(K43)</f>
        <v>4</v>
      </c>
      <c r="AI43" s="128"/>
      <c r="AJ43" s="104" t="s">
        <v>279</v>
      </c>
      <c r="AK43" s="106"/>
      <c r="AL43" s="106"/>
      <c r="AM43" s="52"/>
      <c r="AN43" s="43">
        <v>14393.453</v>
      </c>
      <c r="AO43" s="48"/>
      <c r="AP43" s="48"/>
    </row>
    <row r="44" spans="1:42">
      <c r="A44" s="91">
        <f t="shared" si="12"/>
        <v>7.4</v>
      </c>
      <c r="B44" s="90">
        <f t="shared" si="13"/>
        <v>7.7</v>
      </c>
      <c r="C44" s="91"/>
      <c r="D44" s="92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93">
        <f>第四季度!G9+第四季度!H9+第四季度!E44-第四季度!B9</f>
        <v>0</v>
      </c>
      <c r="F44" s="91"/>
      <c r="G44" s="90">
        <f t="shared" si="14"/>
        <v>8.6</v>
      </c>
      <c r="H44" s="91">
        <f t="shared" si="15"/>
        <v>9.2</v>
      </c>
      <c r="I44" s="91">
        <f t="shared" si="16"/>
        <v>9.2</v>
      </c>
      <c r="J44" s="98">
        <f t="shared" si="17"/>
        <v>11.6</v>
      </c>
      <c r="K44" s="90">
        <f t="shared" si="18"/>
        <v>10.7</v>
      </c>
      <c r="Q44" s="103">
        <f t="shared" si="19"/>
        <v>3</v>
      </c>
      <c r="AI44" s="129"/>
      <c r="AJ44" s="104" t="s">
        <v>263</v>
      </c>
      <c r="AK44" s="106"/>
      <c r="AL44" s="106"/>
      <c r="AM44" s="52"/>
      <c r="AN44" s="121">
        <f>AN36+AN37-SUM(AN38:AN43)</f>
        <v>63837.0695</v>
      </c>
      <c r="AO44" s="48"/>
      <c r="AP44" s="48"/>
    </row>
    <row r="45" spans="1:17">
      <c r="A45" s="90">
        <f t="shared" si="12"/>
        <v>12.8</v>
      </c>
      <c r="B45" s="91">
        <f t="shared" si="13"/>
        <v>13.4</v>
      </c>
      <c r="C45" s="91"/>
      <c r="D45" s="92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93">
        <f>第四季度!G10+第四季度!H10+第四季度!E45-第四季度!B10</f>
        <v>0</v>
      </c>
      <c r="F45" s="91"/>
      <c r="G45" s="91">
        <f t="shared" si="14"/>
        <v>15</v>
      </c>
      <c r="H45" s="91">
        <f t="shared" si="15"/>
        <v>16</v>
      </c>
      <c r="I45" s="91">
        <f t="shared" si="16"/>
        <v>16</v>
      </c>
      <c r="J45" s="98">
        <f t="shared" si="17"/>
        <v>20.3</v>
      </c>
      <c r="K45" s="90">
        <f t="shared" si="18"/>
        <v>18.7</v>
      </c>
      <c r="Q45" s="103">
        <f t="shared" si="19"/>
        <v>2</v>
      </c>
    </row>
    <row r="46" spans="1:17">
      <c r="A46" s="90">
        <f t="shared" si="12"/>
        <v>6.8</v>
      </c>
      <c r="B46" s="91">
        <f t="shared" si="13"/>
        <v>7.1</v>
      </c>
      <c r="C46" s="91"/>
      <c r="D46" s="92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120</v>
      </c>
      <c r="E46" s="93">
        <f>第四季度!G11+第四季度!H11+第四季度!E46-第四季度!B11</f>
        <v>0</v>
      </c>
      <c r="F46" s="91"/>
      <c r="G46" s="90">
        <f t="shared" si="14"/>
        <v>7.9</v>
      </c>
      <c r="H46" s="91">
        <f t="shared" si="15"/>
        <v>8.5</v>
      </c>
      <c r="I46" s="91">
        <f t="shared" si="16"/>
        <v>8.5</v>
      </c>
      <c r="J46" s="97">
        <f t="shared" si="17"/>
        <v>10.7</v>
      </c>
      <c r="K46" s="90">
        <f t="shared" si="18"/>
        <v>9.9</v>
      </c>
      <c r="Q46" s="103">
        <f t="shared" si="19"/>
        <v>4</v>
      </c>
    </row>
    <row r="47" spans="1:17">
      <c r="A47" s="90">
        <f t="shared" si="12"/>
        <v>13.6</v>
      </c>
      <c r="B47" s="90">
        <f t="shared" si="13"/>
        <v>14.6</v>
      </c>
      <c r="C47" s="91"/>
      <c r="D47" s="92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93">
        <f>第四季度!G12+第四季度!H12+第四季度!E47-第四季度!B12</f>
        <v>0</v>
      </c>
      <c r="F47" s="91"/>
      <c r="G47" s="90">
        <f t="shared" si="14"/>
        <v>14.6</v>
      </c>
      <c r="H47" s="91">
        <f t="shared" si="15"/>
        <v>18.5</v>
      </c>
      <c r="I47" s="91">
        <f t="shared" si="16"/>
        <v>17</v>
      </c>
      <c r="J47" s="98">
        <f t="shared" si="17"/>
        <v>19.5</v>
      </c>
      <c r="K47" s="91">
        <f t="shared" si="18"/>
        <v>19.5</v>
      </c>
      <c r="Q47" s="103">
        <f t="shared" si="19"/>
        <v>3</v>
      </c>
    </row>
    <row r="48" spans="1:17">
      <c r="A48" s="91">
        <f t="shared" si="12"/>
        <v>11.2</v>
      </c>
      <c r="B48" s="91">
        <f t="shared" si="13"/>
        <v>12</v>
      </c>
      <c r="C48" s="91"/>
      <c r="D48" s="92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44.65</v>
      </c>
      <c r="E48" s="93">
        <f>第四季度!G13+第四季度!H13+第四季度!E48-第四季度!B13</f>
        <v>0</v>
      </c>
      <c r="F48" s="91"/>
      <c r="G48" s="91">
        <f t="shared" si="14"/>
        <v>12</v>
      </c>
      <c r="H48" s="91">
        <f t="shared" si="15"/>
        <v>15.2</v>
      </c>
      <c r="I48" s="91">
        <f t="shared" si="16"/>
        <v>14</v>
      </c>
      <c r="J48" s="98">
        <f t="shared" si="17"/>
        <v>16</v>
      </c>
      <c r="K48" s="91">
        <f t="shared" si="18"/>
        <v>16</v>
      </c>
      <c r="Q48" s="103">
        <f t="shared" si="19"/>
        <v>0</v>
      </c>
    </row>
    <row r="49" spans="1:17">
      <c r="A49" s="90">
        <f t="shared" si="12"/>
        <v>23.4</v>
      </c>
      <c r="B49" s="91">
        <f t="shared" si="13"/>
        <v>28.3</v>
      </c>
      <c r="C49" s="91"/>
      <c r="D49" s="92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93">
        <f>第四季度!G14+第四季度!H14+第四季度!E49-第四季度!B14</f>
        <v>0</v>
      </c>
      <c r="F49" s="91"/>
      <c r="G49" s="90">
        <f t="shared" si="14"/>
        <v>24.8</v>
      </c>
      <c r="H49" s="91">
        <f t="shared" si="15"/>
        <v>28.3</v>
      </c>
      <c r="I49" s="91">
        <f t="shared" si="16"/>
        <v>28.3</v>
      </c>
      <c r="J49" s="97">
        <f t="shared" si="17"/>
        <v>31.9</v>
      </c>
      <c r="K49" s="91">
        <f t="shared" si="18"/>
        <v>35.4</v>
      </c>
      <c r="Q49" s="103">
        <f t="shared" si="19"/>
        <v>3</v>
      </c>
    </row>
    <row r="50" spans="1:17">
      <c r="A50" s="91">
        <f t="shared" si="12"/>
        <v>0</v>
      </c>
      <c r="B50" s="91">
        <f t="shared" si="13"/>
        <v>0</v>
      </c>
      <c r="C50" s="91"/>
      <c r="D50" s="69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48">
        <f>第四季度!G15+第四季度!H15+第四季度!E50-第四季度!B15</f>
        <v>19</v>
      </c>
      <c r="F50" s="91"/>
      <c r="G50" s="91">
        <f t="shared" si="14"/>
        <v>0</v>
      </c>
      <c r="H50" s="91">
        <f t="shared" si="15"/>
        <v>0</v>
      </c>
      <c r="I50" s="91">
        <f t="shared" si="16"/>
        <v>0</v>
      </c>
      <c r="J50" s="98">
        <f t="shared" si="17"/>
        <v>0</v>
      </c>
      <c r="K50" s="91">
        <f t="shared" si="18"/>
        <v>0</v>
      </c>
      <c r="Q50" s="103">
        <f t="shared" si="19"/>
        <v>0</v>
      </c>
    </row>
    <row r="51" spans="1:17">
      <c r="A51" s="91">
        <f t="shared" si="12"/>
        <v>0</v>
      </c>
      <c r="B51" s="91">
        <f t="shared" si="13"/>
        <v>0</v>
      </c>
      <c r="C51" s="91"/>
      <c r="D51" s="69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87</v>
      </c>
      <c r="E51" s="48">
        <f>第四季度!G16+第四季度!H16+第四季度!E51-第四季度!B16</f>
        <v>0</v>
      </c>
      <c r="F51" s="91"/>
      <c r="G51" s="91">
        <f t="shared" si="14"/>
        <v>0</v>
      </c>
      <c r="H51" s="91">
        <f t="shared" si="15"/>
        <v>0</v>
      </c>
      <c r="I51" s="91">
        <f t="shared" si="16"/>
        <v>0</v>
      </c>
      <c r="J51" s="98">
        <f t="shared" si="17"/>
        <v>0</v>
      </c>
      <c r="K51" s="91">
        <f t="shared" si="18"/>
        <v>0</v>
      </c>
      <c r="Q51" s="103">
        <f t="shared" si="19"/>
        <v>0</v>
      </c>
    </row>
    <row r="52" spans="1:17">
      <c r="A52" s="91">
        <f t="shared" si="12"/>
        <v>0</v>
      </c>
      <c r="B52" s="91">
        <f t="shared" si="13"/>
        <v>0</v>
      </c>
      <c r="C52" s="91"/>
      <c r="D52" s="93"/>
      <c r="E52" s="93"/>
      <c r="F52" s="91"/>
      <c r="G52" s="91">
        <f t="shared" si="14"/>
        <v>0</v>
      </c>
      <c r="H52" s="91">
        <f t="shared" si="15"/>
        <v>0</v>
      </c>
      <c r="I52" s="91">
        <f t="shared" si="16"/>
        <v>0</v>
      </c>
      <c r="J52" s="98">
        <f t="shared" si="17"/>
        <v>0</v>
      </c>
      <c r="K52" s="91">
        <f t="shared" si="18"/>
        <v>0</v>
      </c>
      <c r="Q52" s="103">
        <f t="shared" si="19"/>
        <v>0</v>
      </c>
    </row>
    <row r="53" spans="1:17">
      <c r="A53" s="91">
        <f t="shared" si="12"/>
        <v>0</v>
      </c>
      <c r="B53" s="91">
        <f t="shared" si="13"/>
        <v>0</v>
      </c>
      <c r="C53" s="91"/>
      <c r="D53" s="93"/>
      <c r="E53" s="93"/>
      <c r="F53" s="91"/>
      <c r="G53" s="91">
        <f t="shared" si="14"/>
        <v>0</v>
      </c>
      <c r="H53" s="91">
        <f t="shared" si="15"/>
        <v>0</v>
      </c>
      <c r="I53" s="91">
        <f t="shared" si="16"/>
        <v>0</v>
      </c>
      <c r="J53" s="98">
        <f t="shared" si="17"/>
        <v>0</v>
      </c>
      <c r="K53" s="91">
        <f t="shared" si="18"/>
        <v>0</v>
      </c>
      <c r="Q53" s="103">
        <f t="shared" si="19"/>
        <v>0</v>
      </c>
    </row>
  </sheetData>
  <mergeCells count="75">
    <mergeCell ref="AD2:AG2"/>
    <mergeCell ref="AD3:AF3"/>
    <mergeCell ref="AD4:AF4"/>
    <mergeCell ref="AJ4:AL4"/>
    <mergeCell ref="AO4:AP4"/>
    <mergeCell ref="AK12:AL12"/>
    <mergeCell ref="AD15:AE15"/>
    <mergeCell ref="AD16:AE16"/>
    <mergeCell ref="J17:K17"/>
    <mergeCell ref="AJ17:AL17"/>
    <mergeCell ref="A18:B18"/>
    <mergeCell ref="J21:K21"/>
    <mergeCell ref="AD23:AE23"/>
    <mergeCell ref="AD24:AE24"/>
    <mergeCell ref="AD25:AE25"/>
    <mergeCell ref="AD26:AE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J18:K20"/>
    <mergeCell ref="J22:K24"/>
    <mergeCell ref="AI2:AJ3"/>
    <mergeCell ref="AL2:AM3"/>
    <mergeCell ref="AJ18:AK19"/>
    <mergeCell ref="AJ20:AK23"/>
    <mergeCell ref="AJ24:AK26"/>
    <mergeCell ref="AO5:AP6"/>
  </mergeCells>
  <dataValidations count="4">
    <dataValidation type="list" allowBlank="1" showInputMessage="1" showErrorMessage="1" sqref="AE5:AE7">
      <formula1>"购买小厂房,购买中厂房,购买大厂房"</formula1>
    </dataValidation>
    <dataValidation type="list" allowBlank="1" showInputMessage="1" showErrorMessage="1" sqref="AF17:AF24">
      <formula1>"1,0"</formula1>
    </dataValidation>
    <dataValidation type="list" allowBlank="1" showInputMessage="1" showErrorMessage="1" sqref="AE8:AE10">
      <formula1>"租用小厂房,租用中厂房,租用大厂房"</formula1>
    </dataValidation>
    <dataValidation type="list" allowBlank="1" showInputMessage="1" showErrorMessage="1" sqref="AE11:AE14">
      <formula1>"手工线,半自动线,全自动线,柔性线"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P53"/>
  <sheetViews>
    <sheetView zoomScale="93" zoomScaleNormal="93" topLeftCell="V1" workbookViewId="0">
      <selection activeCell="Y18" sqref="Y18"/>
    </sheetView>
  </sheetViews>
  <sheetFormatPr defaultColWidth="9" defaultRowHeight="13.8"/>
  <cols>
    <col min="3" max="3" width="9" hidden="1" customWidth="1"/>
    <col min="4" max="4" width="15.6666666666667" hidden="1" customWidth="1"/>
    <col min="5" max="5" width="14.2222222222222" hidden="1" customWidth="1"/>
    <col min="6" max="6" width="9" hidden="1" customWidth="1"/>
    <col min="10" max="10" width="9.44444444444444" customWidth="1"/>
    <col min="12" max="16" width="8.88888888888889" hidden="1" customWidth="1"/>
    <col min="17" max="17" width="10.8888888888889" customWidth="1"/>
    <col min="18" max="18" width="14" customWidth="1"/>
    <col min="19" max="19" width="13.2222222222222" customWidth="1"/>
    <col min="20" max="20" width="12.4444444444444" customWidth="1"/>
    <col min="21" max="21" width="13" customWidth="1"/>
    <col min="22" max="22" width="11.5555555555556" customWidth="1"/>
    <col min="23" max="23" width="12.4444444444444" customWidth="1"/>
    <col min="24" max="24" width="14" customWidth="1"/>
    <col min="31" max="31" width="16.5555555555556" customWidth="1"/>
    <col min="33" max="33" width="12.5555555555556" customWidth="1"/>
    <col min="34" max="34" width="12.4444444444444" customWidth="1"/>
    <col min="37" max="37" width="14.7777777777778" customWidth="1"/>
    <col min="39" max="39" width="11.3333333333333" customWidth="1"/>
    <col min="40" max="40" width="12.4444444444444" customWidth="1"/>
    <col min="41" max="41" width="20" customWidth="1"/>
    <col min="42" max="42" width="18.6666666666667" customWidth="1"/>
  </cols>
  <sheetData>
    <row r="1" spans="1:8">
      <c r="A1" s="69"/>
      <c r="B1" s="70" t="s">
        <v>192</v>
      </c>
      <c r="C1" s="70" t="s">
        <v>193</v>
      </c>
      <c r="D1" s="29" t="s">
        <v>194</v>
      </c>
      <c r="E1" s="29" t="s">
        <v>195</v>
      </c>
      <c r="F1" s="69"/>
      <c r="G1" s="71" t="s">
        <v>196</v>
      </c>
      <c r="H1" s="29" t="s">
        <v>197</v>
      </c>
    </row>
    <row r="2" spans="1:42">
      <c r="A2" s="69"/>
      <c r="B2" s="72"/>
      <c r="C2" s="73"/>
      <c r="D2" s="29"/>
      <c r="E2" s="29"/>
      <c r="F2" s="69"/>
      <c r="G2" s="74"/>
      <c r="H2" s="29"/>
      <c r="J2" s="89" t="s">
        <v>199</v>
      </c>
      <c r="K2" s="89" t="s">
        <v>200</v>
      </c>
      <c r="L2" s="89"/>
      <c r="M2" s="89"/>
      <c r="N2" s="89"/>
      <c r="O2" s="89"/>
      <c r="P2" s="89"/>
      <c r="Q2" s="89" t="s">
        <v>281</v>
      </c>
      <c r="R2" s="89" t="s">
        <v>312</v>
      </c>
      <c r="S2" s="89" t="s">
        <v>201</v>
      </c>
      <c r="T2" s="89" t="s">
        <v>202</v>
      </c>
      <c r="U2" s="89" t="s">
        <v>203</v>
      </c>
      <c r="V2" s="89" t="s">
        <v>204</v>
      </c>
      <c r="W2" s="89" t="s">
        <v>205</v>
      </c>
      <c r="X2" s="89" t="s">
        <v>206</v>
      </c>
      <c r="Y2" s="89" t="s">
        <v>207</v>
      </c>
      <c r="Z2" s="89" t="s">
        <v>282</v>
      </c>
      <c r="AA2" s="89" t="s">
        <v>207</v>
      </c>
      <c r="AB2" s="89" t="s">
        <v>339</v>
      </c>
      <c r="AD2" s="31" t="s">
        <v>209</v>
      </c>
      <c r="AE2" s="31"/>
      <c r="AF2" s="31"/>
      <c r="AG2" s="31"/>
      <c r="AI2" s="107" t="s">
        <v>210</v>
      </c>
      <c r="AJ2" s="108"/>
      <c r="AK2" s="54">
        <v>0</v>
      </c>
      <c r="AL2" s="107" t="s">
        <v>211</v>
      </c>
      <c r="AM2" s="108"/>
      <c r="AN2" s="54">
        <v>200263.25</v>
      </c>
      <c r="AO2" s="31" t="s">
        <v>212</v>
      </c>
      <c r="AP2" s="31" t="s">
        <v>213</v>
      </c>
    </row>
    <row r="3" ht="25.95" spans="1:42">
      <c r="A3" s="75" t="s">
        <v>214</v>
      </c>
      <c r="B3" s="76">
        <f>SUMIF($L$3:$L$14,1,$S$3:$S$14)+SUMIF($L$3:$L$14,1,$T$3:$T$14)+SUMIF($L$3:$L$14,1,$U$3:$U$14)+SUMIF($L$3:$L$14,1,$V$3:$V$14)</f>
        <v>582</v>
      </c>
      <c r="C3" s="77">
        <f>参数调整!G45</f>
        <v>42</v>
      </c>
      <c r="D3" s="7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</v>
      </c>
      <c r="E3" s="77">
        <f>参数调整!I45</f>
        <v>1</v>
      </c>
      <c r="F3" s="69">
        <f>D3*G3*(参数调整!$B$6+1)</f>
        <v>25739.532</v>
      </c>
      <c r="G3" s="78">
        <f t="shared" ref="G3:G16" si="0">IF(B3-E38&lt;=0,0,B3-E38)</f>
        <v>582</v>
      </c>
      <c r="H3" s="29"/>
      <c r="J3" s="54" t="str">
        <f>第一季度!J3</f>
        <v>S</v>
      </c>
      <c r="K3" s="54">
        <f>第一季度!K3</f>
        <v>113</v>
      </c>
      <c r="L3" s="43" t="str">
        <f>LEFT(K3,1)</f>
        <v>1</v>
      </c>
      <c r="M3" s="43" t="str">
        <f>MID(K3,2,1)</f>
        <v>1</v>
      </c>
      <c r="N3" s="43" t="str">
        <f>MID(K3,3,1)</f>
        <v>3</v>
      </c>
      <c r="O3" s="43" t="str">
        <f>MID(K3,4,1)</f>
        <v/>
      </c>
      <c r="P3" s="43" t="str">
        <f>MID(K3,5,1)</f>
        <v/>
      </c>
      <c r="Q3" s="54">
        <v>0</v>
      </c>
      <c r="R3" s="54">
        <v>1</v>
      </c>
      <c r="S3" s="54">
        <v>0</v>
      </c>
      <c r="T3" s="54">
        <v>0</v>
      </c>
      <c r="U3" s="54">
        <v>0</v>
      </c>
      <c r="V3" s="54">
        <v>66</v>
      </c>
      <c r="W3" s="99">
        <f>TRUNC(S3*参数调整!$I$30)+TRUNC(T3*参数调整!$H$30)+TRUNC(U3*参数调整!$G$30)+TRUNC(V3*参数调整!$F$30)+Q3</f>
        <v>59</v>
      </c>
      <c r="X3" s="99">
        <f>IF(J3="S",Y29*SUM($R$18:$X$18)/100,IF(J3="B",Y29*SUM($R$19:$X$19)/100,IF(J3="Q",Y29*SUM($R$20:$X$20)/100,Y29*SUM($R$21:$X$21)/100)))</f>
        <v>56.1653953370855</v>
      </c>
      <c r="Y3" s="54">
        <v>10788.86</v>
      </c>
      <c r="Z3" s="89">
        <f>Y3+第四季度!Y3*0.53653684*0.46055126+第五季度!Y3*0.53653684</f>
        <v>17862.8630931937</v>
      </c>
      <c r="AA3" s="43">
        <f>SUMIF(J3:J14,"S",Z3:Z14)</f>
        <v>17862.8630931937</v>
      </c>
      <c r="AB3" s="54">
        <v>0</v>
      </c>
      <c r="AD3" s="31" t="s">
        <v>215</v>
      </c>
      <c r="AE3" s="31"/>
      <c r="AF3" s="31"/>
      <c r="AG3" s="54">
        <v>45701.57</v>
      </c>
      <c r="AI3" s="73"/>
      <c r="AJ3" s="109"/>
      <c r="AK3" s="54"/>
      <c r="AL3" s="73"/>
      <c r="AM3" s="109"/>
      <c r="AN3" s="54"/>
      <c r="AO3" s="130">
        <v>332402.85</v>
      </c>
      <c r="AP3" s="130">
        <v>166081.5</v>
      </c>
    </row>
    <row r="4" ht="27" customHeight="1" spans="1:42">
      <c r="A4" s="75" t="s">
        <v>216</v>
      </c>
      <c r="B4" s="76">
        <f>SUMIF($L$3:$L$14,2,$S$3:$S$14)+SUMIF($L$3:$L$14,2,$T$3:$T$14)+SUMIF($L$3:$L$14,2,$U$3:$U$14)+SUMIF($L$3:$L$14,2,$V$3:$V$14)</f>
        <v>128</v>
      </c>
      <c r="C4" s="77">
        <f>参数调整!G46</f>
        <v>83</v>
      </c>
      <c r="D4" s="7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83</v>
      </c>
      <c r="E4" s="77">
        <f>参数调整!I46</f>
        <v>1</v>
      </c>
      <c r="F4" s="69">
        <f>D4*G4*(参数调整!$B$6+1)</f>
        <v>12430.08</v>
      </c>
      <c r="G4" s="78">
        <f t="shared" si="0"/>
        <v>128</v>
      </c>
      <c r="H4" s="29"/>
      <c r="J4" s="54" t="str">
        <f>第一季度!J4</f>
        <v>S</v>
      </c>
      <c r="K4" s="54">
        <f>第一季度!K4</f>
        <v>3333</v>
      </c>
      <c r="L4" s="43" t="str">
        <f>LEFT(K4,1)</f>
        <v>3</v>
      </c>
      <c r="M4" s="43" t="str">
        <f>MID(K4,2,1)</f>
        <v>3</v>
      </c>
      <c r="N4" s="43" t="str">
        <f>MID(K4,3,1)</f>
        <v>3</v>
      </c>
      <c r="O4" s="43" t="str">
        <f>MID(K4,4,1)</f>
        <v>3</v>
      </c>
      <c r="P4" s="43" t="str">
        <f t="shared" ref="P4:P14" si="1">MID(K4,5,1)</f>
        <v/>
      </c>
      <c r="Q4" s="54">
        <v>0</v>
      </c>
      <c r="R4" s="54">
        <v>8</v>
      </c>
      <c r="S4" s="54">
        <v>0</v>
      </c>
      <c r="T4" s="54">
        <v>0</v>
      </c>
      <c r="U4" s="54">
        <v>0</v>
      </c>
      <c r="V4" s="54">
        <v>112</v>
      </c>
      <c r="W4" s="99">
        <f>TRUNC(S4*参数调整!$I$30)+TRUNC(T4*参数调整!$H$30)+TRUNC(U4*参数调整!$G$30)+TRUNC(V4*参数调整!$F$30)+Q4</f>
        <v>100</v>
      </c>
      <c r="X4" s="99">
        <f t="shared" ref="X4:X14" si="2">IF(J4="S",Y30*SUM($R$18:$X$18)/100,IF(J4="B",Y30*SUM($R$19:$X$19)/100,IF(J4="Q",Y30*SUM($R$20:$X$20)/100,Y30*SUM($R$21:$X$21)/100)))</f>
        <v>96.6830944015485</v>
      </c>
      <c r="Y4" s="54">
        <v>0</v>
      </c>
      <c r="Z4" s="89">
        <f>Y4+第四季度!Y4*0.53653684*0.46055126+第五季度!Y4*0.53653684</f>
        <v>0</v>
      </c>
      <c r="AA4" s="43">
        <f>SUMIF(J3:J14,"B",Z3:Z14)</f>
        <v>19167.6024621461</v>
      </c>
      <c r="AB4" s="54">
        <v>0</v>
      </c>
      <c r="AD4" s="31" t="s">
        <v>266</v>
      </c>
      <c r="AE4" s="31"/>
      <c r="AF4" s="31"/>
      <c r="AG4" s="54">
        <v>0</v>
      </c>
      <c r="AI4" s="110" t="s">
        <v>340</v>
      </c>
      <c r="AJ4" s="104" t="s">
        <v>220</v>
      </c>
      <c r="AK4" s="106"/>
      <c r="AL4" s="52"/>
      <c r="AM4" s="31" t="s">
        <v>221</v>
      </c>
      <c r="AN4" s="31" t="s">
        <v>222</v>
      </c>
      <c r="AO4" s="31" t="s">
        <v>223</v>
      </c>
      <c r="AP4" s="31"/>
    </row>
    <row r="5" ht="25.95" spans="1:42">
      <c r="A5" s="75" t="s">
        <v>154</v>
      </c>
      <c r="B5" s="79">
        <f>SUMIF($L$3:$L$14,3,$S$3:$S$14)+SUMIF($L$3:$L$14,3,$T$3:$T$14)+SUMIF($L$3:$L$14,3,$U$3:$U$14)+SUMIF($L$3:$L$14,3,$V$3:$V$14)</f>
        <v>112</v>
      </c>
      <c r="C5" s="77">
        <f>参数调整!G47</f>
        <v>116</v>
      </c>
      <c r="D5" s="7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116</v>
      </c>
      <c r="E5" s="77">
        <f>参数调整!I47</f>
        <v>1</v>
      </c>
      <c r="F5" s="69">
        <f>D5*G5*(参数调整!$B$6+1)</f>
        <v>814.32</v>
      </c>
      <c r="G5" s="78">
        <f t="shared" si="0"/>
        <v>6</v>
      </c>
      <c r="H5" s="38">
        <v>0</v>
      </c>
      <c r="J5" s="54" t="str">
        <f>第一季度!J5</f>
        <v>B</v>
      </c>
      <c r="K5" s="54">
        <f>第一季度!K5</f>
        <v>1111</v>
      </c>
      <c r="L5" s="43" t="str">
        <f>LEFT(K5,1)</f>
        <v>1</v>
      </c>
      <c r="M5" s="43" t="str">
        <f>MID(K5,2,1)</f>
        <v>1</v>
      </c>
      <c r="N5" s="43" t="str">
        <f>MID(K5,3,1)</f>
        <v>1</v>
      </c>
      <c r="O5" s="43" t="str">
        <f>MID(K5,4,1)</f>
        <v>1</v>
      </c>
      <c r="P5" s="43" t="str">
        <f t="shared" si="1"/>
        <v/>
      </c>
      <c r="Q5" s="54">
        <v>0</v>
      </c>
      <c r="R5" s="54">
        <v>3</v>
      </c>
      <c r="S5" s="54">
        <v>0</v>
      </c>
      <c r="T5" s="54">
        <v>0</v>
      </c>
      <c r="U5" s="54">
        <v>0</v>
      </c>
      <c r="V5" s="54">
        <v>78</v>
      </c>
      <c r="W5" s="99">
        <f>TRUNC(S5*参数调整!$I$30)+TRUNC(T5*参数调整!$H$30)+TRUNC(U5*参数调整!$G$30)+TRUNC(V5*参数调整!$F$30)+Q5</f>
        <v>70</v>
      </c>
      <c r="X5" s="99">
        <f t="shared" si="2"/>
        <v>69.3758483865747</v>
      </c>
      <c r="Y5" s="54">
        <v>13000</v>
      </c>
      <c r="Z5" s="89">
        <f>Y5+第四季度!Y5*0.53653684*0.46055126+第五季度!Y5*0.53653684</f>
        <v>14502.303152</v>
      </c>
      <c r="AA5" s="43">
        <f>SUMIF(J3:J14,"Q",Z3:Z14)</f>
        <v>18644.4583406604</v>
      </c>
      <c r="AB5" s="54">
        <v>0</v>
      </c>
      <c r="AD5" s="31" t="s">
        <v>217</v>
      </c>
      <c r="AE5" s="31" t="s">
        <v>218</v>
      </c>
      <c r="AF5" s="54">
        <v>0</v>
      </c>
      <c r="AG5" s="89">
        <f>AF5*参数调整!$J$23</f>
        <v>0</v>
      </c>
      <c r="AI5" s="111"/>
      <c r="AJ5" s="70" t="s">
        <v>225</v>
      </c>
      <c r="AK5" s="70" t="s">
        <v>226</v>
      </c>
      <c r="AL5" s="31" t="s">
        <v>101</v>
      </c>
      <c r="AM5" s="43">
        <f>SUM(S3:S14)</f>
        <v>0</v>
      </c>
      <c r="AN5" s="31">
        <f>AM5*参数调整!$I$32</f>
        <v>0</v>
      </c>
      <c r="AO5" s="131">
        <f>AN2+AO36*(1-参数调整!B23)+AP36*(1-参数调整!B24)</f>
        <v>200263.25</v>
      </c>
      <c r="AP5" s="131"/>
    </row>
    <row r="6" ht="14.4" customHeight="1" spans="1:42">
      <c r="A6" s="75" t="s">
        <v>155</v>
      </c>
      <c r="B6" s="80">
        <f>SUMIF($M$3:$M$14,1,$S$3:$S$14)+SUMIF($M$3:$M$14,1,$T$3:$T$14)+SUMIF($M$3:$M$14,1,$U$3:$U$14)+SUMIF($M$3:$M$14,1,$V$3:$V$14)</f>
        <v>422</v>
      </c>
      <c r="C6" s="77">
        <f>参数调整!G48</f>
        <v>8</v>
      </c>
      <c r="D6" s="7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7.6</v>
      </c>
      <c r="E6" s="77">
        <f>参数调整!I48</f>
        <v>0</v>
      </c>
      <c r="F6" s="69">
        <f>D6*G6*(参数调整!$B$6+1)</f>
        <v>3752.424</v>
      </c>
      <c r="G6" s="81">
        <f t="shared" si="0"/>
        <v>422</v>
      </c>
      <c r="H6" s="29"/>
      <c r="J6" s="54" t="str">
        <f>第一季度!J6</f>
        <v>B</v>
      </c>
      <c r="K6" s="54">
        <f>第一季度!K6</f>
        <v>1331</v>
      </c>
      <c r="L6" s="43" t="str">
        <f>LEFT(K6,1)</f>
        <v>1</v>
      </c>
      <c r="M6" s="43" t="str">
        <f>MID(K6,2,1)</f>
        <v>3</v>
      </c>
      <c r="N6" s="43" t="str">
        <f>MID(K6,3,1)</f>
        <v>3</v>
      </c>
      <c r="O6" s="43" t="str">
        <f>MID(K6,4,1)</f>
        <v>1</v>
      </c>
      <c r="P6" s="43" t="str">
        <f t="shared" si="1"/>
        <v/>
      </c>
      <c r="Q6" s="54">
        <v>0</v>
      </c>
      <c r="R6" s="54">
        <v>6</v>
      </c>
      <c r="S6" s="54">
        <v>0</v>
      </c>
      <c r="T6" s="54">
        <v>0</v>
      </c>
      <c r="U6" s="54">
        <v>0</v>
      </c>
      <c r="V6" s="54">
        <v>110</v>
      </c>
      <c r="W6" s="99">
        <f>TRUNC(S6*参数调整!$I$30)+TRUNC(T6*参数调整!$H$30)+TRUNC(U6*参数调整!$G$30)+TRUNC(V6*参数调整!$F$30)+Q6</f>
        <v>99</v>
      </c>
      <c r="X6" s="99">
        <f t="shared" si="2"/>
        <v>101.602049741441</v>
      </c>
      <c r="Y6" s="54">
        <v>0</v>
      </c>
      <c r="Z6" s="89">
        <f>Y6+第四季度!Y6*0.53653684*0.46055126+第五季度!Y6*0.53653684</f>
        <v>4665.29931014614</v>
      </c>
      <c r="AA6" s="43">
        <f>SUMIF(J3:J14,"L",Z3:Z14)</f>
        <v>3518.72394998735</v>
      </c>
      <c r="AB6" s="54">
        <v>0</v>
      </c>
      <c r="AD6" s="31"/>
      <c r="AE6" s="31" t="s">
        <v>224</v>
      </c>
      <c r="AF6" s="54">
        <v>0</v>
      </c>
      <c r="AG6" s="89">
        <f>AF6*参数调整!$H$23</f>
        <v>0</v>
      </c>
      <c r="AI6" s="111"/>
      <c r="AJ6" s="112"/>
      <c r="AK6" s="112"/>
      <c r="AL6" s="31" t="s">
        <v>98</v>
      </c>
      <c r="AM6" s="43">
        <f>SUM(V3:V14)</f>
        <v>822</v>
      </c>
      <c r="AN6" s="31">
        <f>AM6*参数调整!$F$32</f>
        <v>8220</v>
      </c>
      <c r="AO6" s="131"/>
      <c r="AP6" s="131"/>
    </row>
    <row r="7" ht="14.4" customHeight="1" spans="1:42">
      <c r="A7" s="75" t="s">
        <v>156</v>
      </c>
      <c r="B7" s="80">
        <f>SUMIF($M$3:$M$14,2,$S$3:$S$14)+SUMIF($M$3:$M$14,2,$T$3:$T$14)+SUMIF($M$3:$M$14,2,$U$3:$U$14)+SUMIF($M$3:$M$14,2,$V$3:$V$14)</f>
        <v>178</v>
      </c>
      <c r="C7" s="77">
        <f>参数调整!G49</f>
        <v>17</v>
      </c>
      <c r="D7" s="7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17</v>
      </c>
      <c r="E7" s="77">
        <f>参数调整!I49</f>
        <v>1</v>
      </c>
      <c r="F7" s="69">
        <f>D7*G7*(参数调整!$B$6+1)</f>
        <v>3540.42</v>
      </c>
      <c r="G7" s="81">
        <f t="shared" si="0"/>
        <v>178</v>
      </c>
      <c r="H7" s="29"/>
      <c r="J7" s="54" t="str">
        <f>第一季度!J7</f>
        <v>B</v>
      </c>
      <c r="K7" s="54">
        <f>第一季度!K7</f>
        <v>1121</v>
      </c>
      <c r="L7" s="43" t="str">
        <f t="shared" ref="L7:L14" si="3">LEFT(K7,1)</f>
        <v>1</v>
      </c>
      <c r="M7" s="43" t="str">
        <f t="shared" ref="M7:M14" si="4">MID(K7,2,1)</f>
        <v>1</v>
      </c>
      <c r="N7" s="43" t="str">
        <f t="shared" ref="N7:N14" si="5">MID(K7,3,1)</f>
        <v>2</v>
      </c>
      <c r="O7" s="43" t="str">
        <f t="shared" ref="O7:O14" si="6">MID(K7,4,1)</f>
        <v>1</v>
      </c>
      <c r="P7" s="43" t="str">
        <f t="shared" si="1"/>
        <v/>
      </c>
      <c r="Q7" s="54">
        <v>0</v>
      </c>
      <c r="R7" s="54">
        <v>2</v>
      </c>
      <c r="S7" s="54">
        <v>0</v>
      </c>
      <c r="T7" s="54">
        <v>0</v>
      </c>
      <c r="U7" s="54">
        <v>0</v>
      </c>
      <c r="V7" s="54">
        <v>58</v>
      </c>
      <c r="W7" s="99">
        <f>TRUNC(S7*参数调整!$I$30)+TRUNC(T7*参数调整!$H$30)+TRUNC(U7*参数调整!$G$30)+TRUNC(V7*参数调整!$F$30)+Q7</f>
        <v>52</v>
      </c>
      <c r="X7" s="99">
        <f t="shared" si="2"/>
        <v>49.437123061456</v>
      </c>
      <c r="Y7" s="54">
        <v>0</v>
      </c>
      <c r="Z7" s="89">
        <f>Y7+第四季度!Y7*0.53653684*0.46055126+第五季度!Y7*0.53653684</f>
        <v>0</v>
      </c>
      <c r="AB7" s="54">
        <v>0</v>
      </c>
      <c r="AD7" s="31"/>
      <c r="AE7" s="31" t="s">
        <v>227</v>
      </c>
      <c r="AF7" s="54">
        <v>0</v>
      </c>
      <c r="AG7" s="89">
        <f>AF7*参数调整!$F$23</f>
        <v>0</v>
      </c>
      <c r="AI7" s="111"/>
      <c r="AJ7" s="112"/>
      <c r="AK7" s="112"/>
      <c r="AL7" s="31" t="s">
        <v>100</v>
      </c>
      <c r="AM7" s="43">
        <f>SUM(T3:T14)</f>
        <v>0</v>
      </c>
      <c r="AN7" s="31">
        <f>AM7*参数调整!H32</f>
        <v>0</v>
      </c>
      <c r="AO7" s="48"/>
      <c r="AP7" s="48"/>
    </row>
    <row r="8" ht="14.4" customHeight="1" spans="1:42">
      <c r="A8" s="75" t="s">
        <v>157</v>
      </c>
      <c r="B8" s="80">
        <f>SUMIF($M$3:$M$14,3,$S$3:$S$14)+SUMIF($M$3:$M$14,3,$T$3:$T$14)+SUMIF($M$3:$M$14,3,$U$3:$U$14)+SUMIF($M$3:$M$14,3,$V$3:$V$14)</f>
        <v>222</v>
      </c>
      <c r="C8" s="77">
        <f>参数调整!G50</f>
        <v>40</v>
      </c>
      <c r="D8" s="7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38</v>
      </c>
      <c r="E8" s="77">
        <f>参数调整!I50</f>
        <v>1</v>
      </c>
      <c r="F8" s="69">
        <f>D8*G8*(参数调整!$B$6+1)</f>
        <v>9870.12</v>
      </c>
      <c r="G8" s="81">
        <f t="shared" si="0"/>
        <v>222</v>
      </c>
      <c r="H8" s="29"/>
      <c r="J8" s="54" t="str">
        <f>第一季度!J8</f>
        <v>Q</v>
      </c>
      <c r="K8" s="54">
        <f>第一季度!K8</f>
        <v>212</v>
      </c>
      <c r="L8" s="43" t="str">
        <f t="shared" si="3"/>
        <v>2</v>
      </c>
      <c r="M8" s="43" t="str">
        <f t="shared" si="4"/>
        <v>1</v>
      </c>
      <c r="N8" s="43" t="str">
        <f t="shared" si="5"/>
        <v>2</v>
      </c>
      <c r="O8" s="43" t="str">
        <f t="shared" si="6"/>
        <v/>
      </c>
      <c r="P8" s="43" t="str">
        <f t="shared" si="1"/>
        <v/>
      </c>
      <c r="Q8" s="54">
        <v>0</v>
      </c>
      <c r="R8" s="54">
        <v>5</v>
      </c>
      <c r="S8" s="54">
        <v>0</v>
      </c>
      <c r="T8" s="54">
        <v>0</v>
      </c>
      <c r="U8" s="54">
        <v>0</v>
      </c>
      <c r="V8" s="54">
        <v>128</v>
      </c>
      <c r="W8" s="99">
        <f>TRUNC(S8*参数调整!$I$30)+TRUNC(T8*参数调整!$H$30)+TRUNC(U8*参数调整!$G$30)+TRUNC(V8*参数调整!$F$30)+Q8</f>
        <v>115</v>
      </c>
      <c r="X8" s="99">
        <f t="shared" si="2"/>
        <v>107.477900933625</v>
      </c>
      <c r="Y8" s="54">
        <v>14115</v>
      </c>
      <c r="Z8" s="89">
        <f>Y8+第四季度!Y8*0.53653684*0.46055126+第五季度!Y8*0.53653684</f>
        <v>17110.4446691886</v>
      </c>
      <c r="AB8" s="54">
        <v>0</v>
      </c>
      <c r="AD8" s="31" t="s">
        <v>228</v>
      </c>
      <c r="AE8" s="31" t="s">
        <v>229</v>
      </c>
      <c r="AF8" s="54">
        <v>1</v>
      </c>
      <c r="AG8" s="100">
        <v>0</v>
      </c>
      <c r="AI8" s="111"/>
      <c r="AJ8" s="112"/>
      <c r="AK8" s="113"/>
      <c r="AL8" s="31" t="s">
        <v>99</v>
      </c>
      <c r="AM8" s="43">
        <f>SUM(U3:U14)</f>
        <v>0</v>
      </c>
      <c r="AN8" s="31">
        <f>AM8*参数调整!G32</f>
        <v>0</v>
      </c>
      <c r="AO8" s="48"/>
      <c r="AP8" s="48"/>
    </row>
    <row r="9" ht="14.4" customHeight="1" spans="1:42">
      <c r="A9" s="75" t="s">
        <v>158</v>
      </c>
      <c r="B9" s="82">
        <f>SUMIF($N$3:$N$14,1,$S$3:$S$14)+SUMIF($N$3:$N$14,1,$T$3:$T$14)+SUMIF($N$3:$N$14,1,$U$3:$U$14)+SUMIF($N$3:$N$14,1,$V$3:$V$14)</f>
        <v>256</v>
      </c>
      <c r="C9" s="77">
        <f>参数调整!G51</f>
        <v>58</v>
      </c>
      <c r="D9" s="7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55.1</v>
      </c>
      <c r="E9" s="77">
        <f>参数调整!I51</f>
        <v>0</v>
      </c>
      <c r="F9" s="69">
        <f>D9*G9*(参数调整!$B$6+1)</f>
        <v>16503.552</v>
      </c>
      <c r="G9" s="83">
        <f t="shared" si="0"/>
        <v>256</v>
      </c>
      <c r="H9" s="29"/>
      <c r="J9" s="54" t="str">
        <f>第一季度!J9</f>
        <v>Q</v>
      </c>
      <c r="K9" s="54">
        <f>第一季度!K9</f>
        <v>1121</v>
      </c>
      <c r="L9" s="43" t="str">
        <f t="shared" si="3"/>
        <v>1</v>
      </c>
      <c r="M9" s="43" t="str">
        <f t="shared" si="4"/>
        <v>1</v>
      </c>
      <c r="N9" s="43" t="str">
        <f t="shared" si="5"/>
        <v>2</v>
      </c>
      <c r="O9" s="43" t="str">
        <f t="shared" si="6"/>
        <v>1</v>
      </c>
      <c r="P9" s="43" t="str">
        <f t="shared" si="1"/>
        <v/>
      </c>
      <c r="Q9" s="54">
        <v>0</v>
      </c>
      <c r="R9" s="54">
        <v>6</v>
      </c>
      <c r="S9" s="54">
        <v>0</v>
      </c>
      <c r="T9" s="54">
        <v>0</v>
      </c>
      <c r="U9" s="54">
        <v>0</v>
      </c>
      <c r="V9" s="54">
        <v>92</v>
      </c>
      <c r="W9" s="99">
        <f>TRUNC(S9*参数调整!$I$30)+TRUNC(T9*参数调整!$H$30)+TRUNC(U9*参数调整!$G$30)+TRUNC(V9*参数调整!$F$30)+Q9</f>
        <v>82</v>
      </c>
      <c r="X9" s="99">
        <f t="shared" si="2"/>
        <v>80.297214517369</v>
      </c>
      <c r="Y9" s="54">
        <v>0</v>
      </c>
      <c r="Z9" s="89">
        <f>Y9+第四季度!Y9*0.53653684*0.46055126+第五季度!Y9*0.53653684</f>
        <v>1534.01367147178</v>
      </c>
      <c r="AB9" s="54">
        <v>0</v>
      </c>
      <c r="AD9" s="31"/>
      <c r="AE9" s="31" t="s">
        <v>230</v>
      </c>
      <c r="AF9" s="54">
        <v>0</v>
      </c>
      <c r="AG9" s="101"/>
      <c r="AI9" s="111"/>
      <c r="AJ9" s="112"/>
      <c r="AK9" s="70" t="s">
        <v>232</v>
      </c>
      <c r="AL9" s="31" t="s">
        <v>77</v>
      </c>
      <c r="AM9" s="43">
        <v>2</v>
      </c>
      <c r="AN9" s="31">
        <f>AM9*参数调整!$J$24</f>
        <v>10000</v>
      </c>
      <c r="AO9" s="48"/>
      <c r="AP9" s="48"/>
    </row>
    <row r="10" ht="14.4" customHeight="1" spans="1:42">
      <c r="A10" s="75" t="s">
        <v>159</v>
      </c>
      <c r="B10" s="82">
        <f>SUMIF($N$3:$N$14,2,$S$3:$S$14)+SUMIF($N$3:$N$14,2,$T$3:$T$14)+SUMIF($N$3:$N$14,2,$U$3:$U$14)+SUMIF($N$3:$N$14,2,$V$3:$V$14)</f>
        <v>278</v>
      </c>
      <c r="C10" s="77">
        <f>参数调整!G52</f>
        <v>78</v>
      </c>
      <c r="D10" s="7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74.1</v>
      </c>
      <c r="E10" s="77">
        <f>参数调整!I52</f>
        <v>1</v>
      </c>
      <c r="F10" s="69">
        <f>D10*G10*(参数调整!$B$6+1)</f>
        <v>24101.766</v>
      </c>
      <c r="G10" s="83">
        <f t="shared" si="0"/>
        <v>278</v>
      </c>
      <c r="H10" s="29"/>
      <c r="J10" s="54" t="str">
        <f>第一季度!J10</f>
        <v>L</v>
      </c>
      <c r="K10" s="54">
        <f>第一季度!K10</f>
        <v>121</v>
      </c>
      <c r="L10" s="43" t="str">
        <f t="shared" si="3"/>
        <v>1</v>
      </c>
      <c r="M10" s="43" t="str">
        <f t="shared" si="4"/>
        <v>2</v>
      </c>
      <c r="N10" s="43" t="str">
        <f t="shared" si="5"/>
        <v>1</v>
      </c>
      <c r="O10" s="43" t="str">
        <f t="shared" si="6"/>
        <v/>
      </c>
      <c r="P10" s="43" t="str">
        <f t="shared" si="1"/>
        <v/>
      </c>
      <c r="Q10" s="54">
        <v>3</v>
      </c>
      <c r="R10" s="54">
        <v>0</v>
      </c>
      <c r="S10" s="54">
        <v>0</v>
      </c>
      <c r="T10" s="54">
        <v>0</v>
      </c>
      <c r="U10" s="54">
        <v>0</v>
      </c>
      <c r="V10" s="54">
        <v>178</v>
      </c>
      <c r="W10" s="99">
        <f>TRUNC(S10*参数调整!$I$30)+TRUNC(T10*参数调整!$H$30)+TRUNC(U10*参数调整!$G$30)+TRUNC(V10*参数调整!$F$30)+Q10</f>
        <v>163</v>
      </c>
      <c r="X10" s="99">
        <f t="shared" si="2"/>
        <v>169.577817118737</v>
      </c>
      <c r="Y10" s="54">
        <v>1000</v>
      </c>
      <c r="Z10" s="89">
        <f>Y10+第四季度!Y10*0.53653684*0.46055126+第五季度!Y10*0.53653684</f>
        <v>3518.72394998735</v>
      </c>
      <c r="AB10" s="54">
        <v>0</v>
      </c>
      <c r="AD10" s="31"/>
      <c r="AE10" s="31" t="s">
        <v>231</v>
      </c>
      <c r="AF10" s="54">
        <v>0</v>
      </c>
      <c r="AG10" s="102"/>
      <c r="AI10" s="111"/>
      <c r="AJ10" s="112"/>
      <c r="AK10" s="112"/>
      <c r="AL10" s="31" t="s">
        <v>76</v>
      </c>
      <c r="AM10" s="43">
        <f>AF9</f>
        <v>0</v>
      </c>
      <c r="AN10" s="31">
        <f>AM10*参数调整!$H$24</f>
        <v>0</v>
      </c>
      <c r="AO10" s="48"/>
      <c r="AP10" s="48"/>
    </row>
    <row r="11" ht="14.4" customHeight="1" spans="1:42">
      <c r="A11" s="75" t="s">
        <v>160</v>
      </c>
      <c r="B11" s="82">
        <f>SUMIF($N$3:$N$14,3,$S$3:$S$14)+SUMIF($N$3:$N$14,3,$T$3:$T$14)+SUMIF($N$3:$N$14,3,$U$3:$U$14)+SUMIF($N$3:$N$14,3,$V$3:$V$14)</f>
        <v>288</v>
      </c>
      <c r="C11" s="77">
        <f>参数调整!G53</f>
        <v>116</v>
      </c>
      <c r="D11" s="7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110.2</v>
      </c>
      <c r="E11" s="77">
        <f>参数调整!I53</f>
        <v>0</v>
      </c>
      <c r="F11" s="69">
        <f>D11*G11*(参数调整!$B$6+1)</f>
        <v>37132.992</v>
      </c>
      <c r="G11" s="83">
        <f t="shared" si="0"/>
        <v>288</v>
      </c>
      <c r="H11" s="29"/>
      <c r="J11" s="54">
        <f>第一季度!J11</f>
        <v>0</v>
      </c>
      <c r="K11" s="54">
        <f>第一季度!K11</f>
        <v>212</v>
      </c>
      <c r="L11" s="43" t="str">
        <f t="shared" si="3"/>
        <v>2</v>
      </c>
      <c r="M11" s="43" t="str">
        <f t="shared" si="4"/>
        <v>1</v>
      </c>
      <c r="N11" s="43" t="str">
        <f t="shared" si="5"/>
        <v>2</v>
      </c>
      <c r="O11" s="43" t="str">
        <f t="shared" si="6"/>
        <v/>
      </c>
      <c r="P11" s="43" t="str">
        <f t="shared" si="1"/>
        <v/>
      </c>
      <c r="Q11" s="54"/>
      <c r="R11" s="54"/>
      <c r="S11" s="54">
        <v>0</v>
      </c>
      <c r="T11" s="54">
        <v>0</v>
      </c>
      <c r="U11" s="54">
        <v>0</v>
      </c>
      <c r="V11" s="54"/>
      <c r="W11" s="99">
        <f>TRUNC(S11*参数调整!$I$30)+TRUNC(T11*参数调整!$H$30)+TRUNC(U11*参数调整!$G$30)+TRUNC(V11*参数调整!$F$30)+Q11</f>
        <v>0</v>
      </c>
      <c r="X11" s="99">
        <f t="shared" si="2"/>
        <v>0</v>
      </c>
      <c r="Y11" s="54">
        <v>0</v>
      </c>
      <c r="Z11" s="89">
        <f>Y11+第四季度!Y11*0.53653684*0.46055126+第五季度!Y11*0.53653684</f>
        <v>0</v>
      </c>
      <c r="AB11" s="54"/>
      <c r="AD11" s="31" t="s">
        <v>234</v>
      </c>
      <c r="AE11" s="31" t="s">
        <v>101</v>
      </c>
      <c r="AF11" s="54">
        <v>0</v>
      </c>
      <c r="AG11" s="89">
        <f>AF11*参数调整!$I$29</f>
        <v>0</v>
      </c>
      <c r="AI11" s="111"/>
      <c r="AJ11" s="112"/>
      <c r="AK11" s="113"/>
      <c r="AL11" s="31" t="s">
        <v>75</v>
      </c>
      <c r="AM11" s="43">
        <v>0</v>
      </c>
      <c r="AN11" s="31">
        <f>AM11*参数调整!$F$24</f>
        <v>0</v>
      </c>
      <c r="AO11" s="48"/>
      <c r="AP11" s="48"/>
    </row>
    <row r="12" ht="14.4" customHeight="1" spans="1:42">
      <c r="A12" s="75" t="s">
        <v>161</v>
      </c>
      <c r="B12" s="82">
        <f>SUMIF($N$3:$N$14,4,$S$3:$S$14)+SUMIF($N$3:$N$14,4,$T$3:$T$14)+SUMIF($N$3:$N$14,4,$U$3:$U$14)+SUMIF($N$3:$N$14,4,$V$3:$V$14)</f>
        <v>0</v>
      </c>
      <c r="C12" s="77">
        <f>参数调整!G54</f>
        <v>145</v>
      </c>
      <c r="D12" s="7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77">
        <f>参数调整!I54</f>
        <v>1</v>
      </c>
      <c r="F12" s="69">
        <f>D12*G12*(参数调整!$B$6+1)</f>
        <v>0</v>
      </c>
      <c r="G12" s="83">
        <f t="shared" si="0"/>
        <v>0</v>
      </c>
      <c r="H12" s="29"/>
      <c r="J12" s="54">
        <f>第一季度!J12</f>
        <v>0</v>
      </c>
      <c r="K12" s="54">
        <f>第一季度!K12</f>
        <v>1121</v>
      </c>
      <c r="L12" s="43" t="str">
        <f t="shared" si="3"/>
        <v>1</v>
      </c>
      <c r="M12" s="43" t="str">
        <f t="shared" si="4"/>
        <v>1</v>
      </c>
      <c r="N12" s="43" t="str">
        <f t="shared" si="5"/>
        <v>2</v>
      </c>
      <c r="O12" s="43" t="str">
        <f t="shared" si="6"/>
        <v>1</v>
      </c>
      <c r="P12" s="43" t="str">
        <f t="shared" si="1"/>
        <v/>
      </c>
      <c r="Q12" s="54"/>
      <c r="R12" s="54"/>
      <c r="S12" s="54">
        <v>0</v>
      </c>
      <c r="T12" s="54">
        <v>0</v>
      </c>
      <c r="U12" s="54">
        <v>0</v>
      </c>
      <c r="V12" s="54"/>
      <c r="W12" s="99">
        <f>TRUNC(S12*参数调整!$I$30)+TRUNC(T12*参数调整!$H$30)+TRUNC(U12*参数调整!$G$30)+TRUNC(V12*参数调整!$F$30)+Q12</f>
        <v>0</v>
      </c>
      <c r="X12" s="99">
        <f t="shared" si="2"/>
        <v>0</v>
      </c>
      <c r="Y12" s="54">
        <v>0</v>
      </c>
      <c r="Z12" s="89">
        <f>Y12+第四季度!Y12*0.53653684*0.46055126+第五季度!Y12*0.53653684</f>
        <v>0</v>
      </c>
      <c r="AB12" s="54"/>
      <c r="AD12" s="31"/>
      <c r="AE12" s="31" t="s">
        <v>100</v>
      </c>
      <c r="AF12" s="54">
        <v>0</v>
      </c>
      <c r="AG12" s="89">
        <f>AF12*参数调整!$H$29</f>
        <v>0</v>
      </c>
      <c r="AI12" s="111"/>
      <c r="AJ12" s="112"/>
      <c r="AK12" s="114" t="s">
        <v>236</v>
      </c>
      <c r="AL12" s="115"/>
      <c r="AM12" s="43">
        <f>AM18</f>
        <v>16</v>
      </c>
      <c r="AN12" s="31">
        <f>AM12*参数调整!$J$18*(1+参数调整!$B$12+参数调整!$B$13+参数调整!$B$14+参数调整!$B$15+参数调整!$B$16)</f>
        <v>77529.6</v>
      </c>
      <c r="AO12" s="48"/>
      <c r="AP12" s="48"/>
    </row>
    <row r="13" ht="14.4" customHeight="1" spans="1:42">
      <c r="A13" s="75" t="s">
        <v>162</v>
      </c>
      <c r="B13" s="84">
        <f>SUMIF($O$3:$O$14,1,$S$3:$S$14)+SUMIF($O$3:$O$14,1,$T$3:$T$14)+SUMIF($O$3:$O$14,1,$U$3:$U$14)+SUMIF($O$3:$O$14,1,$V$3:$V$14)+SUMIF($P$3:$P$14,1,$S$3:$S$14)+SUMIF($P$3:$P$14,1,$T$3:$T$14)+SUMIF($P$3:$P$14,1,$U$3:$U$14)+SUMIF($P$3:$P$14,1,$V$3:$V$14)</f>
        <v>338</v>
      </c>
      <c r="C13" s="77">
        <f>参数调整!G55</f>
        <v>50</v>
      </c>
      <c r="D13" s="7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77">
        <f>参数调整!I55</f>
        <v>1</v>
      </c>
      <c r="F13" s="69">
        <f>D13*G13*(参数调整!$B$6+1)</f>
        <v>1287</v>
      </c>
      <c r="G13" s="85">
        <f t="shared" si="0"/>
        <v>22</v>
      </c>
      <c r="H13" s="38">
        <v>0</v>
      </c>
      <c r="I13">
        <v>338</v>
      </c>
      <c r="J13" s="54">
        <f>第一季度!J13</f>
        <v>0</v>
      </c>
      <c r="K13" s="54">
        <f>第一季度!K13</f>
        <v>121</v>
      </c>
      <c r="L13" s="43" t="str">
        <f t="shared" si="3"/>
        <v>1</v>
      </c>
      <c r="M13" s="43" t="str">
        <f t="shared" si="4"/>
        <v>2</v>
      </c>
      <c r="N13" s="43" t="str">
        <f t="shared" si="5"/>
        <v>1</v>
      </c>
      <c r="O13" s="43" t="str">
        <f t="shared" si="6"/>
        <v/>
      </c>
      <c r="P13" s="43" t="str">
        <f t="shared" si="1"/>
        <v/>
      </c>
      <c r="Q13" s="54"/>
      <c r="R13" s="54"/>
      <c r="S13" s="54"/>
      <c r="T13" s="54">
        <v>0</v>
      </c>
      <c r="U13" s="54">
        <v>0</v>
      </c>
      <c r="V13" s="54"/>
      <c r="W13" s="99">
        <f>TRUNC(S13*参数调整!$I$30)+TRUNC(T13*参数调整!$H$30)+TRUNC(U13*参数调整!$G$30)+TRUNC(V13*参数调整!$F$30)+Q13</f>
        <v>0</v>
      </c>
      <c r="X13" s="99">
        <f t="shared" si="2"/>
        <v>0</v>
      </c>
      <c r="Y13" s="54"/>
      <c r="Z13" s="89">
        <f>Y13+第四季度!Y13*0.53653684*0.46055126+第五季度!Y13*0.53653684</f>
        <v>0</v>
      </c>
      <c r="AB13" s="54"/>
      <c r="AD13" s="31"/>
      <c r="AE13" s="31" t="s">
        <v>235</v>
      </c>
      <c r="AF13" s="54">
        <v>0</v>
      </c>
      <c r="AG13" s="89">
        <f>AF13*参数调整!$G$29</f>
        <v>0</v>
      </c>
      <c r="AI13" s="111"/>
      <c r="AJ13" s="112"/>
      <c r="AK13" s="70" t="s">
        <v>237</v>
      </c>
      <c r="AL13" s="31" t="s">
        <v>101</v>
      </c>
      <c r="AM13" s="54">
        <v>0</v>
      </c>
      <c r="AN13" s="56">
        <f>AM13*参数调整!$I$33</f>
        <v>0</v>
      </c>
      <c r="AO13" s="48"/>
      <c r="AP13" s="48"/>
    </row>
    <row r="14" ht="14.4" customHeight="1" spans="1:42">
      <c r="A14" s="75" t="s">
        <v>163</v>
      </c>
      <c r="B14" s="84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77">
        <f>参数调整!G56</f>
        <v>48</v>
      </c>
      <c r="D14" s="7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77">
        <f>参数调整!I56</f>
        <v>1</v>
      </c>
      <c r="F14" s="69">
        <f>D14*G14*(参数调整!$B$6+1)</f>
        <v>0</v>
      </c>
      <c r="G14" s="85">
        <f t="shared" si="0"/>
        <v>0</v>
      </c>
      <c r="H14" s="38"/>
      <c r="J14" s="54">
        <f>第一季度!J14</f>
        <v>0</v>
      </c>
      <c r="K14" s="54">
        <f>第一季度!K14</f>
        <v>122</v>
      </c>
      <c r="L14" s="43" t="str">
        <f t="shared" si="3"/>
        <v>1</v>
      </c>
      <c r="M14" s="43" t="str">
        <f t="shared" si="4"/>
        <v>2</v>
      </c>
      <c r="N14" s="43" t="str">
        <f t="shared" si="5"/>
        <v>2</v>
      </c>
      <c r="O14" s="43" t="str">
        <f t="shared" si="6"/>
        <v/>
      </c>
      <c r="P14" s="43" t="str">
        <f t="shared" si="1"/>
        <v/>
      </c>
      <c r="Q14" s="54"/>
      <c r="R14" s="54"/>
      <c r="S14" s="54"/>
      <c r="T14" s="54">
        <v>0</v>
      </c>
      <c r="U14" s="54">
        <v>0</v>
      </c>
      <c r="V14" s="54"/>
      <c r="W14" s="99">
        <f>TRUNC(S14*参数调整!$I$30)+TRUNC(T14*参数调整!$H$30)+TRUNC(U14*参数调整!$G$30)+TRUNC(V14*参数调整!$F$30)+Q14</f>
        <v>0</v>
      </c>
      <c r="X14" s="99">
        <f t="shared" si="2"/>
        <v>0</v>
      </c>
      <c r="Y14" s="54">
        <v>0</v>
      </c>
      <c r="Z14" s="89">
        <f>Y14+第四季度!Y14*0.53653684*0.46055126+第五季度!Y14*0.53653684</f>
        <v>0</v>
      </c>
      <c r="AB14" s="54"/>
      <c r="AD14" s="31"/>
      <c r="AE14" s="31" t="s">
        <v>98</v>
      </c>
      <c r="AF14" s="54">
        <v>0</v>
      </c>
      <c r="AG14" s="89">
        <f>AF14*参数调整!$F$29</f>
        <v>0</v>
      </c>
      <c r="AI14" s="111"/>
      <c r="AJ14" s="112"/>
      <c r="AK14" s="112"/>
      <c r="AL14" s="31" t="s">
        <v>98</v>
      </c>
      <c r="AM14" s="54">
        <v>2</v>
      </c>
      <c r="AN14" s="31">
        <f>AM14*参数调整!$F$33</f>
        <v>6000</v>
      </c>
      <c r="AO14" s="48"/>
      <c r="AP14" s="48"/>
    </row>
    <row r="15" ht="14.4" customHeight="1" spans="1:42">
      <c r="A15" s="75" t="s">
        <v>164</v>
      </c>
      <c r="B15" s="84">
        <f>SUMIF($O$3:$O$14,3,$S$3:$S$14)+SUMIF($O$3:$O$14,3,$T$3:$T$14)+SUMIF($O$3:$O$14,3,$U$3:$U$14)+SUMIF($O$3:$O$14,3,$V$3:$V$14)+SUMIF($P$3:$P$14,3,$S$3:$S$14)+SUMIF($P$3:$P$14,3,$T$3:$T$14)+SUMIF($P$3:$P$14,3,$U$3:$U$14)+SUMIF($P$3:$P$14,3,$V$3:$V$14)</f>
        <v>112</v>
      </c>
      <c r="C15" s="77">
        <f>参数调整!G57</f>
        <v>74</v>
      </c>
      <c r="D15" s="7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77">
        <f>参数调整!I57</f>
        <v>1</v>
      </c>
      <c r="F15" s="69">
        <f>D15*G15*(参数调整!$B$6+1)</f>
        <v>519.48</v>
      </c>
      <c r="G15" s="85">
        <f t="shared" si="0"/>
        <v>6</v>
      </c>
      <c r="H15" s="38">
        <v>0</v>
      </c>
      <c r="S15" s="43">
        <f>SUM(S3:S14)</f>
        <v>0</v>
      </c>
      <c r="T15" s="43">
        <f t="shared" ref="T15:V15" si="7">SUM(T3:T14)</f>
        <v>0</v>
      </c>
      <c r="U15" s="43">
        <f t="shared" si="7"/>
        <v>0</v>
      </c>
      <c r="V15" s="43">
        <f t="shared" si="7"/>
        <v>822</v>
      </c>
      <c r="AD15" s="31" t="s">
        <v>238</v>
      </c>
      <c r="AE15" s="31"/>
      <c r="AF15" s="54">
        <v>0</v>
      </c>
      <c r="AG15" s="89">
        <f>AF15*参数调整!$B$31</f>
        <v>0</v>
      </c>
      <c r="AI15" s="111"/>
      <c r="AJ15" s="112"/>
      <c r="AK15" s="112"/>
      <c r="AL15" s="31" t="s">
        <v>100</v>
      </c>
      <c r="AM15" s="54">
        <v>0</v>
      </c>
      <c r="AN15" s="31">
        <f>AM15*参数调整!$H$33</f>
        <v>0</v>
      </c>
      <c r="AO15" s="48"/>
      <c r="AP15" s="48"/>
    </row>
    <row r="16" ht="14.4" customHeight="1" spans="1:42">
      <c r="A16" s="75" t="s">
        <v>165</v>
      </c>
      <c r="B16" s="84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77">
        <f>参数调整!G58</f>
        <v>90</v>
      </c>
      <c r="D16" s="7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77">
        <f>参数调整!I58</f>
        <v>1</v>
      </c>
      <c r="F16" s="69">
        <f>D16*G16*(参数调整!$B$6+1)</f>
        <v>0</v>
      </c>
      <c r="G16" s="85">
        <f t="shared" si="0"/>
        <v>0</v>
      </c>
      <c r="H16" s="38"/>
      <c r="AC16" s="89" t="s">
        <v>248</v>
      </c>
      <c r="AD16" s="31" t="s">
        <v>239</v>
      </c>
      <c r="AE16" s="31"/>
      <c r="AF16" s="54">
        <v>0</v>
      </c>
      <c r="AG16" s="89">
        <f>AF16*参数调整!$B$32</f>
        <v>0</v>
      </c>
      <c r="AI16" s="111"/>
      <c r="AJ16" s="113"/>
      <c r="AK16" s="113"/>
      <c r="AL16" s="31" t="s">
        <v>99</v>
      </c>
      <c r="AM16" s="54">
        <v>0</v>
      </c>
      <c r="AN16" s="31">
        <f>AM16*参数调整!$G$33</f>
        <v>0</v>
      </c>
      <c r="AO16" s="48"/>
      <c r="AP16" s="48"/>
    </row>
    <row r="17" customHeight="1" spans="10:42">
      <c r="J17" s="77" t="s">
        <v>241</v>
      </c>
      <c r="K17" s="77"/>
      <c r="Q17" s="89" t="s">
        <v>244</v>
      </c>
      <c r="R17" s="89" t="s">
        <v>245</v>
      </c>
      <c r="S17" s="89" t="s">
        <v>284</v>
      </c>
      <c r="T17" s="89" t="s">
        <v>285</v>
      </c>
      <c r="U17" s="89" t="s">
        <v>314</v>
      </c>
      <c r="V17" s="89" t="s">
        <v>315</v>
      </c>
      <c r="W17" s="89" t="s">
        <v>327</v>
      </c>
      <c r="X17" s="89" t="s">
        <v>328</v>
      </c>
      <c r="Z17">
        <f>822-450</f>
        <v>372</v>
      </c>
      <c r="AB17" s="43" t="str">
        <f>J3</f>
        <v>S</v>
      </c>
      <c r="AC17" s="54">
        <v>59</v>
      </c>
      <c r="AD17" s="31" t="s">
        <v>240</v>
      </c>
      <c r="AE17" s="31" t="s">
        <v>10</v>
      </c>
      <c r="AF17" s="54">
        <v>0</v>
      </c>
      <c r="AG17" s="89">
        <f>AF17*参数调整!$F$3</f>
        <v>0</v>
      </c>
      <c r="AI17" s="111"/>
      <c r="AJ17" s="104" t="s">
        <v>242</v>
      </c>
      <c r="AK17" s="106"/>
      <c r="AL17" s="52"/>
      <c r="AM17" s="43">
        <v>1</v>
      </c>
      <c r="AN17" s="31">
        <f>AM17*参数调整!$B$11*(1+参数调整!$B$12+参数调整!$B$13+参数调整!$B$14+参数调整!$B$15+参数调整!$B$16)</f>
        <v>13460</v>
      </c>
      <c r="AO17" s="48"/>
      <c r="AP17" s="48"/>
    </row>
    <row r="18" customHeight="1" spans="1:42">
      <c r="A18" s="86" t="s">
        <v>243</v>
      </c>
      <c r="B18" s="87"/>
      <c r="G18" s="88">
        <f>SUMIF(E3:E16,0,F3:F16)</f>
        <v>57388.968</v>
      </c>
      <c r="J18" s="94">
        <v>19</v>
      </c>
      <c r="K18" s="95"/>
      <c r="Q18" s="89" t="s">
        <v>175</v>
      </c>
      <c r="R18" s="54">
        <v>361</v>
      </c>
      <c r="S18" s="54">
        <v>285</v>
      </c>
      <c r="T18" s="54">
        <v>285</v>
      </c>
      <c r="U18" s="54">
        <v>380</v>
      </c>
      <c r="V18" s="54">
        <v>456</v>
      </c>
      <c r="W18" s="54">
        <v>475</v>
      </c>
      <c r="X18" s="54">
        <v>475</v>
      </c>
      <c r="AB18" s="43" t="str">
        <f t="shared" ref="AB18:AB28" si="8">J4</f>
        <v>S</v>
      </c>
      <c r="AC18" s="54">
        <v>136</v>
      </c>
      <c r="AD18" s="31"/>
      <c r="AE18" s="31" t="s">
        <v>13</v>
      </c>
      <c r="AF18" s="54">
        <v>0</v>
      </c>
      <c r="AG18" s="89">
        <f>AF18*参数调整!$F$4</f>
        <v>0</v>
      </c>
      <c r="AI18" s="111"/>
      <c r="AJ18" s="107" t="s">
        <v>249</v>
      </c>
      <c r="AK18" s="108"/>
      <c r="AL18" s="31" t="s">
        <v>67</v>
      </c>
      <c r="AM18" s="43">
        <f>AF25+第一季度!AF24+第二季度!AF25+第三季度!AF25+第四季度!AF25+第五季度!AF25</f>
        <v>16</v>
      </c>
      <c r="AN18" s="116">
        <f>AM18*参数调整!$B$10</f>
        <v>16000</v>
      </c>
      <c r="AO18" s="48"/>
      <c r="AP18" s="48"/>
    </row>
    <row r="19" customHeight="1" spans="10:42">
      <c r="J19" s="94"/>
      <c r="K19" s="95"/>
      <c r="Q19" s="89" t="s">
        <v>176</v>
      </c>
      <c r="R19" s="54">
        <v>380</v>
      </c>
      <c r="S19" s="54">
        <v>380</v>
      </c>
      <c r="T19" s="54">
        <v>456</v>
      </c>
      <c r="U19" s="54">
        <v>475</v>
      </c>
      <c r="V19" s="54">
        <v>475</v>
      </c>
      <c r="W19" s="54">
        <v>646</v>
      </c>
      <c r="X19" s="54">
        <v>570</v>
      </c>
      <c r="AB19" s="43" t="str">
        <f t="shared" si="8"/>
        <v>B</v>
      </c>
      <c r="AC19" s="54">
        <v>68</v>
      </c>
      <c r="AD19" s="31"/>
      <c r="AE19" s="31" t="s">
        <v>16</v>
      </c>
      <c r="AF19" s="54">
        <v>0</v>
      </c>
      <c r="AG19" s="89">
        <f>AF19*参数调整!$F$5</f>
        <v>0</v>
      </c>
      <c r="AI19" s="111"/>
      <c r="AJ19" s="73"/>
      <c r="AK19" s="109"/>
      <c r="AL19" s="31" t="s">
        <v>250</v>
      </c>
      <c r="AM19" s="43">
        <f>AF26+第一季度!AF25+第二季度!AF26+第三季度!AF26+第四季度!AF26+第五季度!AF26</f>
        <v>8</v>
      </c>
      <c r="AN19" s="31">
        <f>AM19*参数调整!$B$10</f>
        <v>8000</v>
      </c>
      <c r="AO19" s="48"/>
      <c r="AP19" s="48"/>
    </row>
    <row r="20" customHeight="1" spans="10:42">
      <c r="J20" s="94"/>
      <c r="K20" s="95"/>
      <c r="Q20" s="89" t="s">
        <v>177</v>
      </c>
      <c r="R20" s="54">
        <v>475</v>
      </c>
      <c r="S20" s="54">
        <v>475</v>
      </c>
      <c r="T20" s="54">
        <v>475</v>
      </c>
      <c r="U20" s="54">
        <v>646</v>
      </c>
      <c r="V20" s="54">
        <v>570</v>
      </c>
      <c r="W20" s="54">
        <v>665</v>
      </c>
      <c r="X20" s="54">
        <v>665</v>
      </c>
      <c r="AB20" s="43" t="str">
        <f t="shared" si="8"/>
        <v>B</v>
      </c>
      <c r="AC20" s="54">
        <v>129</v>
      </c>
      <c r="AD20" s="31"/>
      <c r="AE20" s="31" t="s">
        <v>19</v>
      </c>
      <c r="AF20" s="54">
        <v>0</v>
      </c>
      <c r="AG20" s="89">
        <f>AF20*参数调整!$F$6</f>
        <v>0</v>
      </c>
      <c r="AI20" s="111"/>
      <c r="AJ20" s="107" t="s">
        <v>252</v>
      </c>
      <c r="AK20" s="108"/>
      <c r="AL20" s="31" t="s">
        <v>101</v>
      </c>
      <c r="AM20" s="54">
        <v>0</v>
      </c>
      <c r="AN20" s="31">
        <f>AM20*参数调整!$I$29</f>
        <v>0</v>
      </c>
      <c r="AO20" s="48"/>
      <c r="AP20" s="48"/>
    </row>
    <row r="21" customHeight="1" spans="10:42">
      <c r="J21" s="77" t="s">
        <v>253</v>
      </c>
      <c r="K21" s="96"/>
      <c r="Q21" s="89" t="s">
        <v>178</v>
      </c>
      <c r="R21" s="54">
        <v>570</v>
      </c>
      <c r="S21" s="54">
        <v>570</v>
      </c>
      <c r="T21" s="54">
        <v>570</v>
      </c>
      <c r="U21" s="54">
        <v>665</v>
      </c>
      <c r="V21" s="54">
        <v>665</v>
      </c>
      <c r="W21" s="54">
        <v>760</v>
      </c>
      <c r="X21" s="54">
        <v>836</v>
      </c>
      <c r="Z21">
        <f>140-26</f>
        <v>114</v>
      </c>
      <c r="AB21" s="43" t="str">
        <f t="shared" si="8"/>
        <v>B</v>
      </c>
      <c r="AC21" s="54">
        <v>66</v>
      </c>
      <c r="AD21" s="31"/>
      <c r="AE21" s="31" t="s">
        <v>22</v>
      </c>
      <c r="AF21" s="54">
        <v>0</v>
      </c>
      <c r="AG21" s="89">
        <f>AF21*参数调整!$F$7</f>
        <v>0</v>
      </c>
      <c r="AI21" s="111"/>
      <c r="AJ21" s="72"/>
      <c r="AK21" s="117"/>
      <c r="AL21" s="31" t="s">
        <v>98</v>
      </c>
      <c r="AM21" s="54">
        <v>0</v>
      </c>
      <c r="AN21" s="31">
        <f>AM21*参数调整!$F$29</f>
        <v>0</v>
      </c>
      <c r="AO21" s="48"/>
      <c r="AP21" s="48"/>
    </row>
    <row r="22" customHeight="1" spans="10:42">
      <c r="J22" s="94">
        <v>19</v>
      </c>
      <c r="K22" s="94"/>
      <c r="Q22" s="100" t="s">
        <v>316</v>
      </c>
      <c r="R22" s="89">
        <f>J22*19</f>
        <v>361</v>
      </c>
      <c r="S22" s="89">
        <f>J22*15</f>
        <v>285</v>
      </c>
      <c r="T22" s="89">
        <f>J22*15</f>
        <v>285</v>
      </c>
      <c r="U22" s="89">
        <f>J22*20</f>
        <v>380</v>
      </c>
      <c r="V22" s="89">
        <f>J22*24</f>
        <v>456</v>
      </c>
      <c r="W22" s="89">
        <f>J22*25</f>
        <v>475</v>
      </c>
      <c r="X22" s="89">
        <f>J22*25</f>
        <v>475</v>
      </c>
      <c r="AB22" s="43" t="str">
        <f t="shared" si="8"/>
        <v>Q</v>
      </c>
      <c r="AC22" s="54">
        <v>123</v>
      </c>
      <c r="AD22" s="31"/>
      <c r="AE22" s="31" t="s">
        <v>25</v>
      </c>
      <c r="AF22" s="54">
        <v>0</v>
      </c>
      <c r="AG22" s="89">
        <f>AF22*参数调整!$F$8</f>
        <v>0</v>
      </c>
      <c r="AI22" s="111"/>
      <c r="AJ22" s="72"/>
      <c r="AK22" s="117"/>
      <c r="AL22" s="31" t="s">
        <v>100</v>
      </c>
      <c r="AM22" s="54">
        <v>0</v>
      </c>
      <c r="AN22" s="31">
        <f>AM22*参数调整!$H$29</f>
        <v>0</v>
      </c>
      <c r="AO22" s="48"/>
      <c r="AP22" s="48"/>
    </row>
    <row r="23" customHeight="1" spans="10:42">
      <c r="J23" s="94"/>
      <c r="K23" s="94"/>
      <c r="Q23" s="101"/>
      <c r="R23" s="89">
        <f>J22*20</f>
        <v>380</v>
      </c>
      <c r="S23" s="89">
        <f>J22*20</f>
        <v>380</v>
      </c>
      <c r="T23" s="89">
        <f>J22*24</f>
        <v>456</v>
      </c>
      <c r="U23" s="89">
        <f>J22*25</f>
        <v>475</v>
      </c>
      <c r="V23" s="89">
        <f>J22*25</f>
        <v>475</v>
      </c>
      <c r="W23" s="89">
        <f>J22*34</f>
        <v>646</v>
      </c>
      <c r="X23" s="89">
        <f>J22*30</f>
        <v>570</v>
      </c>
      <c r="AB23" s="43" t="str">
        <f t="shared" si="8"/>
        <v>Q</v>
      </c>
      <c r="AC23" s="54">
        <v>107</v>
      </c>
      <c r="AD23" s="104" t="s">
        <v>254</v>
      </c>
      <c r="AE23" s="52"/>
      <c r="AF23" s="54">
        <v>0</v>
      </c>
      <c r="AG23" s="89">
        <f>AF23*参数调整!$C$40</f>
        <v>0</v>
      </c>
      <c r="AI23" s="111"/>
      <c r="AJ23" s="73"/>
      <c r="AK23" s="109"/>
      <c r="AL23" s="31" t="s">
        <v>99</v>
      </c>
      <c r="AM23" s="54">
        <v>0</v>
      </c>
      <c r="AN23" s="31">
        <f>AM23*参数调整!$G$29</f>
        <v>0</v>
      </c>
      <c r="AO23" s="48"/>
      <c r="AP23" s="48"/>
    </row>
    <row r="24" customHeight="1" spans="10:42">
      <c r="J24" s="94"/>
      <c r="K24" s="94"/>
      <c r="Q24" s="101"/>
      <c r="R24" s="89">
        <f>J22*25</f>
        <v>475</v>
      </c>
      <c r="S24" s="89">
        <f>J22*25</f>
        <v>475</v>
      </c>
      <c r="T24" s="89">
        <f>J22*25</f>
        <v>475</v>
      </c>
      <c r="U24" s="89">
        <f>J22*34</f>
        <v>646</v>
      </c>
      <c r="V24" s="89">
        <f>J22*30</f>
        <v>570</v>
      </c>
      <c r="W24" s="89">
        <f>J22*35</f>
        <v>665</v>
      </c>
      <c r="X24" s="89">
        <f>J22*35</f>
        <v>665</v>
      </c>
      <c r="AB24" s="43" t="str">
        <f t="shared" si="8"/>
        <v>L</v>
      </c>
      <c r="AC24" s="54">
        <v>171</v>
      </c>
      <c r="AD24" s="104" t="s">
        <v>256</v>
      </c>
      <c r="AE24" s="52"/>
      <c r="AF24" s="54">
        <v>0</v>
      </c>
      <c r="AG24" s="89">
        <f>AF24*参数调整!$C$41</f>
        <v>0</v>
      </c>
      <c r="AI24" s="111"/>
      <c r="AJ24" s="107" t="s">
        <v>258</v>
      </c>
      <c r="AK24" s="108"/>
      <c r="AL24" s="31" t="s">
        <v>75</v>
      </c>
      <c r="AM24" s="54">
        <v>0</v>
      </c>
      <c r="AN24" s="31">
        <f>AM24*参数调整!$F$23</f>
        <v>0</v>
      </c>
      <c r="AO24" s="48"/>
      <c r="AP24" s="48"/>
    </row>
    <row r="25" customHeight="1" spans="17:42">
      <c r="Q25" s="102"/>
      <c r="R25" s="89">
        <f>J22*30</f>
        <v>570</v>
      </c>
      <c r="S25" s="89">
        <f>J22*30</f>
        <v>570</v>
      </c>
      <c r="T25" s="89">
        <f>J22*30</f>
        <v>570</v>
      </c>
      <c r="U25" s="89">
        <f>J22*35</f>
        <v>665</v>
      </c>
      <c r="V25" s="89">
        <f>J22*35</f>
        <v>665</v>
      </c>
      <c r="W25" s="89">
        <f>J22*40</f>
        <v>760</v>
      </c>
      <c r="X25" s="89">
        <f>J22*44</f>
        <v>836</v>
      </c>
      <c r="AB25" s="43">
        <f t="shared" si="8"/>
        <v>0</v>
      </c>
      <c r="AC25" s="54"/>
      <c r="AD25" s="31" t="s">
        <v>257</v>
      </c>
      <c r="AE25" s="31"/>
      <c r="AF25" s="54">
        <v>0</v>
      </c>
      <c r="AG25" s="89">
        <f>AF25*参数调整!$F$18</f>
        <v>0</v>
      </c>
      <c r="AI25" s="111"/>
      <c r="AJ25" s="72"/>
      <c r="AK25" s="117"/>
      <c r="AL25" s="31" t="s">
        <v>76</v>
      </c>
      <c r="AM25" s="54">
        <v>0</v>
      </c>
      <c r="AN25" s="31">
        <f>AM25*参数调整!$H$23</f>
        <v>0</v>
      </c>
      <c r="AO25" s="48"/>
      <c r="AP25" s="48"/>
    </row>
    <row r="26" customHeight="1" spans="28:42">
      <c r="AB26" s="43">
        <f t="shared" si="8"/>
        <v>0</v>
      </c>
      <c r="AC26" s="54"/>
      <c r="AD26" s="31" t="s">
        <v>259</v>
      </c>
      <c r="AE26" s="31"/>
      <c r="AF26" s="54">
        <v>0</v>
      </c>
      <c r="AG26" s="89">
        <f>AF26*参数调整!$F$17</f>
        <v>0</v>
      </c>
      <c r="AI26" s="111"/>
      <c r="AJ26" s="73"/>
      <c r="AK26" s="109"/>
      <c r="AL26" s="31" t="s">
        <v>77</v>
      </c>
      <c r="AM26" s="54">
        <v>0</v>
      </c>
      <c r="AN26" s="31">
        <f>AM26*参数调整!$J$23</f>
        <v>0</v>
      </c>
      <c r="AO26" s="48"/>
      <c r="AP26" s="48"/>
    </row>
    <row r="27" customHeight="1" spans="28:42">
      <c r="AB27" s="43">
        <f t="shared" si="8"/>
        <v>0</v>
      </c>
      <c r="AC27" s="54"/>
      <c r="AD27" s="31" t="s">
        <v>260</v>
      </c>
      <c r="AE27" s="31"/>
      <c r="AF27" s="31"/>
      <c r="AG27" s="89">
        <f>SUM(Y3:Y14)</f>
        <v>38903.86</v>
      </c>
      <c r="AI27" s="111"/>
      <c r="AJ27" s="104" t="s">
        <v>262</v>
      </c>
      <c r="AK27" s="106"/>
      <c r="AL27" s="52"/>
      <c r="AM27" s="43">
        <f>AM19</f>
        <v>8</v>
      </c>
      <c r="AN27" s="31">
        <f>AM27*参数调整!$J$17*(1+参数调整!$B$12+参数调整!$B$13+参数调整!$B$14+参数调整!$B$15+参数调整!$B$16)</f>
        <v>43072</v>
      </c>
      <c r="AO27" s="48"/>
      <c r="AP27" s="48"/>
    </row>
    <row r="28" customHeight="1" spans="10:42">
      <c r="J28" s="69"/>
      <c r="P28" s="69"/>
      <c r="Q28" s="89" t="s">
        <v>317</v>
      </c>
      <c r="R28" s="89" t="s">
        <v>329</v>
      </c>
      <c r="S28" s="89" t="s">
        <v>319</v>
      </c>
      <c r="T28" s="89" t="s">
        <v>309</v>
      </c>
      <c r="U28" s="89" t="s">
        <v>320</v>
      </c>
      <c r="V28" s="89" t="s">
        <v>321</v>
      </c>
      <c r="W28" s="89" t="s">
        <v>247</v>
      </c>
      <c r="X28" s="89" t="s">
        <v>286</v>
      </c>
      <c r="Y28" s="89" t="s">
        <v>322</v>
      </c>
      <c r="Z28" s="69"/>
      <c r="AB28" s="43">
        <f t="shared" si="8"/>
        <v>0</v>
      </c>
      <c r="AC28" s="54"/>
      <c r="AD28" s="31" t="s">
        <v>261</v>
      </c>
      <c r="AE28" s="31"/>
      <c r="AF28" s="31"/>
      <c r="AG28" s="89">
        <f>G18</f>
        <v>57388.968</v>
      </c>
      <c r="AI28" s="111"/>
      <c r="AJ28" s="70" t="s">
        <v>264</v>
      </c>
      <c r="AK28" s="118" t="s">
        <v>265</v>
      </c>
      <c r="AL28" s="119" t="s">
        <v>175</v>
      </c>
      <c r="AM28" s="120">
        <v>0</v>
      </c>
      <c r="AN28" s="70">
        <f>AM28*参数调整!$B$30*参数调整!F11</f>
        <v>0</v>
      </c>
      <c r="AO28" s="48"/>
      <c r="AP28" s="48"/>
    </row>
    <row r="29" customHeight="1" spans="10:42">
      <c r="J29" s="89" t="str">
        <f t="shared" ref="J29:J40" si="9">J3</f>
        <v>S</v>
      </c>
      <c r="K29" s="89">
        <f>第五季度!W3-第六季度!Q3+第六季度!R3</f>
        <v>70</v>
      </c>
      <c r="L29" s="89"/>
      <c r="M29" s="89"/>
      <c r="N29" s="89"/>
      <c r="O29" s="89"/>
      <c r="P29" s="89"/>
      <c r="Q29" s="54">
        <v>955</v>
      </c>
      <c r="R29" s="89">
        <f>IF(J29="S",K29*100/(SUM(第五季度!$R$18:$X$18)-$Q$29),IF(J29="B",K29*100/(SUM(第五季度!$R$19:$X$19)-$Q$30),IF(J29="Q",K29*100/(SUM(第五季度!$R$20:$X$20)-$Q$31),K29*100/(SUM(第五季度!$R$21:$X$21)-$Q$32))))</f>
        <v>1.93316763325048</v>
      </c>
      <c r="S29" s="89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-0.0131127991543157</v>
      </c>
      <c r="T29" s="54">
        <v>0.34</v>
      </c>
      <c r="U29" s="89">
        <f>R29+S29-T29</f>
        <v>1.58005483409617</v>
      </c>
      <c r="V29" s="89">
        <f>IF(J29="S",Z3*参数调整!$H$11/($X$29*$J$18),IF(J29="B",Z3*参数调整!$H$12/($X$30*$J$18),IF(J29="Q",Z3*参数调整!$H$13/($X$31*$J$18),Z3*参数调整!$H$14/($X$32*$J$18))))</f>
        <v>0.487129388836682</v>
      </c>
      <c r="W29" s="54">
        <v>18981.4501441779</v>
      </c>
      <c r="X29" s="69">
        <f>W29+第四季度!W29*0.53653684*0.46055126+第五季度!W29*0.53653684</f>
        <v>28949.7219012173</v>
      </c>
      <c r="Y29" s="89">
        <f>U29+V29</f>
        <v>2.06718422293285</v>
      </c>
      <c r="Z29" s="105">
        <v>18981.4501441779</v>
      </c>
      <c r="AD29" s="31" t="s">
        <v>263</v>
      </c>
      <c r="AE29" s="31"/>
      <c r="AF29" s="31"/>
      <c r="AG29" s="121">
        <f>AG3+AG4*(1-参数调整!$B$18)-SUM(AG5:AG28)</f>
        <v>-50591.258</v>
      </c>
      <c r="AH29" s="121">
        <f>AG29/(1-参数调整!B23)</f>
        <v>-52155.9360824742</v>
      </c>
      <c r="AI29" s="111"/>
      <c r="AJ29" s="112"/>
      <c r="AK29" s="122"/>
      <c r="AL29" s="123"/>
      <c r="AM29" s="124"/>
      <c r="AN29" s="113"/>
      <c r="AO29" s="48"/>
      <c r="AP29" s="48"/>
    </row>
    <row r="30" customHeight="1" spans="10:42">
      <c r="J30" s="89" t="str">
        <f t="shared" si="9"/>
        <v>S</v>
      </c>
      <c r="K30" s="89">
        <f>第五季度!W4-第六季度!Q4+第六季度!R4</f>
        <v>129</v>
      </c>
      <c r="L30" s="89"/>
      <c r="M30" s="89"/>
      <c r="N30" s="89"/>
      <c r="O30" s="89"/>
      <c r="P30" s="89"/>
      <c r="Q30" s="54">
        <v>964</v>
      </c>
      <c r="R30" s="89">
        <f>IF(J30="S",K30*100/(SUM(第五季度!$R$18:$X$18)-$Q$29),IF(J30="B",K30*100/(SUM(第五季度!$R$19:$X$19)-$Q$30),IF(J30="Q",K30*100/(SUM(第五季度!$R$20:$X$20)-$Q$31),IF(第一季度!$R$22=0,K30*100/(SUM(第五季度!$R$21:$X$21)-$Q$32)))))</f>
        <v>3.56255178127589</v>
      </c>
      <c r="S30" s="89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-0.00410149045702748</v>
      </c>
      <c r="T30" s="54">
        <v>0</v>
      </c>
      <c r="U30" s="89">
        <f t="shared" ref="U30:U40" si="10">R30+S30-T30</f>
        <v>3.55845029081886</v>
      </c>
      <c r="V30" s="89">
        <f>IF(J30="S",Z4*参数调整!$H$11/($X$29*$J$18),IF(J30="B",Z4*参数调整!$H$12/($X$30*$J$18),IF(J30="Q",Z4*参数调整!$H$13/($X$31*$J$18),Z4*参数调整!$H$14/($X$32*$J$18))))</f>
        <v>0</v>
      </c>
      <c r="W30" s="54">
        <v>27740.7515912352</v>
      </c>
      <c r="X30" s="69">
        <f>W30+第四季度!W30*0.53653684*0.46055126+第五季度!W30*0.53653684</f>
        <v>46282.6522204596</v>
      </c>
      <c r="Y30" s="89">
        <f t="shared" ref="Y30:Y40" si="11">U30+V30</f>
        <v>3.55845029081886</v>
      </c>
      <c r="Z30" s="105">
        <v>27740.7515912352</v>
      </c>
      <c r="AD30" s="104" t="s">
        <v>267</v>
      </c>
      <c r="AE30" s="106"/>
      <c r="AF30" s="52"/>
      <c r="AG30" s="54">
        <v>40599</v>
      </c>
      <c r="AI30" s="111"/>
      <c r="AJ30" s="112"/>
      <c r="AK30" s="122"/>
      <c r="AL30" s="119" t="s">
        <v>176</v>
      </c>
      <c r="AM30" s="120">
        <v>0</v>
      </c>
      <c r="AN30" s="70">
        <f>参数调整!F12*AM30*参数调整!$B$30</f>
        <v>0</v>
      </c>
      <c r="AO30" s="48"/>
      <c r="AP30" s="48"/>
    </row>
    <row r="31" spans="10:42">
      <c r="J31" s="89" t="str">
        <f t="shared" si="9"/>
        <v>B</v>
      </c>
      <c r="K31" s="89">
        <f>第五季度!W5-第六季度!Q5+第六季度!R5</f>
        <v>67</v>
      </c>
      <c r="L31" s="89"/>
      <c r="M31" s="89"/>
      <c r="N31" s="89"/>
      <c r="O31" s="89"/>
      <c r="P31" s="89"/>
      <c r="Q31" s="54">
        <v>1092</v>
      </c>
      <c r="R31" s="89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</v>
      </c>
      <c r="S31" s="89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0.218820338896645</v>
      </c>
      <c r="T31" s="54">
        <v>0.07</v>
      </c>
      <c r="U31" s="89">
        <f t="shared" si="10"/>
        <v>1.63903386202832</v>
      </c>
      <c r="V31" s="89">
        <f>IF(J31="S",Z5*参数调整!$H$11/($X$29*$J$18),IF(J31="B",Z5*参数调整!$H$12/($X$30*$J$18),IF(J31="Q",Z5*参数调整!$H$13/($X$31*$J$18),Z5*参数调整!$H$14/($X$32*$J$18))))</f>
        <v>0.412292228645091</v>
      </c>
      <c r="W31" s="54">
        <v>14672.1325012187</v>
      </c>
      <c r="X31" s="69">
        <f>W31+第四季度!W31*0.53653684*0.46055126+第五季度!W31*0.53653684</f>
        <v>22784.8430331751</v>
      </c>
      <c r="Y31" s="89">
        <f t="shared" si="11"/>
        <v>2.05132609067341</v>
      </c>
      <c r="Z31" s="105">
        <v>14672.1325012187</v>
      </c>
      <c r="AD31" s="104" t="s">
        <v>263</v>
      </c>
      <c r="AE31" s="106"/>
      <c r="AF31" s="52"/>
      <c r="AG31" s="121">
        <f>AG30*(1-参数调整!B23)+AG29</f>
        <v>-11210.228</v>
      </c>
      <c r="AI31" s="111"/>
      <c r="AJ31" s="112"/>
      <c r="AK31" s="122"/>
      <c r="AL31" s="123"/>
      <c r="AM31" s="124"/>
      <c r="AN31" s="113"/>
      <c r="AO31" s="48"/>
      <c r="AP31" s="48"/>
    </row>
    <row r="32" spans="10:42">
      <c r="J32" s="89" t="str">
        <f t="shared" si="9"/>
        <v>B</v>
      </c>
      <c r="K32" s="89">
        <f>第五季度!W6-第六季度!Q6+第六季度!R6</f>
        <v>118</v>
      </c>
      <c r="L32" s="89"/>
      <c r="M32" s="89"/>
      <c r="N32" s="89"/>
      <c r="O32" s="89"/>
      <c r="P32" s="89"/>
      <c r="Q32" s="54">
        <v>1542</v>
      </c>
      <c r="R32" s="89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2.62455516014235</v>
      </c>
      <c r="S32" s="89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0.247013204196904</v>
      </c>
      <c r="T32" s="54">
        <v>0</v>
      </c>
      <c r="U32" s="89">
        <f t="shared" si="10"/>
        <v>2.87156836433925</v>
      </c>
      <c r="V32" s="89">
        <f>IF(J32="S",Z6*参数调整!$H$11/($X$29*$J$18),IF(J32="B",Z6*参数调整!$H$12/($X$30*$J$18),IF(J32="Q",Z6*参数调整!$H$13/($X$31*$J$18),Z6*参数调整!$H$14/($X$32*$J$18))))</f>
        <v>0.132631805425422</v>
      </c>
      <c r="W32" s="54">
        <v>1200</v>
      </c>
      <c r="X32" s="69">
        <f>W32+第四季度!W32*0.53653684*0.46055126+第五季度!W32*0.53653684</f>
        <v>2752.71898959733</v>
      </c>
      <c r="Y32" s="89">
        <f t="shared" si="11"/>
        <v>3.00420016976467</v>
      </c>
      <c r="Z32" s="105">
        <v>0</v>
      </c>
      <c r="AI32" s="111"/>
      <c r="AJ32" s="112"/>
      <c r="AK32" s="122"/>
      <c r="AL32" s="119" t="s">
        <v>177</v>
      </c>
      <c r="AM32" s="120">
        <v>1</v>
      </c>
      <c r="AN32" s="70">
        <f>参数调整!F13*AM32*参数调整!$B$30</f>
        <v>180</v>
      </c>
      <c r="AO32" s="48"/>
      <c r="AP32" s="48"/>
    </row>
    <row r="33" spans="1:42">
      <c r="A33" s="89" t="s">
        <v>309</v>
      </c>
      <c r="B33" s="89" t="s">
        <v>247</v>
      </c>
      <c r="J33" s="89" t="str">
        <f t="shared" si="9"/>
        <v>B</v>
      </c>
      <c r="K33" s="89">
        <f>第五季度!W7-第六季度!Q7+第六季度!R7</f>
        <v>61</v>
      </c>
      <c r="L33" s="89"/>
      <c r="M33" s="89"/>
      <c r="N33" s="89"/>
      <c r="O33" s="89"/>
      <c r="P33" s="89"/>
      <c r="R33" s="89">
        <f>IF(J33="S",K33*100/(SUM(第五季度!$R$18:$X$18)-$Q$29),IF(J33="B",K33*100/(SUM(第五季度!$R$19:$X$19)-$Q$30),IF(J33="Q",K33*100/(SUM(第五季度!$R$20:$X$20)-$Q$31),IF(第一季度!$R$22=0,K33*100/(SUM(第五季度!$R$21:$X$21)-$Q$32)))))</f>
        <v>1.3567615658363</v>
      </c>
      <c r="S33" s="89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0.105010257388301</v>
      </c>
      <c r="T33" s="54">
        <v>0</v>
      </c>
      <c r="U33" s="89">
        <f t="shared" si="10"/>
        <v>1.4617718232246</v>
      </c>
      <c r="V33" s="89">
        <f>IF(J33="S",Z7*参数调整!$H$11/($X$29*$J$18),IF(J33="B",Z7*参数调整!$H$12/($X$30*$J$18),IF(J33="Q",Z7*参数调整!$H$13/($X$31*$J$18),Z7*参数调整!$H$14/($X$32*$J$18))))</f>
        <v>0</v>
      </c>
      <c r="W33" s="69"/>
      <c r="X33" s="69"/>
      <c r="Y33" s="89">
        <f t="shared" si="11"/>
        <v>1.4617718232246</v>
      </c>
      <c r="Z33" s="69"/>
      <c r="AI33" s="111"/>
      <c r="AJ33" s="112"/>
      <c r="AK33" s="122"/>
      <c r="AL33" s="123"/>
      <c r="AM33" s="124"/>
      <c r="AN33" s="113"/>
      <c r="AO33" s="48"/>
      <c r="AP33" s="48"/>
    </row>
    <row r="34" spans="1:42">
      <c r="A34" s="54">
        <v>0.093</v>
      </c>
      <c r="B34" s="89">
        <f>((AA3*参数调整!H11/A34)-第三季度!W29*$J$18*0.536537*0.46055126-第四季度!W29*$J$18*0.536537)/$J$18</f>
        <v>146640.438789718</v>
      </c>
      <c r="J34" s="89" t="str">
        <f t="shared" si="9"/>
        <v>Q</v>
      </c>
      <c r="K34" s="89">
        <f>第五季度!W8-第六季度!Q8+第六季度!R8</f>
        <v>122</v>
      </c>
      <c r="L34" s="89"/>
      <c r="M34" s="89"/>
      <c r="N34" s="89"/>
      <c r="O34" s="89"/>
      <c r="P34" s="89"/>
      <c r="R34" s="89">
        <f>IF(J34="S",K34*100/(SUM(第五季度!$R$18:$X$18)-$Q$29),IF(J34="B",K34*100/(SUM(第五季度!$R$19:$X$19)-$Q$30),IF(J34="Q",K34*100/(SUM(第五季度!$R$20:$X$20)-$Q$31),IF(第一季度!$R$22=0,K34*100/(SUM(第五季度!$R$21:$X$21)-$Q$32)))))</f>
        <v>2.35794356397371</v>
      </c>
      <c r="S34" s="89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-0.0042344493904285</v>
      </c>
      <c r="T34" s="54">
        <v>0.24</v>
      </c>
      <c r="U34" s="89">
        <f t="shared" si="10"/>
        <v>2.11370911458329</v>
      </c>
      <c r="V34" s="89">
        <f>IF(J34="S",Z8*参数调整!$H$11/($X$29*$J$18),IF(J34="B",Z8*参数调整!$H$12/($X$30*$J$18),IF(J34="Q",Z8*参数调整!$H$13/($X$31*$J$18),Z8*参数调整!$H$14/($X$32*$J$18))))</f>
        <v>0.59286104239544</v>
      </c>
      <c r="W34" s="69"/>
      <c r="X34" s="69"/>
      <c r="Y34" s="89">
        <f t="shared" si="11"/>
        <v>2.70657015697873</v>
      </c>
      <c r="Z34" s="69"/>
      <c r="AI34" s="111"/>
      <c r="AJ34" s="112"/>
      <c r="AK34" s="122"/>
      <c r="AL34" s="119" t="s">
        <v>178</v>
      </c>
      <c r="AM34" s="120">
        <v>0</v>
      </c>
      <c r="AN34" s="70">
        <f>参数调整!F14*AM34*参数调整!$B$30</f>
        <v>0</v>
      </c>
      <c r="AO34" s="48"/>
      <c r="AP34" s="48"/>
    </row>
    <row r="35" spans="1:42">
      <c r="A35" s="54">
        <v>0.0221</v>
      </c>
      <c r="B35" s="89">
        <f>((AA4*参数调整!H12/A35)-第三季度!W30*$J$18*0.536537*0.46055126-第四季度!W30*$J$18*0.536537)/$J$18</f>
        <v>1133369.89400619</v>
      </c>
      <c r="J35" s="89" t="str">
        <f t="shared" si="9"/>
        <v>Q</v>
      </c>
      <c r="K35" s="89">
        <f>第五季度!W9-第六季度!Q9+第六季度!R9</f>
        <v>102</v>
      </c>
      <c r="L35" s="89"/>
      <c r="M35" s="89"/>
      <c r="N35" s="89"/>
      <c r="O35" s="89"/>
      <c r="P35" s="89"/>
      <c r="R35" s="89">
        <f>IF(J35="S",K35*100/(SUM(第五季度!$R$18:$X$18)-$Q$29),IF(J35="B",K35*100/(SUM(第五季度!$R$19:$X$19)-$Q$30),IF(J35="Q",K35*100/(SUM(第五季度!$R$20:$X$20)-$Q$31),IF(第一季度!$R$22=0,K35*100/(SUM(第五季度!$R$21:$X$21)-$Q$32)))))</f>
        <v>1.97139543873212</v>
      </c>
      <c r="S35" s="89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-0.00245707086004524</v>
      </c>
      <c r="T35" s="54">
        <v>0</v>
      </c>
      <c r="U35" s="89">
        <f t="shared" si="10"/>
        <v>1.96893836787208</v>
      </c>
      <c r="V35" s="89">
        <f>IF(J35="S",Z9*参数调整!$H$11/($X$29*$J$18),IF(J35="B",Z9*参数调整!$H$12/($X$30*$J$18),IF(J35="Q",Z9*参数调整!$H$13/($X$31*$J$18),Z9*参数调整!$H$14/($X$32*$J$18))))</f>
        <v>0.0531521513263364</v>
      </c>
      <c r="W35" s="69"/>
      <c r="X35" s="69"/>
      <c r="Y35" s="89">
        <f t="shared" si="11"/>
        <v>2.02209051919841</v>
      </c>
      <c r="Z35" s="69"/>
      <c r="AI35" s="111"/>
      <c r="AJ35" s="113"/>
      <c r="AK35" s="125"/>
      <c r="AL35" s="123"/>
      <c r="AM35" s="124"/>
      <c r="AN35" s="113"/>
      <c r="AO35" s="31" t="s">
        <v>268</v>
      </c>
      <c r="AP35" s="31" t="s">
        <v>269</v>
      </c>
    </row>
    <row r="36" spans="1:42">
      <c r="A36" s="54">
        <v>0.2892</v>
      </c>
      <c r="B36" s="89">
        <f>((AA5*参数调整!H13/A36)-第三季度!W31*$J$18*0.536537*0.46055126-第四季度!W31*$J$18*0.536537)/$J$18</f>
        <v>47199.9350959513</v>
      </c>
      <c r="D36" s="29" t="s">
        <v>270</v>
      </c>
      <c r="E36" s="30" t="s">
        <v>271</v>
      </c>
      <c r="J36" s="89" t="str">
        <f t="shared" si="9"/>
        <v>L</v>
      </c>
      <c r="K36" s="89">
        <f>第五季度!W10-第六季度!Q10+第六季度!R10</f>
        <v>197</v>
      </c>
      <c r="L36" s="89"/>
      <c r="M36" s="89"/>
      <c r="N36" s="89"/>
      <c r="O36" s="89"/>
      <c r="P36" s="89"/>
      <c r="R36" s="89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</v>
      </c>
      <c r="S36" s="89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-0.00574745258110446</v>
      </c>
      <c r="T36" s="54">
        <v>0.06</v>
      </c>
      <c r="U36" s="89">
        <f t="shared" si="10"/>
        <v>3.32146025030748</v>
      </c>
      <c r="V36" s="89">
        <f>IF(J36="S",Z10*参数调整!$H$11/($X$29*$J$18),IF(J36="B",Z10*参数调整!$H$12/($X$30*$J$18),IF(J36="Q",Z10*参数调整!$H$13/($X$31*$J$18),Z10*参数调整!$H$14/($X$32*$J$18))))</f>
        <v>0.336387401088924</v>
      </c>
      <c r="W36" s="69"/>
      <c r="X36" s="69"/>
      <c r="Y36" s="89">
        <f t="shared" si="11"/>
        <v>3.6578476513964</v>
      </c>
      <c r="Z36" s="69"/>
      <c r="AI36" s="126"/>
      <c r="AJ36" s="104" t="s">
        <v>263</v>
      </c>
      <c r="AK36" s="106"/>
      <c r="AL36" s="106"/>
      <c r="AM36" s="52"/>
      <c r="AN36" s="121">
        <f>AN2-SUM(AN5:AN19)+SUM(AN20:AN26)-SUM(AN27:AN35)+AO36*(1-参数调整!B23)+AP36*(1-参数调整!B24)-第三季度!AG4</f>
        <v>17801.65</v>
      </c>
      <c r="AO36" s="54">
        <v>0</v>
      </c>
      <c r="AP36" s="54">
        <v>0</v>
      </c>
    </row>
    <row r="37" spans="1:42">
      <c r="A37" s="54">
        <v>0.0137</v>
      </c>
      <c r="B37" s="89">
        <f>((AA6*参数调整!H14/A37)-第三季度!W32*$J$18*0.536537*0.46055126-第四季度!W32*$J$18*0.536537)/$J$18</f>
        <v>67025.243534652</v>
      </c>
      <c r="D37" s="29"/>
      <c r="E37" s="30"/>
      <c r="J37" s="89">
        <f t="shared" si="9"/>
        <v>0</v>
      </c>
      <c r="K37" s="89">
        <f>第五季度!W11-第六季度!Q11+第六季度!R11</f>
        <v>0</v>
      </c>
      <c r="L37" s="89"/>
      <c r="M37" s="89"/>
      <c r="N37" s="89"/>
      <c r="O37" s="89"/>
      <c r="P37" s="89"/>
      <c r="R37" s="89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89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54">
        <v>0</v>
      </c>
      <c r="U37" s="89">
        <f t="shared" si="10"/>
        <v>0</v>
      </c>
      <c r="V37" s="89">
        <f>IF(J37="S",Z11*参数调整!$H$11/($X$29*$J$18),IF(J37="B",Z11*参数调整!$H$12/($X$30*$J$18),IF(J37="Q",Z11*参数调整!$H$13/($X$31*$J$18),Z11*参数调整!$H$14/($X$32*$J$18))))</f>
        <v>0</v>
      </c>
      <c r="Y37" s="89">
        <f t="shared" si="11"/>
        <v>0</v>
      </c>
      <c r="AI37" s="127" t="s">
        <v>341</v>
      </c>
      <c r="AJ37" s="104" t="s">
        <v>274</v>
      </c>
      <c r="AK37" s="106"/>
      <c r="AL37" s="106"/>
      <c r="AM37" s="52"/>
      <c r="AN37" s="43">
        <f>AO3-AO36</f>
        <v>332402.85</v>
      </c>
      <c r="AO37" s="48"/>
      <c r="AP37" s="48"/>
    </row>
    <row r="38" spans="4:42">
      <c r="D38" s="69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48">
        <f>第五季度!G3+第五季度!H3+第五季度!E38-第五季度!B3</f>
        <v>0</v>
      </c>
      <c r="J38" s="89">
        <f t="shared" si="9"/>
        <v>0</v>
      </c>
      <c r="K38" s="89">
        <f>第五季度!W12-第六季度!Q12+第六季度!R12</f>
        <v>0</v>
      </c>
      <c r="L38" s="89"/>
      <c r="M38" s="89"/>
      <c r="N38" s="89"/>
      <c r="O38" s="89"/>
      <c r="P38" s="89"/>
      <c r="R38" s="89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89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54">
        <v>0</v>
      </c>
      <c r="U38" s="89">
        <f t="shared" si="10"/>
        <v>0</v>
      </c>
      <c r="V38" s="89">
        <f>IF(J38="S",Z12*参数调整!$H$11/($X$29*$J$18),IF(J38="B",Z12*参数调整!$H$12/($X$30*$J$18),IF(J38="Q",Z12*参数调整!$H$13/($X$31*$J$18),Z12*参数调整!$H$14/($X$32*$J$18))))</f>
        <v>0</v>
      </c>
      <c r="Y38" s="89">
        <f t="shared" si="11"/>
        <v>0</v>
      </c>
      <c r="AI38" s="128"/>
      <c r="AJ38" s="104" t="s">
        <v>275</v>
      </c>
      <c r="AK38" s="106"/>
      <c r="AL38" s="106"/>
      <c r="AM38" s="52"/>
      <c r="AN38" s="43">
        <f>(G3*D3*E3+G4*D4*E4+G5*D5*1.5*E5+G6*D6*E6+G7*E7*D7+G8*E8*D8+G9*E9*D9+G10*E10*D10+G11*E11*D11+G12*E12*D12+G13*E13*D13*1.5+G14*E14*D14*1.5+G15*E15*D15*1.5+G16*E16*D16*1.5)*(1+参数调整!B6)</f>
        <v>79613.118</v>
      </c>
      <c r="AO38" s="48"/>
      <c r="AP38" s="48"/>
    </row>
    <row r="39" spans="4:42">
      <c r="D39" s="69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83</v>
      </c>
      <c r="E39" s="48">
        <f>第五季度!G4+第五季度!H4+第五季度!E39-第五季度!B4</f>
        <v>0</v>
      </c>
      <c r="J39" s="89">
        <f t="shared" si="9"/>
        <v>0</v>
      </c>
      <c r="K39" s="89">
        <f>第五季度!W13-第六季度!Q13+第六季度!R13</f>
        <v>0</v>
      </c>
      <c r="L39" s="89"/>
      <c r="M39" s="89"/>
      <c r="N39" s="89"/>
      <c r="O39" s="89"/>
      <c r="P39" s="89"/>
      <c r="R39" s="89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89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54">
        <v>0</v>
      </c>
      <c r="U39" s="89">
        <f t="shared" si="10"/>
        <v>0</v>
      </c>
      <c r="V39" s="89">
        <f>IF(J39="S",Z13*参数调整!$H$11/($X$29*$J$18),IF(J39="B",Z13*参数调整!$H$12/($X$30*$J$18),IF(J39="Q",Z13*参数调整!$H$13/($X$31*$J$18),Z13*参数调整!$H$14/($X$32*$J$18))))</f>
        <v>0</v>
      </c>
      <c r="Y39" s="89">
        <f t="shared" si="11"/>
        <v>0</v>
      </c>
      <c r="AI39" s="128"/>
      <c r="AJ39" s="104" t="s">
        <v>276</v>
      </c>
      <c r="AK39" s="106"/>
      <c r="AL39" s="106"/>
      <c r="AM39" s="52"/>
      <c r="AN39" s="43">
        <f>H5*D40*(1+参数调整!B6)+H13*D48*(1+参数调整!B6)+H14*D49*(1+参数调整!B6)+H15*D50*(1+参数调整!B6)+H16*D51*(1+参数调整!B6)</f>
        <v>0</v>
      </c>
      <c r="AO39" s="48"/>
      <c r="AP39" s="48"/>
    </row>
    <row r="40" spans="4:42">
      <c r="D40" s="69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116</v>
      </c>
      <c r="E40" s="48">
        <f>第五季度!G5+第五季度!H5+第五季度!E40-第五季度!B5</f>
        <v>106</v>
      </c>
      <c r="J40" s="89">
        <f t="shared" si="9"/>
        <v>0</v>
      </c>
      <c r="K40" s="89">
        <f>第五季度!W14-第六季度!Q14+第六季度!R14</f>
        <v>0</v>
      </c>
      <c r="L40" s="89"/>
      <c r="M40" s="89"/>
      <c r="N40" s="89"/>
      <c r="O40" s="89"/>
      <c r="P40" s="89"/>
      <c r="R40" s="89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89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54">
        <v>0</v>
      </c>
      <c r="U40" s="89">
        <f t="shared" si="10"/>
        <v>0</v>
      </c>
      <c r="V40" s="89">
        <f>IF(J40="S",Z14*参数调整!$H$11/($X$29*$J$18),IF(J40="B",Z14*参数调整!$H$12/($X$30*$J$18),IF(J40="Q",Z14*参数调整!$H$13/($X$31*$J$18),Z14*参数调整!$H$14/($X$32*$J$18))))</f>
        <v>0</v>
      </c>
      <c r="Y40" s="89">
        <f t="shared" si="11"/>
        <v>0</v>
      </c>
      <c r="AI40" s="128"/>
      <c r="AJ40" s="104" t="s">
        <v>8</v>
      </c>
      <c r="AK40" s="106"/>
      <c r="AL40" s="106"/>
      <c r="AM40" s="52"/>
      <c r="AN40" s="43">
        <v>10000</v>
      </c>
      <c r="AO40" s="48"/>
      <c r="AP40" s="48"/>
    </row>
    <row r="41" spans="1:42">
      <c r="A41" s="89" t="s">
        <v>293</v>
      </c>
      <c r="B41" s="69"/>
      <c r="C41" s="69"/>
      <c r="D41" s="69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8</v>
      </c>
      <c r="E41" s="48">
        <f>第五季度!G6+第五季度!H6+第五季度!E41-第五季度!B6</f>
        <v>0</v>
      </c>
      <c r="AI41" s="128"/>
      <c r="AJ41" s="104" t="s">
        <v>277</v>
      </c>
      <c r="AK41" s="106"/>
      <c r="AL41" s="106"/>
      <c r="AM41" s="52"/>
      <c r="AN41" s="43">
        <f>(AN2+AO3+AP3-AK2)*参数调整!B6/(1+参数调整!B6)-(F3+F4+F5*1.5+F6+F7+F8+F9+F10+F11+F12+F13*1.5+F14*1.5+F15*1.5+F16*1.5+第五季度!AN39)/(1+参数调整!B6)*参数调整!B6</f>
        <v>75834.7850598291</v>
      </c>
      <c r="AO41" s="48"/>
      <c r="AP41" s="48"/>
    </row>
    <row r="42" spans="1:42">
      <c r="A42" s="90">
        <f>ROUNDUP(IF(J3="S",W3*$R$18/SUM($R$18:$X$18),IF(J3="B",W3*$R$19/SUM($R$19:$X$19),IF(J3="Q",W3*$R$20/SUM($R$20:$X$20),W3*$R$21/SUM($R$21:$X$21)))),1)</f>
        <v>7.9</v>
      </c>
      <c r="B42" s="91">
        <f>ROUNDUP(IF(J3="S",W3*$S$18/SUM($R$18:$X$18),IF(J3="B",W3*$S$19/SUM($R$19:$X$19),IF(J3="Q",W3*$S$20/SUM($R$20:$X$20),W3*$S$21/SUM($R$21:$X$21)))),1)</f>
        <v>6.2</v>
      </c>
      <c r="C42" s="91"/>
      <c r="D42" s="92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17</v>
      </c>
      <c r="E42" s="93">
        <f>第五季度!G7+第五季度!H7+第五季度!E42-第五季度!B7</f>
        <v>0</v>
      </c>
      <c r="F42" s="91"/>
      <c r="G42" s="91">
        <f>ROUNDUP(IF(J3="S",W3*$T$18/SUM($R$18:$X$18),IF(J3="B",W3*$T$19/SUM($R$19:$X$19),IF(J3="Q",W3*$T$20/SUM($R$20:$X$20),W3*$T$21/SUM($R$21:$X$21)))),1)</f>
        <v>6.2</v>
      </c>
      <c r="H42" s="91">
        <f>ROUNDUP(IF(J3="S",W3*$U$18/SUM($R$18:$X$18),IF(J3="B",W3*$U$19/SUM($R$19:$X$19),IF(J3="Q",W3*$U$20/SUM($R$20:$X$20),W3*$U$21/SUM($R$21:$X$21)))),1)</f>
        <v>8.3</v>
      </c>
      <c r="I42" s="91">
        <f>ROUNDUP(IF(J3="S",W3*$V$18/SUM($R$18:$X$18),IF(J3="B",W3*$V$19/SUM($R$19:$X$19),IF(J3="Q",W3*$V$20/SUM($R$20:$X$20),W3*$V$21/SUM($R$21:$X$21)))),1)</f>
        <v>10</v>
      </c>
      <c r="J42" s="97">
        <f>ROUNDUP(IF(J3="S",W3*$W$18/SUM($R$18:$X$18),IF(J3="B",W3*$W$19/SUM($R$19:$X$19),IF(J3="Q",W3*$W$20/SUM($R$20:$X$20),W3*$W$21/SUM($R$21:$X$21)))),1)</f>
        <v>10.4</v>
      </c>
      <c r="K42" s="91">
        <f>ROUNDUP(IF(J3="S",W3*$X$18/SUM($R$18:$X$18),IF(J3="B",W3*$X$19/SUM($R$19:$X$19),IF(J3="Q",W3*$X$20/SUM($R$20:$X$20),W3*$X$21/SUM($R$21:$X$21)))),1)</f>
        <v>10.4</v>
      </c>
      <c r="Q42" s="103">
        <f>W3-TRUNC(A42)-TRUNC(B42)-TRUNC(G42)-TRUNC(H42)-TRUNC(I42)-TRUNC(J42)-TRUNC(K42)</f>
        <v>2</v>
      </c>
      <c r="AI42" s="128"/>
      <c r="AJ42" s="104" t="s">
        <v>278</v>
      </c>
      <c r="AK42" s="106"/>
      <c r="AL42" s="106"/>
      <c r="AM42" s="52"/>
      <c r="AN42" s="43">
        <f>AN41*(参数调整!$B$7+参数调整!$B$8+参数调整!$B$9)</f>
        <v>9100.17420717949</v>
      </c>
      <c r="AO42" s="48"/>
      <c r="AP42" s="48"/>
    </row>
    <row r="43" spans="1:42">
      <c r="A43" s="91">
        <f t="shared" ref="A43:A53" si="12">ROUNDUP(IF(J4="S",W4*$R$18/SUM($R$18:$X$18),IF(J4="B",W4*$R$19/SUM($R$19:$X$19),IF(J4="Q",W4*$R$20/SUM($R$20:$X$20),W4*$R$21/SUM($R$21:$X$21)))),1)</f>
        <v>13.3</v>
      </c>
      <c r="B43" s="90">
        <f t="shared" ref="B43:B53" si="13">ROUNDUP(IF(J4="S",W4*$S$18/SUM($R$18:$X$18),IF(J4="B",W4*$S$19/SUM($R$19:$X$19),IF(J4="Q",W4*$S$20/SUM($R$20:$X$20),W4*$S$21/SUM($R$21:$X$21)))),1)</f>
        <v>10.5</v>
      </c>
      <c r="C43" s="91"/>
      <c r="D43" s="92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40</v>
      </c>
      <c r="E43" s="93">
        <f>第五季度!G8+第五季度!H8+第五季度!E43-第五季度!B8</f>
        <v>0</v>
      </c>
      <c r="F43" s="91"/>
      <c r="G43" s="90">
        <f t="shared" ref="G43:G53" si="14">ROUNDUP(IF(J4="S",W4*$T$18/SUM($R$18:$X$18),IF(J4="B",W4*$T$19/SUM($R$19:$X$19),IF(J4="Q",W4*$T$20/SUM($R$20:$X$20),W4*$T$21/SUM($R$21:$X$21)))),1)</f>
        <v>10.5</v>
      </c>
      <c r="H43" s="91">
        <f t="shared" ref="H43:H53" si="15">ROUNDUP(IF(J4="S",W4*$U$18/SUM($R$18:$X$18),IF(J4="B",W4*$U$19/SUM($R$19:$X$19),IF(J4="Q",W4*$U$20/SUM($R$20:$X$20),W4*$U$21/SUM($R$21:$X$21)))),1)</f>
        <v>14</v>
      </c>
      <c r="I43" s="90">
        <f t="shared" ref="I43:I53" si="16">ROUNDUP(IF(J4="S",W4*$V$18/SUM($R$18:$X$18),IF(J4="B",W4*$V$19/SUM($R$19:$X$19),IF(J4="Q",W4*$V$20/SUM($R$20:$X$20),W4*$V$21/SUM($R$21:$X$21)))),1)</f>
        <v>16.8</v>
      </c>
      <c r="J43" s="98">
        <f t="shared" ref="J43:J53" si="17">ROUNDUP(IF(J4="S",W4*$W$18/SUM($R$18:$X$18),IF(J4="B",W4*$W$19/SUM($R$19:$X$19),IF(J4="Q",W4*$W$20/SUM($R$20:$X$20),W4*$W$21/SUM($R$21:$X$21)))),1)</f>
        <v>17.5</v>
      </c>
      <c r="K43" s="91">
        <f t="shared" ref="K43:K53" si="18">ROUNDUP(IF(J4="S",W4*$X$18/SUM($R$18:$X$18),IF(J4="B",W4*$X$19/SUM($R$19:$X$19),IF(J4="Q",W4*$X$20/SUM($R$20:$X$20),W4*$X$21/SUM($R$21:$X$21)))),1)</f>
        <v>17.5</v>
      </c>
      <c r="Q43" s="103">
        <f t="shared" ref="Q43:Q53" si="19">W4-TRUNC(A43)-TRUNC(B43)-TRUNC(G43)-TRUNC(H43)-TRUNC(I43)-TRUNC(J43)-TRUNC(K43)</f>
        <v>3</v>
      </c>
      <c r="AI43" s="128"/>
      <c r="AJ43" s="104" t="s">
        <v>279</v>
      </c>
      <c r="AK43" s="106"/>
      <c r="AL43" s="106"/>
      <c r="AM43" s="52"/>
      <c r="AN43" s="43">
        <v>25812.72</v>
      </c>
      <c r="AO43" s="48"/>
      <c r="AP43" s="48"/>
    </row>
    <row r="44" spans="1:42">
      <c r="A44" s="90">
        <f t="shared" si="12"/>
        <v>7.9</v>
      </c>
      <c r="B44" s="90">
        <f t="shared" si="13"/>
        <v>7.9</v>
      </c>
      <c r="C44" s="91"/>
      <c r="D44" s="92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93">
        <f>第五季度!G9+第五季度!H9+第五季度!E44-第五季度!B9</f>
        <v>0</v>
      </c>
      <c r="F44" s="91"/>
      <c r="G44" s="91">
        <f t="shared" si="14"/>
        <v>9.5</v>
      </c>
      <c r="H44" s="90">
        <f t="shared" si="15"/>
        <v>9.9</v>
      </c>
      <c r="I44" s="90">
        <f t="shared" si="16"/>
        <v>9.9</v>
      </c>
      <c r="J44" s="98">
        <f t="shared" si="17"/>
        <v>13.4</v>
      </c>
      <c r="K44" s="90">
        <f t="shared" si="18"/>
        <v>11.8</v>
      </c>
      <c r="Q44" s="103">
        <f t="shared" si="19"/>
        <v>5</v>
      </c>
      <c r="AI44" s="129"/>
      <c r="AJ44" s="104" t="s">
        <v>263</v>
      </c>
      <c r="AK44" s="106"/>
      <c r="AL44" s="106"/>
      <c r="AM44" s="52"/>
      <c r="AN44" s="121">
        <f>AN36+AN37-SUM(AN38:AN43)</f>
        <v>149843.702732991</v>
      </c>
      <c r="AO44" s="48"/>
      <c r="AP44" s="48"/>
    </row>
    <row r="45" spans="1:17">
      <c r="A45" s="91">
        <f t="shared" si="12"/>
        <v>11.2</v>
      </c>
      <c r="B45" s="91">
        <f t="shared" si="13"/>
        <v>11.2</v>
      </c>
      <c r="C45" s="91"/>
      <c r="D45" s="92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78</v>
      </c>
      <c r="E45" s="93">
        <f>第五季度!G10+第五季度!H10+第五季度!E45-第五季度!B10</f>
        <v>0</v>
      </c>
      <c r="F45" s="91"/>
      <c r="G45" s="91">
        <f t="shared" si="14"/>
        <v>13.4</v>
      </c>
      <c r="H45" s="91">
        <f t="shared" si="15"/>
        <v>14</v>
      </c>
      <c r="I45" s="91">
        <f t="shared" si="16"/>
        <v>14</v>
      </c>
      <c r="J45" s="98">
        <f t="shared" si="17"/>
        <v>19</v>
      </c>
      <c r="K45" s="90">
        <f t="shared" si="18"/>
        <v>16.7</v>
      </c>
      <c r="Q45" s="103">
        <f t="shared" si="19"/>
        <v>1</v>
      </c>
    </row>
    <row r="46" spans="1:17">
      <c r="A46" s="90">
        <f t="shared" si="12"/>
        <v>5.9</v>
      </c>
      <c r="B46" s="90">
        <f t="shared" si="13"/>
        <v>5.9</v>
      </c>
      <c r="C46" s="91"/>
      <c r="D46" s="92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116</v>
      </c>
      <c r="E46" s="93">
        <f>第五季度!G11+第五季度!H11+第五季度!E46-第五季度!B11</f>
        <v>0</v>
      </c>
      <c r="F46" s="91"/>
      <c r="G46" s="91">
        <f t="shared" si="14"/>
        <v>7.1</v>
      </c>
      <c r="H46" s="91">
        <f t="shared" si="15"/>
        <v>7.4</v>
      </c>
      <c r="I46" s="91">
        <f t="shared" si="16"/>
        <v>7.4</v>
      </c>
      <c r="J46" s="98">
        <f t="shared" si="17"/>
        <v>10</v>
      </c>
      <c r="K46" s="90">
        <f t="shared" si="18"/>
        <v>8.8</v>
      </c>
      <c r="Q46" s="103">
        <f t="shared" si="19"/>
        <v>3</v>
      </c>
    </row>
    <row r="47" spans="1:17">
      <c r="A47" s="90">
        <f t="shared" si="12"/>
        <v>13.8</v>
      </c>
      <c r="B47" s="90">
        <f t="shared" si="13"/>
        <v>13.8</v>
      </c>
      <c r="C47" s="91"/>
      <c r="D47" s="92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93">
        <f>第五季度!G12+第五季度!H12+第五季度!E47-第五季度!B12</f>
        <v>0</v>
      </c>
      <c r="F47" s="91"/>
      <c r="G47" s="90">
        <f t="shared" si="14"/>
        <v>13.8</v>
      </c>
      <c r="H47" s="90">
        <f t="shared" si="15"/>
        <v>18.8</v>
      </c>
      <c r="I47" s="91">
        <f t="shared" si="16"/>
        <v>16.6</v>
      </c>
      <c r="J47" s="98">
        <f t="shared" si="17"/>
        <v>19.3</v>
      </c>
      <c r="K47" s="91">
        <f t="shared" si="18"/>
        <v>19.3</v>
      </c>
      <c r="Q47" s="103">
        <f t="shared" si="19"/>
        <v>4</v>
      </c>
    </row>
    <row r="48" spans="1:17">
      <c r="A48" s="90">
        <f t="shared" si="12"/>
        <v>9.9</v>
      </c>
      <c r="B48" s="90">
        <f t="shared" si="13"/>
        <v>9.9</v>
      </c>
      <c r="C48" s="91"/>
      <c r="D48" s="92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93">
        <f>第五季度!G13+第五季度!H13+第五季度!E48-第五季度!B13</f>
        <v>316</v>
      </c>
      <c r="F48" s="91"/>
      <c r="G48" s="90">
        <f t="shared" si="14"/>
        <v>9.9</v>
      </c>
      <c r="H48" s="91">
        <f t="shared" si="15"/>
        <v>13.4</v>
      </c>
      <c r="I48" s="91">
        <f t="shared" si="16"/>
        <v>11.8</v>
      </c>
      <c r="J48" s="97">
        <f t="shared" si="17"/>
        <v>13.8</v>
      </c>
      <c r="K48" s="90">
        <f t="shared" si="18"/>
        <v>13.8</v>
      </c>
      <c r="Q48" s="103">
        <f t="shared" si="19"/>
        <v>5</v>
      </c>
    </row>
    <row r="49" spans="1:17">
      <c r="A49" s="91">
        <f t="shared" si="12"/>
        <v>20.1</v>
      </c>
      <c r="B49" s="91">
        <f t="shared" si="13"/>
        <v>20.1</v>
      </c>
      <c r="C49" s="91"/>
      <c r="D49" s="92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93">
        <f>第五季度!G14+第五季度!H14+第五季度!E49-第五季度!B14</f>
        <v>0</v>
      </c>
      <c r="F49" s="91"/>
      <c r="G49" s="91">
        <f t="shared" si="14"/>
        <v>20.1</v>
      </c>
      <c r="H49" s="91">
        <f t="shared" si="15"/>
        <v>23.4</v>
      </c>
      <c r="I49" s="90">
        <f t="shared" si="16"/>
        <v>23.4</v>
      </c>
      <c r="J49" s="97">
        <f t="shared" si="17"/>
        <v>26.8</v>
      </c>
      <c r="K49" s="91">
        <f t="shared" si="18"/>
        <v>29.4</v>
      </c>
      <c r="Q49" s="103">
        <f t="shared" si="19"/>
        <v>2</v>
      </c>
    </row>
    <row r="50" spans="1:17">
      <c r="A50" s="91">
        <f t="shared" si="12"/>
        <v>0</v>
      </c>
      <c r="B50" s="91">
        <f t="shared" si="13"/>
        <v>0</v>
      </c>
      <c r="C50" s="91"/>
      <c r="D50" s="69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48">
        <f>第五季度!G15+第五季度!H15+第五季度!E50-第五季度!B15</f>
        <v>106</v>
      </c>
      <c r="F50" s="91"/>
      <c r="G50" s="91">
        <f t="shared" si="14"/>
        <v>0</v>
      </c>
      <c r="H50" s="91">
        <f t="shared" si="15"/>
        <v>0</v>
      </c>
      <c r="I50" s="91">
        <f t="shared" si="16"/>
        <v>0</v>
      </c>
      <c r="J50" s="98">
        <f t="shared" si="17"/>
        <v>0</v>
      </c>
      <c r="K50" s="91">
        <f t="shared" si="18"/>
        <v>0</v>
      </c>
      <c r="Q50" s="103">
        <f t="shared" si="19"/>
        <v>0</v>
      </c>
    </row>
    <row r="51" spans="1:17">
      <c r="A51" s="91">
        <f t="shared" si="12"/>
        <v>0</v>
      </c>
      <c r="B51" s="91">
        <f t="shared" si="13"/>
        <v>0</v>
      </c>
      <c r="C51" s="91"/>
      <c r="D51" s="69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48">
        <f>第五季度!G16+第五季度!H16+第五季度!E51-第五季度!B16</f>
        <v>0</v>
      </c>
      <c r="F51" s="91"/>
      <c r="G51" s="91">
        <f t="shared" si="14"/>
        <v>0</v>
      </c>
      <c r="H51" s="91">
        <f t="shared" si="15"/>
        <v>0</v>
      </c>
      <c r="I51" s="91">
        <f t="shared" si="16"/>
        <v>0</v>
      </c>
      <c r="J51" s="98">
        <f t="shared" si="17"/>
        <v>0</v>
      </c>
      <c r="K51" s="91">
        <f t="shared" si="18"/>
        <v>0</v>
      </c>
      <c r="Q51" s="103">
        <f t="shared" si="19"/>
        <v>0</v>
      </c>
    </row>
    <row r="52" spans="1:17">
      <c r="A52" s="91">
        <f t="shared" si="12"/>
        <v>0</v>
      </c>
      <c r="B52" s="91">
        <f t="shared" si="13"/>
        <v>0</v>
      </c>
      <c r="C52" s="91"/>
      <c r="D52" s="93"/>
      <c r="E52" s="93"/>
      <c r="F52" s="91"/>
      <c r="G52" s="91">
        <f t="shared" si="14"/>
        <v>0</v>
      </c>
      <c r="H52" s="91">
        <f t="shared" si="15"/>
        <v>0</v>
      </c>
      <c r="I52" s="91">
        <f t="shared" si="16"/>
        <v>0</v>
      </c>
      <c r="J52" s="98">
        <f t="shared" si="17"/>
        <v>0</v>
      </c>
      <c r="K52" s="91">
        <f t="shared" si="18"/>
        <v>0</v>
      </c>
      <c r="Q52" s="103">
        <f t="shared" si="19"/>
        <v>0</v>
      </c>
    </row>
    <row r="53" spans="1:17">
      <c r="A53" s="91">
        <f t="shared" si="12"/>
        <v>0</v>
      </c>
      <c r="B53" s="91">
        <f t="shared" si="13"/>
        <v>0</v>
      </c>
      <c r="C53" s="91"/>
      <c r="D53" s="93"/>
      <c r="E53" s="93"/>
      <c r="F53" s="91"/>
      <c r="G53" s="91">
        <f t="shared" si="14"/>
        <v>0</v>
      </c>
      <c r="H53" s="91">
        <f t="shared" si="15"/>
        <v>0</v>
      </c>
      <c r="I53" s="91">
        <f t="shared" si="16"/>
        <v>0</v>
      </c>
      <c r="J53" s="98">
        <f t="shared" si="17"/>
        <v>0</v>
      </c>
      <c r="K53" s="91">
        <f t="shared" si="18"/>
        <v>0</v>
      </c>
      <c r="Q53" s="103">
        <f t="shared" si="19"/>
        <v>0</v>
      </c>
    </row>
  </sheetData>
  <mergeCells count="75">
    <mergeCell ref="AD2:AG2"/>
    <mergeCell ref="AD3:AF3"/>
    <mergeCell ref="AD4:AF4"/>
    <mergeCell ref="AJ4:AL4"/>
    <mergeCell ref="AO4:AP4"/>
    <mergeCell ref="AK12:AL12"/>
    <mergeCell ref="AD15:AE15"/>
    <mergeCell ref="AD16:AE16"/>
    <mergeCell ref="J17:K17"/>
    <mergeCell ref="AJ17:AL17"/>
    <mergeCell ref="A18:B18"/>
    <mergeCell ref="J21:K21"/>
    <mergeCell ref="AD23:AE23"/>
    <mergeCell ref="AD24:AE24"/>
    <mergeCell ref="AD25:AE25"/>
    <mergeCell ref="AD26:AE26"/>
    <mergeCell ref="AD27:AF27"/>
    <mergeCell ref="AJ27:AL27"/>
    <mergeCell ref="AD28:AF28"/>
    <mergeCell ref="AD29:AF29"/>
    <mergeCell ref="AD30:AF30"/>
    <mergeCell ref="AD31:AF31"/>
    <mergeCell ref="AJ36:AM36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I37:AI44"/>
    <mergeCell ref="AJ5:AJ16"/>
    <mergeCell ref="AJ28:AJ35"/>
    <mergeCell ref="AK2:AK3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J18:K20"/>
    <mergeCell ref="J22:K24"/>
    <mergeCell ref="AL2:AM3"/>
    <mergeCell ref="AI2:AJ3"/>
    <mergeCell ref="AJ18:AK19"/>
    <mergeCell ref="AJ20:AK23"/>
    <mergeCell ref="AO5:AP6"/>
    <mergeCell ref="AJ24:AK26"/>
  </mergeCells>
  <dataValidations count="4">
    <dataValidation type="list" allowBlank="1" showInputMessage="1" showErrorMessage="1" sqref="AE5:AE7">
      <formula1>"购买小厂房,购买中厂房,购买大厂房"</formula1>
    </dataValidation>
    <dataValidation type="list" allowBlank="1" showInputMessage="1" showErrorMessage="1" sqref="AF17:AF24">
      <formula1>"1,0"</formula1>
    </dataValidation>
    <dataValidation type="list" allowBlank="1" showInputMessage="1" showErrorMessage="1" sqref="AE8:AE10">
      <formula1>"租用小厂房,租用中厂房,租用大厂房"</formula1>
    </dataValidation>
    <dataValidation type="list" allowBlank="1" showInputMessage="1" showErrorMessage="1" sqref="AE11:AE14">
      <formula1>"手工线,半自动线,全自动线,柔性线"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B241"/>
  <sheetViews>
    <sheetView zoomScale="83" zoomScaleNormal="83" workbookViewId="0">
      <selection activeCell="G34" sqref="G34"/>
    </sheetView>
  </sheetViews>
  <sheetFormatPr defaultColWidth="9" defaultRowHeight="13.8"/>
  <cols>
    <col min="2" max="2" width="17.5555555555556" customWidth="1"/>
    <col min="3" max="3" width="14.3333333333333" customWidth="1"/>
    <col min="4" max="4" width="15.5555555555556" customWidth="1"/>
    <col min="5" max="5" width="17.5555555555556" customWidth="1"/>
    <col min="6" max="6" width="13.8888888888889" customWidth="1"/>
    <col min="7" max="7" width="14" customWidth="1"/>
    <col min="8" max="8" width="14.4444444444444" customWidth="1"/>
    <col min="9" max="9" width="13.6666666666667" customWidth="1"/>
    <col min="10" max="10" width="21.6666666666667" customWidth="1"/>
    <col min="12" max="12" width="14.7777777777778" customWidth="1"/>
    <col min="13" max="13" width="11.3333333333333" customWidth="1"/>
    <col min="14" max="14" width="16.6666666666667" customWidth="1"/>
    <col min="15" max="15" width="15.6666666666667" customWidth="1"/>
    <col min="16" max="16" width="18.1111111111111" customWidth="1"/>
    <col min="17" max="17" width="14.7777777777778" customWidth="1"/>
    <col min="18" max="18" width="19.4444444444444" customWidth="1"/>
    <col min="21" max="21" width="14.6666666666667" customWidth="1"/>
    <col min="22" max="22" width="15" customWidth="1"/>
    <col min="24" max="24" width="15.8888888888889" customWidth="1"/>
    <col min="26" max="26" width="19.4444444444444" customWidth="1"/>
    <col min="29" max="29" width="11.4444444444444" customWidth="1"/>
    <col min="30" max="30" width="16.6666666666667" customWidth="1"/>
  </cols>
  <sheetData>
    <row r="1" ht="36.15" spans="1:18">
      <c r="A1" s="1" t="s">
        <v>342</v>
      </c>
      <c r="B1" s="1"/>
      <c r="C1" s="1"/>
      <c r="D1" s="1"/>
      <c r="E1" s="1"/>
      <c r="F1" s="1"/>
      <c r="G1" s="1"/>
      <c r="H1" s="1"/>
      <c r="K1" s="28" t="s">
        <v>343</v>
      </c>
      <c r="L1" s="28"/>
      <c r="M1" s="28"/>
      <c r="N1" s="28"/>
      <c r="O1" s="28"/>
      <c r="P1" s="28"/>
      <c r="Q1" s="28"/>
      <c r="R1" s="28"/>
    </row>
    <row r="2" ht="27.6" spans="1:18">
      <c r="A2" s="2" t="s">
        <v>167</v>
      </c>
      <c r="B2" s="3" t="s">
        <v>344</v>
      </c>
      <c r="C2" s="3" t="s">
        <v>345</v>
      </c>
      <c r="D2" s="3" t="s">
        <v>346</v>
      </c>
      <c r="E2" s="4" t="s">
        <v>347</v>
      </c>
      <c r="F2" s="5"/>
      <c r="G2" s="6">
        <f>F19</f>
        <v>30311.4001421464</v>
      </c>
      <c r="H2" s="7"/>
      <c r="K2" s="29" t="s">
        <v>167</v>
      </c>
      <c r="L2" s="30" t="s">
        <v>344</v>
      </c>
      <c r="M2" s="30" t="s">
        <v>345</v>
      </c>
      <c r="N2" s="30" t="s">
        <v>346</v>
      </c>
      <c r="O2" s="31" t="s">
        <v>347</v>
      </c>
      <c r="P2" s="31"/>
      <c r="Q2" s="41">
        <f>P19</f>
        <v>159481.309381663</v>
      </c>
      <c r="R2" s="42"/>
    </row>
    <row r="3" spans="1:18">
      <c r="A3" s="2" t="s">
        <v>181</v>
      </c>
      <c r="B3" s="8">
        <f>第一季度!B3</f>
        <v>82</v>
      </c>
      <c r="C3" s="8">
        <f>SUMIF(第二季度!$L$3:$L$14,1,第二季度!$Q$3:$Q$14)</f>
        <v>4</v>
      </c>
      <c r="D3" s="2">
        <f>B3*第一季度!D3-C3*第一季度!D3/0.75</f>
        <v>3066.66666666667</v>
      </c>
      <c r="E3" s="9" t="s">
        <v>348</v>
      </c>
      <c r="F3" s="10" t="s">
        <v>349</v>
      </c>
      <c r="G3" s="8">
        <f>第一季度!AN2-第一季度!AK2</f>
        <v>22850.1</v>
      </c>
      <c r="H3" s="11">
        <f>G3/(1+参数调整!$B$6)</f>
        <v>19530</v>
      </c>
      <c r="K3" s="29" t="s">
        <v>181</v>
      </c>
      <c r="L3" s="29">
        <f>第二季度!B3</f>
        <v>472</v>
      </c>
      <c r="M3" s="29">
        <f>SUMIF(第三季度!$L$3:$L$14,1,第三季度!$Q$3:$Q$14)+第二季度!F38</f>
        <v>113</v>
      </c>
      <c r="N3" s="29">
        <f>L3*第一季度!D38-M3*第二季度!D3/0.9</f>
        <v>13870.3333333333</v>
      </c>
      <c r="O3" s="32" t="s">
        <v>348</v>
      </c>
      <c r="P3" s="31" t="s">
        <v>349</v>
      </c>
      <c r="Q3" s="43">
        <f>第二季度!AN2-第二季度!AK2</f>
        <v>112320</v>
      </c>
      <c r="R3" s="31">
        <f>Q3/(1+参数调整!$B$6)</f>
        <v>96000</v>
      </c>
    </row>
    <row r="4" spans="1:18">
      <c r="A4" s="2" t="s">
        <v>183</v>
      </c>
      <c r="B4" s="8">
        <f>第一季度!B4</f>
        <v>44</v>
      </c>
      <c r="C4" s="8">
        <f>SUMIF(第二季度!$L$3:$L$14,2,第二季度!$Q$3:$Q$14)</f>
        <v>2</v>
      </c>
      <c r="D4" s="2">
        <f>B4*第一季度!D4-C4*第一季度!D4/0.75</f>
        <v>3306.66666666667</v>
      </c>
      <c r="E4" s="9"/>
      <c r="F4" s="10" t="s">
        <v>350</v>
      </c>
      <c r="G4" s="8">
        <f>第一季度!AO3</f>
        <v>65449.8</v>
      </c>
      <c r="H4" s="11">
        <f>G4/(1+参数调整!$B$6)</f>
        <v>55940</v>
      </c>
      <c r="K4" s="29" t="s">
        <v>183</v>
      </c>
      <c r="L4" s="29">
        <f>第二季度!B4</f>
        <v>78</v>
      </c>
      <c r="M4" s="29">
        <f>SUMIF(第三季度!$L$3:$L$14,2,第三季度!$Q$3:$Q$14)+第二季度!F39</f>
        <v>8</v>
      </c>
      <c r="N4" s="29">
        <f>L4*第一季度!D39-M4*第二季度!D4/0.9</f>
        <v>5511.11111111111</v>
      </c>
      <c r="O4" s="33"/>
      <c r="P4" s="31" t="s">
        <v>350</v>
      </c>
      <c r="Q4" s="43">
        <f>第二季度!AO3</f>
        <v>140458.5</v>
      </c>
      <c r="R4" s="31">
        <f>Q4/(1+参数调整!$B$6)</f>
        <v>120050</v>
      </c>
    </row>
    <row r="5" spans="1:18">
      <c r="A5" s="2" t="s">
        <v>184</v>
      </c>
      <c r="B5" s="8">
        <f>第一季度!B5</f>
        <v>0</v>
      </c>
      <c r="C5" s="8">
        <f>SUMIF(第二季度!$L$3:$L$14,3,第二季度!$Q$3:$Q$14)</f>
        <v>0</v>
      </c>
      <c r="D5" s="2">
        <f>B5*第一季度!D5-C5*第一季度!D5/0.75</f>
        <v>0</v>
      </c>
      <c r="E5" s="9"/>
      <c r="F5" s="10" t="s">
        <v>351</v>
      </c>
      <c r="G5" s="2">
        <f>第一季度!AP3</f>
        <v>0</v>
      </c>
      <c r="H5" s="12">
        <f>G5/(1+参数调整!$B$6)</f>
        <v>0</v>
      </c>
      <c r="K5" s="29" t="s">
        <v>184</v>
      </c>
      <c r="L5" s="29">
        <f>第二季度!B5</f>
        <v>80</v>
      </c>
      <c r="M5" s="29">
        <f>SUMIF(第三季度!$L$3:$L$14,3,第三季度!$Q$3:$Q$14)+第二季度!F40</f>
        <v>6</v>
      </c>
      <c r="N5" s="29">
        <f>L5*第一季度!D40-M5*第二季度!D5/0.9</f>
        <v>8080</v>
      </c>
      <c r="O5" s="33"/>
      <c r="P5" s="31" t="s">
        <v>351</v>
      </c>
      <c r="Q5" s="43">
        <f>第二季度!AP3</f>
        <v>135837</v>
      </c>
      <c r="R5" s="31">
        <f>Q5/(1+参数调整!$B$6)</f>
        <v>116100</v>
      </c>
    </row>
    <row r="6" spans="1:18">
      <c r="A6" s="2" t="s">
        <v>155</v>
      </c>
      <c r="B6" s="8">
        <f>第一季度!B6</f>
        <v>126</v>
      </c>
      <c r="C6" s="8">
        <f>SUMIF(第二季度!$M$3:$M$14,1,第二季度!$Q$3:$Q$14)</f>
        <v>6</v>
      </c>
      <c r="D6" s="2">
        <f>B6*第一季度!D6-C6*第一季度!D6/0.75</f>
        <v>1180</v>
      </c>
      <c r="E6" s="9"/>
      <c r="F6" s="10" t="s">
        <v>352</v>
      </c>
      <c r="G6" s="2"/>
      <c r="H6" s="12">
        <f>G6/(1+参数调整!$B$6)</f>
        <v>0</v>
      </c>
      <c r="K6" s="29" t="s">
        <v>155</v>
      </c>
      <c r="L6" s="29">
        <f>第二季度!B6</f>
        <v>296</v>
      </c>
      <c r="M6" s="29">
        <f>SUMIF(第三季度!$M$3:$M$14,1,第三季度!$Q$3:$Q$14)+第二季度!F41</f>
        <v>22</v>
      </c>
      <c r="N6" s="29">
        <f>L6*第一季度!D41-M6*第二季度!D6/0.9</f>
        <v>2658.11111111111</v>
      </c>
      <c r="O6" s="33"/>
      <c r="P6" s="31" t="s">
        <v>352</v>
      </c>
      <c r="Q6" s="31"/>
      <c r="R6" s="31">
        <f>Q6/(1+参数调整!$B$6)</f>
        <v>0</v>
      </c>
    </row>
    <row r="7" spans="1:18">
      <c r="A7" s="2" t="s">
        <v>156</v>
      </c>
      <c r="B7" s="8">
        <f>第一季度!B7</f>
        <v>0</v>
      </c>
      <c r="C7" s="8">
        <f>SUMIF(第二季度!$M$3:$M$14,2,第二季度!$Q$3:$Q$14)</f>
        <v>0</v>
      </c>
      <c r="D7" s="2">
        <f>B7*第一季度!D7-C7*第一季度!D7/0.75</f>
        <v>0</v>
      </c>
      <c r="E7" s="9"/>
      <c r="F7" s="10" t="s">
        <v>353</v>
      </c>
      <c r="G7" s="2"/>
      <c r="H7" s="12">
        <f>G7/(1+参数调整!$B$6)</f>
        <v>0</v>
      </c>
      <c r="K7" s="29" t="s">
        <v>156</v>
      </c>
      <c r="L7" s="29">
        <f>第二季度!B7</f>
        <v>194</v>
      </c>
      <c r="M7" s="29">
        <f>SUMIF(第三季度!$M$3:$M$14,2,第三季度!$Q$3:$Q$14)+第二季度!F42</f>
        <v>98</v>
      </c>
      <c r="N7" s="29">
        <f>L7*第一季度!D42-M7*第二季度!D7/0.9</f>
        <v>1920</v>
      </c>
      <c r="O7" s="34"/>
      <c r="P7" s="31" t="s">
        <v>353</v>
      </c>
      <c r="Q7" s="31"/>
      <c r="R7" s="31">
        <f>Q7/(1+参数调整!$B$6)</f>
        <v>0</v>
      </c>
    </row>
    <row r="8" spans="1:18">
      <c r="A8" s="2" t="s">
        <v>157</v>
      </c>
      <c r="B8" s="8">
        <f>第一季度!B8</f>
        <v>0</v>
      </c>
      <c r="C8" s="8">
        <f>SUMIF(第二季度!$M$3:$M$14,3,第二季度!$Q$3:$Q$14)</f>
        <v>0</v>
      </c>
      <c r="D8" s="2">
        <f>B8*第一季度!D8-C8*第一季度!D8/0.75</f>
        <v>0</v>
      </c>
      <c r="E8" s="9" t="s">
        <v>354</v>
      </c>
      <c r="F8" s="13"/>
      <c r="G8" s="13"/>
      <c r="H8" s="14">
        <f>G2</f>
        <v>30311.4001421464</v>
      </c>
      <c r="K8" s="29" t="s">
        <v>157</v>
      </c>
      <c r="L8" s="29">
        <f>第二季度!B8</f>
        <v>140</v>
      </c>
      <c r="M8" s="29">
        <f>SUMIF(第三季度!$M$3:$M$14,3,第三季度!$Q$3:$Q$14)+第二季度!F43</f>
        <v>7</v>
      </c>
      <c r="N8" s="29">
        <f>L8*第一季度!D43-M8*第二季度!D8/0.9</f>
        <v>4666.66666666667</v>
      </c>
      <c r="O8" s="35" t="s">
        <v>354</v>
      </c>
      <c r="P8" s="36"/>
      <c r="Q8" s="44"/>
      <c r="R8" s="45">
        <f>Q2</f>
        <v>159481.309381663</v>
      </c>
    </row>
    <row r="9" spans="1:18">
      <c r="A9" s="2" t="s">
        <v>158</v>
      </c>
      <c r="B9" s="8">
        <f>第一季度!B9</f>
        <v>40</v>
      </c>
      <c r="C9" s="8">
        <f>SUMIF(第二季度!$N$3:$N$14,1,第二季度!$Q$3:$Q$14)</f>
        <v>4</v>
      </c>
      <c r="D9" s="2">
        <f>B9*第一季度!D9-C9*第一季度!D9/0.75</f>
        <v>1733.33333333333</v>
      </c>
      <c r="E9" s="9" t="s">
        <v>355</v>
      </c>
      <c r="F9" s="13"/>
      <c r="G9" s="13"/>
      <c r="H9" s="11">
        <f>第一季度!AN42</f>
        <v>1107.108</v>
      </c>
      <c r="K9" s="29" t="s">
        <v>158</v>
      </c>
      <c r="L9" s="29">
        <f>第二季度!B9</f>
        <v>272</v>
      </c>
      <c r="M9" s="29">
        <f>SUMIF(第三季度!$N$3:$N$14,1,第三季度!$Q$3:$Q$14)+第二季度!F44</f>
        <v>105</v>
      </c>
      <c r="N9" s="29">
        <f>L9*第一季度!D44-M9*第二季度!D9/0.9</f>
        <v>7947.5</v>
      </c>
      <c r="O9" s="35" t="s">
        <v>355</v>
      </c>
      <c r="P9" s="36"/>
      <c r="Q9" s="44"/>
      <c r="R9" s="43">
        <f>第二季度!AN42</f>
        <v>4492.18608</v>
      </c>
    </row>
    <row r="10" spans="1:18">
      <c r="A10" s="2" t="s">
        <v>159</v>
      </c>
      <c r="B10" s="8">
        <f>第一季度!B10</f>
        <v>44</v>
      </c>
      <c r="C10" s="8">
        <f>SUMIF(第二季度!$N$3:$N$14,2,第二季度!$Q$3:$Q$14)</f>
        <v>2</v>
      </c>
      <c r="D10" s="2">
        <f>B10*第一季度!D10-C10*第一季度!D10/0.75</f>
        <v>3306.66666666667</v>
      </c>
      <c r="E10" s="9" t="s">
        <v>356</v>
      </c>
      <c r="F10" s="13"/>
      <c r="G10" s="13"/>
      <c r="H10" s="11">
        <f>SUM(第一季度!AG16:AG21)+第一季度!AG26+第一季度!AN27</f>
        <v>111764</v>
      </c>
      <c r="K10" s="29" t="s">
        <v>159</v>
      </c>
      <c r="L10" s="29">
        <f>第二季度!B10</f>
        <v>158</v>
      </c>
      <c r="M10" s="29">
        <f>SUMIF(第三季度!$N$3:$N$14,2,第三季度!$Q$3:$Q$14)+第二季度!F45</f>
        <v>9</v>
      </c>
      <c r="N10" s="29">
        <f>L10*第一季度!D45-M10*第二季度!D10/0.9</f>
        <v>11890</v>
      </c>
      <c r="O10" s="35" t="s">
        <v>356</v>
      </c>
      <c r="P10" s="36"/>
      <c r="Q10" s="44"/>
      <c r="R10" s="43">
        <f>SUM(第二季度!AG17:AG22)+第二季度!AG27+第二季度!AN27</f>
        <v>133854</v>
      </c>
    </row>
    <row r="11" spans="1:18">
      <c r="A11" s="2" t="s">
        <v>160</v>
      </c>
      <c r="B11" s="8">
        <f>第一季度!B11</f>
        <v>42</v>
      </c>
      <c r="C11" s="8">
        <f>SUMIF(第二季度!$N$3:$N$14,3,第二季度!$Q$3:$Q$14)</f>
        <v>0</v>
      </c>
      <c r="D11" s="2">
        <f>B11*第一季度!D11-C11*第一季度!D11/0.75</f>
        <v>4620</v>
      </c>
      <c r="E11" s="9" t="s">
        <v>357</v>
      </c>
      <c r="F11" s="13"/>
      <c r="G11" s="13"/>
      <c r="H11" s="15">
        <f>参数调整!B3+SUM(第一季度!AG24:AG25)+SUM(第一季度!AG14:AG15)+SUM(第一季度!AG22:AG23)+第一季度!AN17+SUM(第一季度!AN18:AN19)+参数调整!B2</f>
        <v>221860</v>
      </c>
      <c r="K11" s="29" t="s">
        <v>160</v>
      </c>
      <c r="L11" s="29">
        <f>第二季度!B11</f>
        <v>200</v>
      </c>
      <c r="M11" s="29">
        <f>SUMIF(第三季度!$N$3:$N$14,3,第三季度!$Q$3:$Q$14)+第二季度!F46</f>
        <v>13</v>
      </c>
      <c r="N11" s="29">
        <f>L11*第一季度!D46-M11*第二季度!D11/0.9</f>
        <v>20338.8888888889</v>
      </c>
      <c r="O11" s="35" t="s">
        <v>357</v>
      </c>
      <c r="P11" s="36"/>
      <c r="Q11" s="44"/>
      <c r="R11" s="46">
        <f>参数调整!B3+SUM(第二季度!AG25:AG26)+SUM(第二季度!AG15:AG16)+SUM(第二季度!AG23:AG24)+第二季度!AN17+SUM(第二季度!AN18:AN19)</f>
        <v>155660</v>
      </c>
    </row>
    <row r="12" spans="1:18">
      <c r="A12" s="2" t="s">
        <v>161</v>
      </c>
      <c r="B12" s="8">
        <f>第一季度!B12</f>
        <v>0</v>
      </c>
      <c r="C12" s="8">
        <f>SUMIF(第二季度!$N$3:$N$14,4,第二季度!$Q$3:$Q$14)</f>
        <v>0</v>
      </c>
      <c r="D12" s="2">
        <f>B12*第一季度!D12-C12*第一季度!D12/0.75</f>
        <v>0</v>
      </c>
      <c r="E12" s="9" t="s">
        <v>358</v>
      </c>
      <c r="F12" s="13"/>
      <c r="G12" s="13"/>
      <c r="H12" s="11">
        <f>第一季度!AG29*参数调整!B18+第一季度!AO36*参数调整!B23</f>
        <v>10000</v>
      </c>
      <c r="K12" s="29" t="s">
        <v>161</v>
      </c>
      <c r="L12" s="29">
        <f>第二季度!B12</f>
        <v>0</v>
      </c>
      <c r="M12" s="29">
        <f>SUMIF(第三季度!$N$3:$N$14,4,第三季度!$Q$3:$Q$14)+第二季度!F47</f>
        <v>0</v>
      </c>
      <c r="N12" s="29">
        <f>L12*第一季度!D47-M12*第二季度!D12/0.9</f>
        <v>0</v>
      </c>
      <c r="O12" s="35" t="s">
        <v>358</v>
      </c>
      <c r="P12" s="36"/>
      <c r="Q12" s="44"/>
      <c r="R12" s="43">
        <f>第二季度!AG4*参数调整!B18+第二季度!AO36*参数调整!B23+参数调整!B24*第二季度!AP36</f>
        <v>4228.971</v>
      </c>
    </row>
    <row r="13" spans="1:18">
      <c r="A13" s="2" t="s">
        <v>162</v>
      </c>
      <c r="B13" s="8">
        <f>第一季度!B13</f>
        <v>40</v>
      </c>
      <c r="C13" s="8">
        <f>SUMIF(第二季度!$O$3:$O$14,1,第二季度!$Q$3:$Q$14)+SUMIF(第二季度!$P$3:$P$14,1,第二季度!$Q$3:$Q$14)</f>
        <v>4</v>
      </c>
      <c r="D13" s="2">
        <f>B13*第一季度!D13-C13*第一季度!D13/0.75</f>
        <v>1733.33333333333</v>
      </c>
      <c r="E13" s="9" t="s">
        <v>359</v>
      </c>
      <c r="F13" s="13"/>
      <c r="G13" s="13"/>
      <c r="H13" s="16">
        <f>SUM(H3:H7)-SUM(H8:H12)</f>
        <v>-299572.508142146</v>
      </c>
      <c r="K13" s="29" t="s">
        <v>162</v>
      </c>
      <c r="L13" s="29">
        <f>第二季度!B13</f>
        <v>218</v>
      </c>
      <c r="M13" s="29">
        <f>SUMIF(第三季度!$O$3:$O$14,1,第三季度!$Q$3:$Q$14)+SUMIF(第三季度!$P$3:$P$14,1,第三季度!$Q$3:$Q$14)+第二季度!F48</f>
        <v>11</v>
      </c>
      <c r="N13" s="29">
        <f>L13*第一季度!D48-M13*第二季度!D13/0.9</f>
        <v>9768.33333333333</v>
      </c>
      <c r="O13" s="35" t="s">
        <v>359</v>
      </c>
      <c r="P13" s="36"/>
      <c r="Q13" s="44"/>
      <c r="R13" s="45">
        <f>SUM(R3:R7)-SUM(R8:R12)</f>
        <v>-125566.466461663</v>
      </c>
    </row>
    <row r="14" customHeight="1" spans="1:18">
      <c r="A14" s="2" t="s">
        <v>163</v>
      </c>
      <c r="B14" s="8">
        <f>第一季度!B14</f>
        <v>0</v>
      </c>
      <c r="C14" s="8">
        <f>SUMIF(第二季度!$O$3:$O$14,2,第二季度!$Q$3:$Q$14)+SUMIF(第二季度!$P$3:$P$14,2,第二季度!$Q$3:$Q$14)</f>
        <v>0</v>
      </c>
      <c r="D14" s="2">
        <f>B14*第一季度!D14-C14*第一季度!D14/0.75</f>
        <v>0</v>
      </c>
      <c r="E14" s="9" t="s">
        <v>360</v>
      </c>
      <c r="F14" s="13"/>
      <c r="G14" s="13"/>
      <c r="H14" s="17">
        <v>0</v>
      </c>
      <c r="K14" s="29" t="s">
        <v>163</v>
      </c>
      <c r="L14" s="29">
        <f>第二季度!B14</f>
        <v>0</v>
      </c>
      <c r="M14" s="29">
        <f>SUMIF(第三季度!$O$3:$O$14,2,第三季度!$Q$3:$Q$14)+SUMIF(第三季度!$P$3:$P$14,2,第三季度!$Q$3:$Q$14)+第二季度!F49</f>
        <v>0</v>
      </c>
      <c r="N14" s="29">
        <f>L14*第一季度!D49-M14*第二季度!D14/0.9</f>
        <v>0</v>
      </c>
      <c r="O14" s="35" t="s">
        <v>360</v>
      </c>
      <c r="P14" s="36"/>
      <c r="Q14" s="44"/>
      <c r="R14" s="47">
        <f>SUM(第二季度!AN20:AN26)</f>
        <v>0</v>
      </c>
    </row>
    <row r="15" spans="1:18">
      <c r="A15" s="2" t="s">
        <v>164</v>
      </c>
      <c r="B15" s="8">
        <f>第一季度!B15</f>
        <v>0</v>
      </c>
      <c r="C15" s="8">
        <f>SUMIF(第二季度!$O$3:$O$14,3,第二季度!$Q$3:$Q$14)+SUMIF(第二季度!$P$3:$P$14,3,第二季度!$Q$3:$Q$14)</f>
        <v>0</v>
      </c>
      <c r="D15" s="2">
        <f>B15*第一季度!D15-C15*第一季度!D15/0.75</f>
        <v>0</v>
      </c>
      <c r="E15" s="9" t="s">
        <v>361</v>
      </c>
      <c r="F15" s="13"/>
      <c r="G15" s="13"/>
      <c r="H15" s="18">
        <f>SUM(第一季度!AN28:AN35)</f>
        <v>0</v>
      </c>
      <c r="K15" s="29" t="s">
        <v>164</v>
      </c>
      <c r="L15" s="29">
        <f>第二季度!B15</f>
        <v>80</v>
      </c>
      <c r="M15" s="29">
        <f>SUMIF(第三季度!$O$3:$O$14,3,第三季度!$Q$3:$Q$14)+SUMIF(第三季度!$P$3:$P$14,3,第三季度!$Q$3:$Q$14)+第二季度!F50</f>
        <v>6</v>
      </c>
      <c r="N15" s="29">
        <f>L15*第一季度!D50-M15*第二季度!D15/0.9</f>
        <v>5900</v>
      </c>
      <c r="O15" s="35" t="s">
        <v>361</v>
      </c>
      <c r="P15" s="36"/>
      <c r="Q15" s="44"/>
      <c r="R15" s="47">
        <f>SUM(第二季度!AN28:AN35)</f>
        <v>0</v>
      </c>
    </row>
    <row r="16" spans="1:18">
      <c r="A16" s="2" t="s">
        <v>165</v>
      </c>
      <c r="B16" s="8">
        <f>第一季度!B16</f>
        <v>0</v>
      </c>
      <c r="C16" s="8">
        <f>SUMIF(第二季度!$O$3:$O$14,4,第二季度!$Q$3:$Q$14)+SUMIF(第二季度!$P$3:$P$14,4,第二季度!$Q$3:$Q$14)</f>
        <v>0</v>
      </c>
      <c r="D16" s="2">
        <f>B16*第一季度!D16-C16*第一季度!D16/0.75</f>
        <v>0</v>
      </c>
      <c r="E16" s="9" t="s">
        <v>362</v>
      </c>
      <c r="F16" s="13"/>
      <c r="G16" s="13"/>
      <c r="H16" s="16">
        <f>H13+H14-H15</f>
        <v>-299572.508142146</v>
      </c>
      <c r="K16" s="29" t="s">
        <v>165</v>
      </c>
      <c r="L16" s="29">
        <f>第二季度!B16</f>
        <v>0</v>
      </c>
      <c r="M16" s="29">
        <f>SUMIF(第三季度!$O$3:$O$14,4,第三季度!$Q$3:$Q$14)+SUMIF(第三季度!$P$3:$P$14,4,第三季度!$Q$3:$Q$14)+第二季度!F51</f>
        <v>0</v>
      </c>
      <c r="N16" s="29">
        <f>L16*第一季度!D51-M16*第二季度!D16/0.9</f>
        <v>0</v>
      </c>
      <c r="O16" s="35" t="s">
        <v>362</v>
      </c>
      <c r="P16" s="36"/>
      <c r="Q16" s="44"/>
      <c r="R16" s="45">
        <f>R13+R14-R15</f>
        <v>-125566.466461663</v>
      </c>
    </row>
    <row r="17" spans="1:18">
      <c r="A17" s="19" t="s">
        <v>363</v>
      </c>
      <c r="B17" s="19"/>
      <c r="C17" s="19"/>
      <c r="D17" s="19">
        <f>SUM(D3:D16)</f>
        <v>18946.6666666667</v>
      </c>
      <c r="E17" s="9" t="s">
        <v>364</v>
      </c>
      <c r="F17" s="13"/>
      <c r="G17" s="13"/>
      <c r="H17" s="11">
        <f>IF(H16&lt;0,0,H16*参数调整!B4)</f>
        <v>0</v>
      </c>
      <c r="K17" s="37" t="s">
        <v>363</v>
      </c>
      <c r="L17" s="37"/>
      <c r="M17" s="37"/>
      <c r="N17" s="37">
        <f>SUM(N3:N16)+SUMPRODUCT(B3:B16,第一季度!D3:D16)-所得税计算工具表!D17</f>
        <v>93804.2777777778</v>
      </c>
      <c r="O17" s="35" t="s">
        <v>364</v>
      </c>
      <c r="P17" s="36"/>
      <c r="Q17" s="44"/>
      <c r="R17" s="43">
        <f>IF(R16&lt;0,0,R16*参数调整!B4)</f>
        <v>0</v>
      </c>
    </row>
    <row r="18" ht="28.35" spans="1:18">
      <c r="A18" s="3" t="s">
        <v>365</v>
      </c>
      <c r="B18" s="3" t="s">
        <v>366</v>
      </c>
      <c r="C18" s="3" t="s">
        <v>367</v>
      </c>
      <c r="D18" s="3" t="s">
        <v>368</v>
      </c>
      <c r="E18" s="20" t="s">
        <v>369</v>
      </c>
      <c r="F18" s="21"/>
      <c r="G18" s="21"/>
      <c r="H18" s="22">
        <f>H16-H17</f>
        <v>-299572.508142146</v>
      </c>
      <c r="K18" s="30" t="s">
        <v>365</v>
      </c>
      <c r="L18" s="30" t="s">
        <v>366</v>
      </c>
      <c r="M18" s="30" t="s">
        <v>367</v>
      </c>
      <c r="N18" s="30" t="s">
        <v>368</v>
      </c>
      <c r="O18" s="35" t="s">
        <v>369</v>
      </c>
      <c r="P18" s="36"/>
      <c r="Q18" s="44"/>
      <c r="R18" s="45">
        <f>R16-R17</f>
        <v>-125566.466461663</v>
      </c>
    </row>
    <row r="19" ht="20.4" customHeight="1" spans="1:18">
      <c r="A19" s="8">
        <f>SUM(第一季度!T3:T14)</f>
        <v>0</v>
      </c>
      <c r="B19" s="23">
        <v>0</v>
      </c>
      <c r="C19" s="8">
        <v>0</v>
      </c>
      <c r="D19" s="8">
        <f>IF(A19=0,0,C19/A19)</f>
        <v>0</v>
      </c>
      <c r="E19" s="2" t="s">
        <v>347</v>
      </c>
      <c r="F19" s="24">
        <f>D17+E24+D24+H24+H29</f>
        <v>30311.4001421464</v>
      </c>
      <c r="G19" s="24"/>
      <c r="H19" s="24"/>
      <c r="K19" s="29">
        <f>SUM(第二季度!U3:U14)</f>
        <v>630</v>
      </c>
      <c r="L19" s="38">
        <v>31</v>
      </c>
      <c r="M19" s="29">
        <f t="shared" ref="M19:M22" si="0">K19-L19</f>
        <v>599</v>
      </c>
      <c r="N19" s="29">
        <f>IF(K19=0,0,M19/K19)</f>
        <v>0.950793650793651</v>
      </c>
      <c r="O19" s="29" t="s">
        <v>347</v>
      </c>
      <c r="P19" s="39">
        <f>N17+O24+N24+R24+R29</f>
        <v>159481.309381663</v>
      </c>
      <c r="Q19" s="39"/>
      <c r="R19" s="39"/>
    </row>
    <row r="20" spans="1:18">
      <c r="A20" s="8">
        <f>SUM(第一季度!S3:S14)</f>
        <v>0</v>
      </c>
      <c r="B20" s="23">
        <v>0</v>
      </c>
      <c r="C20" s="8">
        <v>0</v>
      </c>
      <c r="D20" s="8">
        <f>IF(A20=0,0,C20/A20)</f>
        <v>0</v>
      </c>
      <c r="E20" s="2"/>
      <c r="F20" s="24"/>
      <c r="G20" s="24"/>
      <c r="H20" s="24"/>
      <c r="K20" s="29">
        <f>SUM(第二季度!T3:T14)</f>
        <v>0</v>
      </c>
      <c r="L20" s="38">
        <v>0</v>
      </c>
      <c r="M20" s="29">
        <f t="shared" si="0"/>
        <v>0</v>
      </c>
      <c r="N20" s="29">
        <f>IF(K20=0,0,M20/K20)</f>
        <v>0</v>
      </c>
      <c r="O20" s="29"/>
      <c r="P20" s="39"/>
      <c r="Q20" s="39"/>
      <c r="R20" s="39"/>
    </row>
    <row r="21" spans="1:18">
      <c r="A21" s="8">
        <f>SUM(第一季度!R3:R14)</f>
        <v>0</v>
      </c>
      <c r="B21" s="23">
        <v>0</v>
      </c>
      <c r="C21" s="8">
        <v>0</v>
      </c>
      <c r="D21" s="8">
        <f>IF(A21=0,0,C21/A21)</f>
        <v>0</v>
      </c>
      <c r="E21" s="2"/>
      <c r="F21" s="24"/>
      <c r="G21" s="24"/>
      <c r="H21" s="24"/>
      <c r="K21" s="29">
        <f>SUM(第二季度!S3:S14)</f>
        <v>0</v>
      </c>
      <c r="L21" s="38">
        <v>0</v>
      </c>
      <c r="M21" s="29">
        <f t="shared" si="0"/>
        <v>0</v>
      </c>
      <c r="N21" s="29">
        <f>IF(K21=0,0,M21/K21)</f>
        <v>0</v>
      </c>
      <c r="O21" s="29"/>
      <c r="P21" s="39"/>
      <c r="Q21" s="39"/>
      <c r="R21" s="39"/>
    </row>
    <row r="22" spans="1:18">
      <c r="A22" s="8">
        <f>SUM(第一季度!Q3:Q14)</f>
        <v>126</v>
      </c>
      <c r="B22" s="23">
        <v>96</v>
      </c>
      <c r="C22" s="8">
        <f>A22-B22</f>
        <v>30</v>
      </c>
      <c r="D22" s="8">
        <f>IF(A22=0,0,C22/A22)</f>
        <v>0.238095238095238</v>
      </c>
      <c r="E22" s="2"/>
      <c r="F22" s="24"/>
      <c r="G22" s="24"/>
      <c r="H22" s="24"/>
      <c r="K22" s="29">
        <f>SUM(第二季度!R3:R14)</f>
        <v>0</v>
      </c>
      <c r="L22" s="38">
        <v>0</v>
      </c>
      <c r="M22" s="29">
        <f t="shared" si="0"/>
        <v>0</v>
      </c>
      <c r="N22" s="29">
        <f>IF(K22=0,0,M22/K22)</f>
        <v>0</v>
      </c>
      <c r="O22" s="29"/>
      <c r="P22" s="39"/>
      <c r="Q22" s="39"/>
      <c r="R22" s="39"/>
    </row>
    <row r="23" spans="1:18">
      <c r="A23" s="3" t="s">
        <v>370</v>
      </c>
      <c r="B23" s="3" t="s">
        <v>221</v>
      </c>
      <c r="C23" s="3" t="s">
        <v>237</v>
      </c>
      <c r="D23" s="25" t="s">
        <v>371</v>
      </c>
      <c r="E23" s="25" t="s">
        <v>372</v>
      </c>
      <c r="F23" s="3" t="s">
        <v>373</v>
      </c>
      <c r="G23" s="3" t="s">
        <v>374</v>
      </c>
      <c r="H23" s="19" t="s">
        <v>375</v>
      </c>
      <c r="K23" s="30" t="s">
        <v>370</v>
      </c>
      <c r="L23" s="30" t="s">
        <v>221</v>
      </c>
      <c r="M23" s="30" t="s">
        <v>237</v>
      </c>
      <c r="N23" s="40" t="s">
        <v>371</v>
      </c>
      <c r="O23" s="40" t="s">
        <v>372</v>
      </c>
      <c r="P23" s="30" t="s">
        <v>373</v>
      </c>
      <c r="Q23" s="30" t="s">
        <v>374</v>
      </c>
      <c r="R23" s="37" t="s">
        <v>375</v>
      </c>
    </row>
    <row r="24" spans="1:18">
      <c r="A24" s="2" t="s">
        <v>98</v>
      </c>
      <c r="B24" s="23">
        <v>0</v>
      </c>
      <c r="C24" s="8">
        <f>B24*参数调整!F33</f>
        <v>0</v>
      </c>
      <c r="D24" s="19">
        <f>C27*D22+C26*C21+C25*C20+C24*C19</f>
        <v>1785.71428571429</v>
      </c>
      <c r="E24" s="19">
        <f>C19*参数调整!F32+C20*参数调整!G32+C21*参数调整!H32+C22*参数调整!I32</f>
        <v>900</v>
      </c>
      <c r="F24" s="23">
        <v>0</v>
      </c>
      <c r="G24" s="2">
        <f>F24*参数调整!$J$18*(1+SUM(参数调整!$B$12:$B$16))</f>
        <v>0</v>
      </c>
      <c r="H24" s="19">
        <f>D19*G24+D20*G25+D21*G26+D22*G27</f>
        <v>5768.57142857143</v>
      </c>
      <c r="K24" s="29" t="s">
        <v>98</v>
      </c>
      <c r="L24" s="38">
        <v>1</v>
      </c>
      <c r="M24" s="29">
        <f>L24*参数调整!F33</f>
        <v>3000</v>
      </c>
      <c r="N24" s="37">
        <f>M27*N22+M26*N21+M25*N20+M24*N19+SUM(C24:C27)-D24</f>
        <v>8566.66666666667</v>
      </c>
      <c r="O24" s="37">
        <f>B19*参数调整!$F$32+B20*参数调整!$G$32+B21*参数调整!$H$32+B22*参数调整!$I$32+M19*参数调整!$F$32+M20*参数调整!$G$32+M21*参数调整!$H$32+M22*参数调整!$I$32</f>
        <v>8870</v>
      </c>
      <c r="P24" s="38">
        <v>5</v>
      </c>
      <c r="Q24" s="29">
        <f>P24*参数调整!$J$18*(1+SUM(参数调整!$B$12:$B$16))</f>
        <v>24228</v>
      </c>
      <c r="R24" s="37">
        <f>N19*Q24+N20*Q25+N21*Q26+N22*Q27+SUM(G24:G27)-H24</f>
        <v>41495.2571428571</v>
      </c>
    </row>
    <row r="25" spans="1:18">
      <c r="A25" s="2" t="s">
        <v>99</v>
      </c>
      <c r="B25" s="23">
        <v>0</v>
      </c>
      <c r="C25" s="8">
        <f>B25*参数调整!G33</f>
        <v>0</v>
      </c>
      <c r="D25" s="19"/>
      <c r="E25" s="19"/>
      <c r="F25" s="23"/>
      <c r="G25" s="2">
        <f>F25*参数调整!$J$18*(1+SUM(参数调整!$B$12:$B$16))</f>
        <v>0</v>
      </c>
      <c r="H25" s="19"/>
      <c r="K25" s="29" t="s">
        <v>99</v>
      </c>
      <c r="L25" s="38">
        <v>0</v>
      </c>
      <c r="M25" s="29">
        <f>L25*参数调整!G33</f>
        <v>0</v>
      </c>
      <c r="N25" s="37"/>
      <c r="O25" s="37"/>
      <c r="P25" s="38">
        <v>0</v>
      </c>
      <c r="Q25" s="29">
        <f>P25*参数调整!$J$18*(1+SUM(参数调整!$B$12:$B$16))</f>
        <v>0</v>
      </c>
      <c r="R25" s="37"/>
    </row>
    <row r="26" spans="1:18">
      <c r="A26" s="2" t="s">
        <v>100</v>
      </c>
      <c r="B26" s="23">
        <v>0</v>
      </c>
      <c r="C26" s="8">
        <f>B26*参数调整!H33</f>
        <v>0</v>
      </c>
      <c r="D26" s="19"/>
      <c r="E26" s="19"/>
      <c r="F26" s="23"/>
      <c r="G26" s="2">
        <f>F26*参数调整!$J$18*(1+SUM(参数调整!$B$12:$B$16))</f>
        <v>0</v>
      </c>
      <c r="H26" s="19"/>
      <c r="K26" s="29" t="s">
        <v>100</v>
      </c>
      <c r="L26" s="38">
        <v>0</v>
      </c>
      <c r="M26" s="29">
        <f>L26*参数调整!H33</f>
        <v>0</v>
      </c>
      <c r="N26" s="37"/>
      <c r="O26" s="37"/>
      <c r="P26" s="38">
        <v>0</v>
      </c>
      <c r="Q26" s="29">
        <f>P26*参数调整!$J$18*(1+SUM(参数调整!$B$12:$B$16))</f>
        <v>0</v>
      </c>
      <c r="R26" s="37"/>
    </row>
    <row r="27" spans="1:18">
      <c r="A27" s="2" t="s">
        <v>101</v>
      </c>
      <c r="B27" s="23">
        <v>5</v>
      </c>
      <c r="C27" s="8">
        <f>B27*参数调整!I33</f>
        <v>7500</v>
      </c>
      <c r="D27" s="19"/>
      <c r="E27" s="19"/>
      <c r="F27" s="23">
        <v>5</v>
      </c>
      <c r="G27" s="2">
        <f>F27*参数调整!$J$18*(1+SUM(参数调整!$B$12:$B$16))</f>
        <v>24228</v>
      </c>
      <c r="H27" s="19"/>
      <c r="K27" s="29" t="s">
        <v>101</v>
      </c>
      <c r="L27" s="38">
        <v>0</v>
      </c>
      <c r="M27" s="29">
        <f>L27*参数调整!I33</f>
        <v>0</v>
      </c>
      <c r="N27" s="37"/>
      <c r="O27" s="37"/>
      <c r="P27" s="38">
        <v>0</v>
      </c>
      <c r="Q27" s="29">
        <f>P27*参数调整!$J$18*(1+SUM(参数调整!$B$12:$B$16))</f>
        <v>0</v>
      </c>
      <c r="R27" s="37"/>
    </row>
    <row r="28" ht="27.6" spans="1:18">
      <c r="A28" s="2" t="s">
        <v>376</v>
      </c>
      <c r="B28" s="3" t="s">
        <v>221</v>
      </c>
      <c r="C28" s="26" t="s">
        <v>377</v>
      </c>
      <c r="D28" s="3" t="s">
        <v>378</v>
      </c>
      <c r="E28" s="3" t="s">
        <v>366</v>
      </c>
      <c r="F28" s="3" t="s">
        <v>367</v>
      </c>
      <c r="G28" s="3" t="s">
        <v>368</v>
      </c>
      <c r="H28" s="25" t="s">
        <v>379</v>
      </c>
      <c r="K28" s="29" t="s">
        <v>376</v>
      </c>
      <c r="L28" s="30" t="s">
        <v>221</v>
      </c>
      <c r="M28" s="30" t="s">
        <v>377</v>
      </c>
      <c r="N28" s="30" t="s">
        <v>378</v>
      </c>
      <c r="O28" s="30" t="s">
        <v>366</v>
      </c>
      <c r="P28" s="30" t="s">
        <v>367</v>
      </c>
      <c r="Q28" s="30" t="s">
        <v>368</v>
      </c>
      <c r="R28" s="40" t="s">
        <v>379</v>
      </c>
    </row>
    <row r="29" spans="1:18">
      <c r="A29" s="8" t="s">
        <v>77</v>
      </c>
      <c r="B29" s="23">
        <v>1</v>
      </c>
      <c r="C29" s="8">
        <f>B29*参数调整!J24</f>
        <v>5000</v>
      </c>
      <c r="D29" s="23">
        <v>67</v>
      </c>
      <c r="E29" s="23">
        <v>28</v>
      </c>
      <c r="F29" s="8">
        <f>D29-E29</f>
        <v>39</v>
      </c>
      <c r="G29" s="8">
        <f>IF(D29=0,0,F29/D29)</f>
        <v>0.582089552238806</v>
      </c>
      <c r="H29" s="19">
        <f>C29*G29+C30*G30+C31*G31</f>
        <v>2910.44776119403</v>
      </c>
      <c r="K29" s="29" t="s">
        <v>77</v>
      </c>
      <c r="L29" s="38">
        <v>1</v>
      </c>
      <c r="M29" s="29">
        <f>L29*参数调整!J24</f>
        <v>5000</v>
      </c>
      <c r="N29" s="38">
        <v>450</v>
      </c>
      <c r="O29" s="38">
        <v>31</v>
      </c>
      <c r="P29" s="29">
        <f>N29-O29</f>
        <v>419</v>
      </c>
      <c r="Q29" s="29">
        <f>IF(N29=0,0,P29/N29)</f>
        <v>0.931111111111111</v>
      </c>
      <c r="R29" s="37">
        <f>M29*Q29+M30*Q30+M31*Q31+SUM(C29:C31)-H29</f>
        <v>6745.10779436152</v>
      </c>
    </row>
    <row r="30" spans="1:18">
      <c r="A30" s="2" t="s">
        <v>76</v>
      </c>
      <c r="B30" s="23"/>
      <c r="C30" s="8">
        <f>B30*参数调整!H24</f>
        <v>0</v>
      </c>
      <c r="D30" s="23"/>
      <c r="E30" s="23"/>
      <c r="F30" s="8">
        <f t="shared" ref="F30:F31" si="1">D30-E30</f>
        <v>0</v>
      </c>
      <c r="G30" s="8">
        <f t="shared" ref="G30:G31" si="2">IF(D30=0,0,F30/D30)</f>
        <v>0</v>
      </c>
      <c r="H30" s="19"/>
      <c r="K30" s="29" t="s">
        <v>76</v>
      </c>
      <c r="L30" s="38"/>
      <c r="M30" s="29">
        <f>L30*参数调整!H24</f>
        <v>0</v>
      </c>
      <c r="N30" s="38"/>
      <c r="O30" s="38"/>
      <c r="P30" s="29">
        <f t="shared" ref="P30:P31" si="3">N30-O30</f>
        <v>0</v>
      </c>
      <c r="Q30" s="29">
        <f t="shared" ref="Q30:Q31" si="4">IF(N30=0,0,P30/N30)</f>
        <v>0</v>
      </c>
      <c r="R30" s="37"/>
    </row>
    <row r="31" spans="1:18">
      <c r="A31" s="2" t="s">
        <v>75</v>
      </c>
      <c r="B31" s="23"/>
      <c r="C31" s="8">
        <f>B31*参数调整!F24</f>
        <v>0</v>
      </c>
      <c r="D31" s="23"/>
      <c r="E31" s="23"/>
      <c r="F31" s="8">
        <f t="shared" si="1"/>
        <v>0</v>
      </c>
      <c r="G31" s="8">
        <f t="shared" si="2"/>
        <v>0</v>
      </c>
      <c r="H31" s="19"/>
      <c r="K31" s="29" t="s">
        <v>75</v>
      </c>
      <c r="L31" s="38"/>
      <c r="M31" s="29">
        <f>L31*参数调整!F24</f>
        <v>0</v>
      </c>
      <c r="N31" s="38"/>
      <c r="O31" s="38"/>
      <c r="P31" s="29">
        <f t="shared" si="3"/>
        <v>0</v>
      </c>
      <c r="Q31" s="29">
        <f t="shared" si="4"/>
        <v>0</v>
      </c>
      <c r="R31" s="37"/>
    </row>
    <row r="51" customHeight="1"/>
    <row r="52" customHeight="1"/>
    <row r="61" customHeight="1" spans="3:5">
      <c r="C61" s="27"/>
      <c r="D61" s="27"/>
      <c r="E61" s="27"/>
    </row>
    <row r="62" customHeight="1" spans="3:5">
      <c r="C62" s="27"/>
      <c r="D62" s="27"/>
      <c r="E62" s="27"/>
    </row>
    <row r="63" customHeight="1" spans="3:5">
      <c r="C63" s="27"/>
      <c r="D63" s="27"/>
      <c r="E63" s="27"/>
    </row>
    <row r="64" customHeight="1" spans="3:5">
      <c r="C64" s="27"/>
      <c r="D64" s="27"/>
      <c r="E64" s="27"/>
    </row>
    <row r="79" spans="6:16"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9" spans="13:16">
      <c r="M89" s="29"/>
      <c r="N89" s="29"/>
      <c r="O89" s="29"/>
      <c r="P89" s="29"/>
    </row>
    <row r="90" spans="6:16"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</row>
    <row r="91" spans="11:16">
      <c r="K91" s="29"/>
      <c r="L91" s="29"/>
      <c r="M91" s="29"/>
      <c r="N91" s="29"/>
      <c r="O91" s="29"/>
      <c r="P91" s="29"/>
    </row>
    <row r="92" spans="13:16">
      <c r="M92" s="29"/>
      <c r="N92" s="29"/>
      <c r="O92" s="29"/>
      <c r="P92" s="29"/>
    </row>
    <row r="93" spans="13:16">
      <c r="M93" s="29"/>
      <c r="N93" s="29"/>
      <c r="O93" s="29"/>
      <c r="P93" s="29"/>
    </row>
    <row r="94" spans="13:16">
      <c r="M94" s="29"/>
      <c r="N94" s="29"/>
      <c r="O94" s="29"/>
      <c r="P94" s="29"/>
    </row>
    <row r="101" spans="9:12">
      <c r="I101" s="29"/>
      <c r="J101" s="29"/>
      <c r="K101" s="29"/>
      <c r="L101" s="29"/>
    </row>
    <row r="102" spans="9:12">
      <c r="I102" s="29"/>
      <c r="J102" s="29"/>
      <c r="K102" s="29"/>
      <c r="L102" s="29"/>
    </row>
    <row r="103" spans="9:12">
      <c r="I103" s="29"/>
      <c r="J103" s="29"/>
      <c r="K103" s="29"/>
      <c r="L103" s="29"/>
    </row>
    <row r="104" spans="9:12">
      <c r="I104" s="29"/>
      <c r="J104" s="29"/>
      <c r="K104" s="29"/>
      <c r="L104" s="29"/>
    </row>
    <row r="135" spans="2:16">
      <c r="B135" s="48"/>
      <c r="C135" s="49" t="s">
        <v>181</v>
      </c>
      <c r="D135" t="s">
        <v>183</v>
      </c>
      <c r="E135" t="s">
        <v>184</v>
      </c>
      <c r="F135" t="s">
        <v>155</v>
      </c>
      <c r="G135" t="s">
        <v>156</v>
      </c>
      <c r="H135" t="s">
        <v>157</v>
      </c>
      <c r="I135" t="s">
        <v>158</v>
      </c>
      <c r="J135" t="s">
        <v>159</v>
      </c>
      <c r="K135" t="s">
        <v>160</v>
      </c>
      <c r="L135" t="s">
        <v>161</v>
      </c>
      <c r="M135" t="s">
        <v>162</v>
      </c>
      <c r="N135" t="s">
        <v>163</v>
      </c>
      <c r="O135" t="s">
        <v>164</v>
      </c>
      <c r="P135" t="s">
        <v>165</v>
      </c>
    </row>
    <row r="136" spans="1:9">
      <c r="A136" s="48" t="str">
        <f>第一季度!J3</f>
        <v>S</v>
      </c>
      <c r="B136" s="48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9">
      <c r="A137" s="48" t="str">
        <f>第一季度!J4</f>
        <v>S</v>
      </c>
      <c r="B137" s="48">
        <f>第一季度!K4</f>
        <v>3333</v>
      </c>
      <c r="C137">
        <f t="shared" ref="C137:C147" si="5">IF(MID(B137,1,1)="1",1,0)</f>
        <v>0</v>
      </c>
      <c r="D137">
        <f t="shared" ref="D137:D147" si="6">IF(MID(B137,1,1)="2",1,0)</f>
        <v>0</v>
      </c>
      <c r="E137">
        <f t="shared" ref="E137:E147" si="7">IF(MID(B137,1,1)="3",1,0)</f>
        <v>1</v>
      </c>
      <c r="F137">
        <f t="shared" ref="F137:F147" si="8">IF(MID(B137,2,1)="1",1,0)</f>
        <v>0</v>
      </c>
      <c r="G137">
        <f t="shared" ref="G137:G147" si="9">IF(MID(B137,2,1)="2",1,0)</f>
        <v>0</v>
      </c>
      <c r="H137">
        <f>IF(MID(B137,2,1)="3",1,0)</f>
        <v>1</v>
      </c>
      <c r="I137">
        <f t="shared" ref="I137:I147" si="10">IF(MID(B137,3,1)="1",1,0)</f>
        <v>0</v>
      </c>
    </row>
    <row r="138" spans="1:9">
      <c r="A138" s="48" t="str">
        <f>第一季度!J5</f>
        <v>B</v>
      </c>
      <c r="B138" s="48">
        <f>第一季度!K5</f>
        <v>1111</v>
      </c>
      <c r="C138">
        <f t="shared" si="5"/>
        <v>1</v>
      </c>
      <c r="D138">
        <f t="shared" si="6"/>
        <v>0</v>
      </c>
      <c r="E138">
        <f t="shared" si="7"/>
        <v>0</v>
      </c>
      <c r="F138">
        <f t="shared" si="8"/>
        <v>1</v>
      </c>
      <c r="G138">
        <f t="shared" si="9"/>
        <v>0</v>
      </c>
      <c r="H138">
        <f t="shared" ref="H138:H147" si="11">IF(MID(B138,2,1)="3",1,0)</f>
        <v>0</v>
      </c>
      <c r="I138">
        <f t="shared" si="10"/>
        <v>1</v>
      </c>
    </row>
    <row r="139" spans="1:9">
      <c r="A139" s="48" t="str">
        <f>第一季度!J6</f>
        <v>B</v>
      </c>
      <c r="B139" s="48">
        <f>第一季度!K6</f>
        <v>1331</v>
      </c>
      <c r="C139">
        <f t="shared" si="5"/>
        <v>1</v>
      </c>
      <c r="D139">
        <f t="shared" si="6"/>
        <v>0</v>
      </c>
      <c r="E139">
        <f t="shared" si="7"/>
        <v>0</v>
      </c>
      <c r="F139">
        <f t="shared" si="8"/>
        <v>0</v>
      </c>
      <c r="G139">
        <f t="shared" si="9"/>
        <v>0</v>
      </c>
      <c r="H139">
        <f t="shared" si="11"/>
        <v>1</v>
      </c>
      <c r="I139">
        <f t="shared" si="10"/>
        <v>0</v>
      </c>
    </row>
    <row r="140" spans="1:9">
      <c r="A140" s="48" t="str">
        <f>第一季度!J7</f>
        <v>B</v>
      </c>
      <c r="B140" s="48">
        <f>第一季度!K7</f>
        <v>1121</v>
      </c>
      <c r="C140">
        <f t="shared" si="5"/>
        <v>1</v>
      </c>
      <c r="D140">
        <f t="shared" si="6"/>
        <v>0</v>
      </c>
      <c r="E140">
        <f t="shared" si="7"/>
        <v>0</v>
      </c>
      <c r="F140">
        <f t="shared" si="8"/>
        <v>1</v>
      </c>
      <c r="G140">
        <f t="shared" si="9"/>
        <v>0</v>
      </c>
      <c r="H140">
        <f t="shared" si="11"/>
        <v>0</v>
      </c>
      <c r="I140">
        <f t="shared" si="10"/>
        <v>0</v>
      </c>
    </row>
    <row r="141" spans="1:9">
      <c r="A141" s="48" t="str">
        <f>第一季度!J8</f>
        <v>Q</v>
      </c>
      <c r="B141" s="48">
        <f>第一季度!K8</f>
        <v>212</v>
      </c>
      <c r="C141">
        <f t="shared" si="5"/>
        <v>0</v>
      </c>
      <c r="D141">
        <f t="shared" si="6"/>
        <v>1</v>
      </c>
      <c r="E141">
        <f t="shared" si="7"/>
        <v>0</v>
      </c>
      <c r="F141">
        <f t="shared" si="8"/>
        <v>1</v>
      </c>
      <c r="G141">
        <f t="shared" si="9"/>
        <v>0</v>
      </c>
      <c r="H141">
        <f t="shared" si="11"/>
        <v>0</v>
      </c>
      <c r="I141">
        <f t="shared" si="10"/>
        <v>0</v>
      </c>
    </row>
    <row r="142" spans="1:9">
      <c r="A142" s="48" t="str">
        <f>第一季度!J9</f>
        <v>Q</v>
      </c>
      <c r="B142" s="48">
        <f>第一季度!K9</f>
        <v>1121</v>
      </c>
      <c r="C142">
        <f t="shared" si="5"/>
        <v>1</v>
      </c>
      <c r="D142">
        <f t="shared" si="6"/>
        <v>0</v>
      </c>
      <c r="E142">
        <f t="shared" si="7"/>
        <v>0</v>
      </c>
      <c r="F142">
        <f t="shared" si="8"/>
        <v>1</v>
      </c>
      <c r="G142">
        <f t="shared" si="9"/>
        <v>0</v>
      </c>
      <c r="H142">
        <f t="shared" si="11"/>
        <v>0</v>
      </c>
      <c r="I142">
        <f t="shared" si="10"/>
        <v>0</v>
      </c>
    </row>
    <row r="143" spans="1:9">
      <c r="A143" s="48" t="str">
        <f>第一季度!J10</f>
        <v>L</v>
      </c>
      <c r="B143" s="48">
        <f>第一季度!K10</f>
        <v>121</v>
      </c>
      <c r="C143">
        <f t="shared" si="5"/>
        <v>1</v>
      </c>
      <c r="D143">
        <f t="shared" si="6"/>
        <v>0</v>
      </c>
      <c r="E143">
        <f t="shared" si="7"/>
        <v>0</v>
      </c>
      <c r="F143">
        <f t="shared" si="8"/>
        <v>0</v>
      </c>
      <c r="G143">
        <f t="shared" si="9"/>
        <v>1</v>
      </c>
      <c r="H143">
        <f t="shared" si="11"/>
        <v>0</v>
      </c>
      <c r="I143">
        <f t="shared" si="10"/>
        <v>1</v>
      </c>
    </row>
    <row r="144" spans="1:9">
      <c r="A144" s="48">
        <f>第一季度!J11</f>
        <v>0</v>
      </c>
      <c r="B144" s="48">
        <f>第一季度!K11</f>
        <v>212</v>
      </c>
      <c r="C144">
        <f t="shared" si="5"/>
        <v>0</v>
      </c>
      <c r="D144">
        <f t="shared" si="6"/>
        <v>1</v>
      </c>
      <c r="E144">
        <f t="shared" si="7"/>
        <v>0</v>
      </c>
      <c r="F144">
        <f t="shared" si="8"/>
        <v>1</v>
      </c>
      <c r="G144">
        <f t="shared" si="9"/>
        <v>0</v>
      </c>
      <c r="H144">
        <f t="shared" si="11"/>
        <v>0</v>
      </c>
      <c r="I144">
        <f t="shared" si="10"/>
        <v>0</v>
      </c>
    </row>
    <row r="145" spans="1:9">
      <c r="A145" s="48">
        <f>第一季度!J12</f>
        <v>0</v>
      </c>
      <c r="B145" s="48">
        <f>第一季度!K12</f>
        <v>1121</v>
      </c>
      <c r="C145">
        <f t="shared" si="5"/>
        <v>1</v>
      </c>
      <c r="D145">
        <f t="shared" si="6"/>
        <v>0</v>
      </c>
      <c r="E145">
        <f t="shared" si="7"/>
        <v>0</v>
      </c>
      <c r="F145">
        <f t="shared" si="8"/>
        <v>1</v>
      </c>
      <c r="G145">
        <f t="shared" si="9"/>
        <v>0</v>
      </c>
      <c r="H145">
        <f t="shared" si="11"/>
        <v>0</v>
      </c>
      <c r="I145">
        <f t="shared" si="10"/>
        <v>0</v>
      </c>
    </row>
    <row r="146" spans="1:9">
      <c r="A146" s="48">
        <f>第一季度!J13</f>
        <v>0</v>
      </c>
      <c r="B146" s="48">
        <f>第一季度!K13</f>
        <v>121</v>
      </c>
      <c r="C146">
        <f t="shared" si="5"/>
        <v>1</v>
      </c>
      <c r="D146">
        <f t="shared" si="6"/>
        <v>0</v>
      </c>
      <c r="E146">
        <f t="shared" si="7"/>
        <v>0</v>
      </c>
      <c r="F146">
        <f t="shared" si="8"/>
        <v>0</v>
      </c>
      <c r="G146">
        <f t="shared" si="9"/>
        <v>1</v>
      </c>
      <c r="H146">
        <f t="shared" si="11"/>
        <v>0</v>
      </c>
      <c r="I146">
        <f t="shared" si="10"/>
        <v>1</v>
      </c>
    </row>
    <row r="147" spans="1:9">
      <c r="A147" s="48">
        <f>第一季度!J14</f>
        <v>0</v>
      </c>
      <c r="B147" s="48">
        <f>第一季度!K14</f>
        <v>122</v>
      </c>
      <c r="C147">
        <f t="shared" si="5"/>
        <v>1</v>
      </c>
      <c r="D147">
        <f t="shared" si="6"/>
        <v>0</v>
      </c>
      <c r="E147">
        <f t="shared" si="7"/>
        <v>0</v>
      </c>
      <c r="F147">
        <f t="shared" si="8"/>
        <v>0</v>
      </c>
      <c r="G147">
        <f t="shared" si="9"/>
        <v>1</v>
      </c>
      <c r="H147">
        <f t="shared" si="11"/>
        <v>0</v>
      </c>
      <c r="I147">
        <f t="shared" si="10"/>
        <v>0</v>
      </c>
    </row>
    <row r="168" ht="35.4" spans="4:28">
      <c r="D168" s="50" t="s">
        <v>343</v>
      </c>
      <c r="E168" s="51"/>
      <c r="F168" s="51"/>
      <c r="G168" s="51"/>
      <c r="H168" s="51"/>
      <c r="I168" s="51"/>
      <c r="M168" s="51" t="s">
        <v>380</v>
      </c>
      <c r="N168" s="51"/>
      <c r="O168" s="51"/>
      <c r="P168" s="51"/>
      <c r="Q168" s="51"/>
      <c r="R168" s="51"/>
      <c r="W168" s="58" t="s">
        <v>381</v>
      </c>
      <c r="X168" s="58"/>
      <c r="Y168" s="58"/>
      <c r="Z168" s="58"/>
      <c r="AA168" s="58"/>
      <c r="AB168" s="58"/>
    </row>
    <row r="169" spans="4:28">
      <c r="D169" s="52"/>
      <c r="E169" s="31"/>
      <c r="F169" s="31"/>
      <c r="G169" s="31"/>
      <c r="H169" s="31" t="s">
        <v>221</v>
      </c>
      <c r="I169" s="31" t="s">
        <v>382</v>
      </c>
      <c r="M169" s="31"/>
      <c r="N169" s="31"/>
      <c r="O169" s="31"/>
      <c r="P169" s="31"/>
      <c r="Q169" s="31" t="s">
        <v>221</v>
      </c>
      <c r="R169" s="31" t="s">
        <v>382</v>
      </c>
      <c r="W169" s="59"/>
      <c r="X169" s="59"/>
      <c r="Y169" s="59"/>
      <c r="Z169" s="59"/>
      <c r="AA169" s="59" t="s">
        <v>221</v>
      </c>
      <c r="AB169" s="59" t="s">
        <v>382</v>
      </c>
    </row>
    <row r="170" spans="4:28">
      <c r="D170" s="53" t="s">
        <v>383</v>
      </c>
      <c r="E170" s="31" t="s">
        <v>384</v>
      </c>
      <c r="F170" s="31" t="s">
        <v>376</v>
      </c>
      <c r="G170" s="31" t="s">
        <v>77</v>
      </c>
      <c r="H170" s="54"/>
      <c r="I170" s="56">
        <v>0</v>
      </c>
      <c r="M170" s="57" t="s">
        <v>383</v>
      </c>
      <c r="N170" s="31" t="s">
        <v>384</v>
      </c>
      <c r="O170" s="31" t="s">
        <v>376</v>
      </c>
      <c r="P170" s="31" t="s">
        <v>77</v>
      </c>
      <c r="Q170" s="54"/>
      <c r="R170" s="56">
        <v>0</v>
      </c>
      <c r="W170" s="57" t="s">
        <v>383</v>
      </c>
      <c r="X170" s="59" t="s">
        <v>384</v>
      </c>
      <c r="Y170" s="59" t="s">
        <v>376</v>
      </c>
      <c r="Z170" s="59" t="s">
        <v>77</v>
      </c>
      <c r="AA170" s="54"/>
      <c r="AB170" s="60">
        <v>0</v>
      </c>
    </row>
    <row r="171" spans="4:28">
      <c r="D171" s="53"/>
      <c r="E171" s="31"/>
      <c r="F171" s="31"/>
      <c r="G171" s="31" t="s">
        <v>76</v>
      </c>
      <c r="H171" s="54"/>
      <c r="I171" s="56">
        <v>0</v>
      </c>
      <c r="M171" s="57"/>
      <c r="N171" s="31"/>
      <c r="O171" s="31"/>
      <c r="P171" s="31" t="s">
        <v>76</v>
      </c>
      <c r="Q171" s="54"/>
      <c r="R171" s="56">
        <v>0</v>
      </c>
      <c r="W171" s="57"/>
      <c r="X171" s="59"/>
      <c r="Y171" s="59"/>
      <c r="Z171" s="59" t="s">
        <v>76</v>
      </c>
      <c r="AA171" s="54"/>
      <c r="AB171" s="60">
        <v>0</v>
      </c>
    </row>
    <row r="172" spans="4:28">
      <c r="D172" s="53"/>
      <c r="E172" s="31"/>
      <c r="F172" s="31"/>
      <c r="G172" s="31" t="s">
        <v>75</v>
      </c>
      <c r="H172" s="54"/>
      <c r="I172" s="56">
        <v>0</v>
      </c>
      <c r="M172" s="57"/>
      <c r="N172" s="31"/>
      <c r="O172" s="31"/>
      <c r="P172" s="31" t="s">
        <v>75</v>
      </c>
      <c r="Q172" s="54"/>
      <c r="R172" s="56">
        <v>0</v>
      </c>
      <c r="W172" s="57"/>
      <c r="X172" s="59"/>
      <c r="Y172" s="59"/>
      <c r="Z172" s="59" t="s">
        <v>75</v>
      </c>
      <c r="AA172" s="54"/>
      <c r="AB172" s="60">
        <v>0</v>
      </c>
    </row>
    <row r="173" spans="4:28">
      <c r="D173" s="53"/>
      <c r="E173" s="31"/>
      <c r="F173" s="31" t="s">
        <v>370</v>
      </c>
      <c r="G173" s="31" t="s">
        <v>98</v>
      </c>
      <c r="H173" s="55"/>
      <c r="I173" s="56">
        <v>0</v>
      </c>
      <c r="M173" s="57"/>
      <c r="N173" s="31"/>
      <c r="O173" s="31" t="s">
        <v>370</v>
      </c>
      <c r="P173" s="31" t="s">
        <v>98</v>
      </c>
      <c r="Q173" s="55"/>
      <c r="R173" s="56">
        <v>0</v>
      </c>
      <c r="W173" s="57"/>
      <c r="X173" s="59"/>
      <c r="Y173" s="59" t="s">
        <v>370</v>
      </c>
      <c r="Z173" s="59" t="s">
        <v>98</v>
      </c>
      <c r="AA173" s="55"/>
      <c r="AB173" s="60">
        <v>0</v>
      </c>
    </row>
    <row r="174" spans="4:28">
      <c r="D174" s="53"/>
      <c r="E174" s="31"/>
      <c r="F174" s="31"/>
      <c r="G174" s="31" t="s">
        <v>99</v>
      </c>
      <c r="H174" s="54"/>
      <c r="I174" s="56">
        <v>0</v>
      </c>
      <c r="M174" s="57"/>
      <c r="N174" s="31"/>
      <c r="O174" s="31"/>
      <c r="P174" s="31" t="s">
        <v>99</v>
      </c>
      <c r="Q174" s="54"/>
      <c r="R174" s="56">
        <v>0</v>
      </c>
      <c r="W174" s="57"/>
      <c r="X174" s="59"/>
      <c r="Y174" s="59"/>
      <c r="Z174" s="59" t="s">
        <v>99</v>
      </c>
      <c r="AA174" s="54"/>
      <c r="AB174" s="60">
        <v>0</v>
      </c>
    </row>
    <row r="175" spans="4:28">
      <c r="D175" s="53"/>
      <c r="E175" s="31"/>
      <c r="F175" s="31"/>
      <c r="G175" s="31" t="s">
        <v>100</v>
      </c>
      <c r="H175" s="54"/>
      <c r="I175" s="56">
        <v>0</v>
      </c>
      <c r="M175" s="57"/>
      <c r="N175" s="31"/>
      <c r="O175" s="31"/>
      <c r="P175" s="31" t="s">
        <v>100</v>
      </c>
      <c r="Q175" s="54"/>
      <c r="R175" s="56">
        <v>0</v>
      </c>
      <c r="W175" s="57"/>
      <c r="X175" s="59"/>
      <c r="Y175" s="59"/>
      <c r="Z175" s="59" t="s">
        <v>100</v>
      </c>
      <c r="AA175" s="54"/>
      <c r="AB175" s="60">
        <v>0</v>
      </c>
    </row>
    <row r="176" spans="4:28">
      <c r="D176" s="53"/>
      <c r="E176" s="31"/>
      <c r="F176" s="31"/>
      <c r="G176" s="31" t="s">
        <v>101</v>
      </c>
      <c r="H176" s="54"/>
      <c r="I176" s="56">
        <v>0</v>
      </c>
      <c r="M176" s="57"/>
      <c r="N176" s="31"/>
      <c r="O176" s="31"/>
      <c r="P176" s="31" t="s">
        <v>101</v>
      </c>
      <c r="Q176" s="54"/>
      <c r="R176" s="56">
        <v>0</v>
      </c>
      <c r="W176" s="57"/>
      <c r="X176" s="59"/>
      <c r="Y176" s="59"/>
      <c r="Z176" s="59" t="s">
        <v>101</v>
      </c>
      <c r="AA176" s="54"/>
      <c r="AB176" s="60">
        <v>0</v>
      </c>
    </row>
    <row r="177" spans="4:28">
      <c r="D177" s="53"/>
      <c r="E177" s="31" t="s">
        <v>385</v>
      </c>
      <c r="F177" s="31" t="s">
        <v>376</v>
      </c>
      <c r="G177" s="31" t="s">
        <v>77</v>
      </c>
      <c r="H177" s="54"/>
      <c r="I177" s="56">
        <f>H177*参数调整!$J$23*参数调整!$B$28</f>
        <v>0</v>
      </c>
      <c r="M177" s="57"/>
      <c r="N177" s="31" t="s">
        <v>385</v>
      </c>
      <c r="O177" s="31" t="s">
        <v>376</v>
      </c>
      <c r="P177" s="31" t="s">
        <v>77</v>
      </c>
      <c r="Q177" s="54"/>
      <c r="R177" s="56">
        <f>Q177*参数调整!$J$23*参数调整!$B$28</f>
        <v>0</v>
      </c>
      <c r="W177" s="57"/>
      <c r="X177" s="59" t="s">
        <v>385</v>
      </c>
      <c r="Y177" s="59" t="s">
        <v>376</v>
      </c>
      <c r="Z177" s="59" t="s">
        <v>77</v>
      </c>
      <c r="AA177" s="54"/>
      <c r="AB177" s="60">
        <f>AA177*参数调整!$J$23*参数调整!$B$28</f>
        <v>0</v>
      </c>
    </row>
    <row r="178" spans="4:28">
      <c r="D178" s="53"/>
      <c r="E178" s="31"/>
      <c r="F178" s="31"/>
      <c r="G178" s="31" t="s">
        <v>76</v>
      </c>
      <c r="H178" s="54"/>
      <c r="I178" s="56">
        <f>H178*参数调整!$H$23*参数调整!$B$28</f>
        <v>0</v>
      </c>
      <c r="M178" s="57"/>
      <c r="N178" s="31"/>
      <c r="O178" s="31"/>
      <c r="P178" s="31" t="s">
        <v>76</v>
      </c>
      <c r="Q178" s="54"/>
      <c r="R178" s="56">
        <f>Q178*参数调整!$H$23*参数调整!$B$28</f>
        <v>0</v>
      </c>
      <c r="W178" s="57"/>
      <c r="X178" s="59"/>
      <c r="Y178" s="59"/>
      <c r="Z178" s="59" t="s">
        <v>76</v>
      </c>
      <c r="AA178" s="54"/>
      <c r="AB178" s="60">
        <f>AA178*参数调整!$H$23*参数调整!$B$28</f>
        <v>0</v>
      </c>
    </row>
    <row r="179" spans="4:28">
      <c r="D179" s="53"/>
      <c r="E179" s="31"/>
      <c r="F179" s="31"/>
      <c r="G179" s="31" t="s">
        <v>75</v>
      </c>
      <c r="H179" s="54"/>
      <c r="I179" s="56">
        <f>H179*参数调整!$F$23*参数调整!$B$28</f>
        <v>0</v>
      </c>
      <c r="M179" s="57"/>
      <c r="N179" s="31"/>
      <c r="O179" s="31"/>
      <c r="P179" s="31" t="s">
        <v>75</v>
      </c>
      <c r="Q179" s="54"/>
      <c r="R179" s="56">
        <f>Q179*参数调整!$F$23*参数调整!$B$28</f>
        <v>0</v>
      </c>
      <c r="W179" s="57"/>
      <c r="X179" s="59"/>
      <c r="Y179" s="59"/>
      <c r="Z179" s="59" t="s">
        <v>75</v>
      </c>
      <c r="AA179" s="54"/>
      <c r="AB179" s="60">
        <f>AA179*参数调整!$F$23*参数调整!$B$28</f>
        <v>0</v>
      </c>
    </row>
    <row r="180" spans="4:28">
      <c r="D180" s="53"/>
      <c r="E180" s="31"/>
      <c r="F180" s="31" t="s">
        <v>370</v>
      </c>
      <c r="G180" s="31" t="s">
        <v>98</v>
      </c>
      <c r="H180" s="54">
        <v>0</v>
      </c>
      <c r="I180" s="56">
        <f>H180*参数调整!$F$29*参数调整!$B$29</f>
        <v>0</v>
      </c>
      <c r="M180" s="57"/>
      <c r="N180" s="31"/>
      <c r="O180" s="31" t="s">
        <v>370</v>
      </c>
      <c r="P180" s="31" t="s">
        <v>98</v>
      </c>
      <c r="Q180" s="54"/>
      <c r="R180" s="56">
        <f>Q180*参数调整!$F$29*参数调整!$B$29</f>
        <v>0</v>
      </c>
      <c r="W180" s="57"/>
      <c r="X180" s="59"/>
      <c r="Y180" s="59" t="s">
        <v>370</v>
      </c>
      <c r="Z180" s="59" t="s">
        <v>98</v>
      </c>
      <c r="AA180" s="54"/>
      <c r="AB180" s="60">
        <f>AA180*参数调整!$F$29*参数调整!$B$29</f>
        <v>0</v>
      </c>
    </row>
    <row r="181" spans="4:28">
      <c r="D181" s="53"/>
      <c r="E181" s="31"/>
      <c r="F181" s="31"/>
      <c r="G181" s="31" t="s">
        <v>99</v>
      </c>
      <c r="H181" s="54"/>
      <c r="I181" s="56">
        <f>H181*参数调整!$G$29*参数调整!$B$29</f>
        <v>0</v>
      </c>
      <c r="M181" s="57"/>
      <c r="N181" s="31"/>
      <c r="O181" s="31"/>
      <c r="P181" s="31" t="s">
        <v>99</v>
      </c>
      <c r="Q181" s="54"/>
      <c r="R181" s="56">
        <f>Q181*参数调整!$G$29*参数调整!$B$29</f>
        <v>0</v>
      </c>
      <c r="W181" s="57"/>
      <c r="X181" s="59"/>
      <c r="Y181" s="59"/>
      <c r="Z181" s="59" t="s">
        <v>99</v>
      </c>
      <c r="AA181" s="54"/>
      <c r="AB181" s="60">
        <f>AA181*参数调整!$G$29*参数调整!$B$29</f>
        <v>0</v>
      </c>
    </row>
    <row r="182" spans="4:28">
      <c r="D182" s="53"/>
      <c r="E182" s="31"/>
      <c r="F182" s="31"/>
      <c r="G182" s="31" t="s">
        <v>100</v>
      </c>
      <c r="H182" s="54"/>
      <c r="I182" s="56">
        <f>H182*参数调整!$H$29*参数调整!$B$29</f>
        <v>0</v>
      </c>
      <c r="M182" s="57"/>
      <c r="N182" s="31"/>
      <c r="O182" s="31"/>
      <c r="P182" s="31" t="s">
        <v>100</v>
      </c>
      <c r="Q182" s="54"/>
      <c r="R182" s="56">
        <f>Q182*参数调整!$H$29*参数调整!$B$29</f>
        <v>0</v>
      </c>
      <c r="W182" s="57"/>
      <c r="X182" s="59"/>
      <c r="Y182" s="59"/>
      <c r="Z182" s="59" t="s">
        <v>100</v>
      </c>
      <c r="AA182" s="54"/>
      <c r="AB182" s="60">
        <f>AA182*参数调整!$H$29*参数调整!$B$29</f>
        <v>0</v>
      </c>
    </row>
    <row r="183" spans="4:28">
      <c r="D183" s="53"/>
      <c r="E183" s="31"/>
      <c r="F183" s="31"/>
      <c r="G183" s="31" t="s">
        <v>101</v>
      </c>
      <c r="H183" s="54"/>
      <c r="I183" s="56">
        <f>H183*参数调整!$I$29*参数调整!$B$29</f>
        <v>0</v>
      </c>
      <c r="M183" s="57"/>
      <c r="N183" s="31"/>
      <c r="O183" s="31"/>
      <c r="P183" s="31" t="s">
        <v>101</v>
      </c>
      <c r="Q183" s="54"/>
      <c r="R183" s="56">
        <f>Q183*参数调整!$I$29*参数调整!$B$29</f>
        <v>0</v>
      </c>
      <c r="W183" s="57"/>
      <c r="X183" s="59"/>
      <c r="Y183" s="59"/>
      <c r="Z183" s="59" t="s">
        <v>101</v>
      </c>
      <c r="AA183" s="54"/>
      <c r="AB183" s="60">
        <f>AA183*参数调整!$I$29*参数调整!$B$29</f>
        <v>0</v>
      </c>
    </row>
    <row r="184" spans="4:28">
      <c r="D184" s="53"/>
      <c r="E184" s="31" t="s">
        <v>386</v>
      </c>
      <c r="F184" s="31" t="s">
        <v>376</v>
      </c>
      <c r="G184" s="31" t="s">
        <v>77</v>
      </c>
      <c r="H184" s="54"/>
      <c r="I184" s="56">
        <f>H184*参数调整!$J$23*参数调整!$B$28*(1-参数调整!$B$28)</f>
        <v>0</v>
      </c>
      <c r="M184" s="57"/>
      <c r="N184" s="31" t="s">
        <v>386</v>
      </c>
      <c r="O184" s="31" t="s">
        <v>376</v>
      </c>
      <c r="P184" s="31" t="s">
        <v>77</v>
      </c>
      <c r="Q184" s="54"/>
      <c r="R184" s="56">
        <f>Q184*参数调整!$J$23*参数调整!$B$28*(1-参数调整!$B$28)</f>
        <v>0</v>
      </c>
      <c r="W184" s="57"/>
      <c r="X184" s="59" t="s">
        <v>386</v>
      </c>
      <c r="Y184" s="59" t="s">
        <v>376</v>
      </c>
      <c r="Z184" s="59" t="s">
        <v>77</v>
      </c>
      <c r="AA184" s="54"/>
      <c r="AB184" s="60">
        <f>AA184*参数调整!$J$23*参数调整!$B$28*(1-参数调整!$B$28)</f>
        <v>0</v>
      </c>
    </row>
    <row r="185" spans="4:28">
      <c r="D185" s="53"/>
      <c r="E185" s="31"/>
      <c r="F185" s="31"/>
      <c r="G185" s="31" t="s">
        <v>76</v>
      </c>
      <c r="H185" s="54"/>
      <c r="I185" s="56">
        <f>H185*参数调整!$H$23*参数调整!$B$28*(1-参数调整!$B$28)</f>
        <v>0</v>
      </c>
      <c r="M185" s="57"/>
      <c r="N185" s="31"/>
      <c r="O185" s="31"/>
      <c r="P185" s="31" t="s">
        <v>76</v>
      </c>
      <c r="Q185" s="54"/>
      <c r="R185" s="56">
        <f>Q185*参数调整!$H$23*参数调整!$B$28*(1-参数调整!$B$28)</f>
        <v>0</v>
      </c>
      <c r="W185" s="57"/>
      <c r="X185" s="59"/>
      <c r="Y185" s="59"/>
      <c r="Z185" s="59" t="s">
        <v>76</v>
      </c>
      <c r="AA185" s="54"/>
      <c r="AB185" s="60">
        <f>AA185*参数调整!$H$23*参数调整!$B$28*(1-参数调整!$B$28)</f>
        <v>0</v>
      </c>
    </row>
    <row r="186" spans="4:28">
      <c r="D186" s="53"/>
      <c r="E186" s="31"/>
      <c r="F186" s="31"/>
      <c r="G186" s="31" t="s">
        <v>75</v>
      </c>
      <c r="H186" s="54"/>
      <c r="I186" s="56">
        <f>H186*参数调整!$F$23*参数调整!$B$28*(1-参数调整!$B$28)</f>
        <v>0</v>
      </c>
      <c r="M186" s="57"/>
      <c r="N186" s="31"/>
      <c r="O186" s="31"/>
      <c r="P186" s="31" t="s">
        <v>75</v>
      </c>
      <c r="Q186" s="54"/>
      <c r="R186" s="56">
        <f>Q186*参数调整!$F$23*参数调整!$B$28*(1-参数调整!$B$28)</f>
        <v>0</v>
      </c>
      <c r="W186" s="57"/>
      <c r="X186" s="59"/>
      <c r="Y186" s="59"/>
      <c r="Z186" s="59" t="s">
        <v>75</v>
      </c>
      <c r="AA186" s="54"/>
      <c r="AB186" s="60">
        <f>AA186*参数调整!$F$23*参数调整!$B$28*(1-参数调整!$B$28)</f>
        <v>0</v>
      </c>
    </row>
    <row r="187" spans="4:28">
      <c r="D187" s="53"/>
      <c r="E187" s="31"/>
      <c r="F187" s="31" t="s">
        <v>370</v>
      </c>
      <c r="G187" s="31" t="s">
        <v>98</v>
      </c>
      <c r="H187" s="54">
        <v>0</v>
      </c>
      <c r="I187" s="56">
        <f>H187*参数调整!$F$29*参数调整!$B$29*(1-参数调整!$B$29)</f>
        <v>0</v>
      </c>
      <c r="M187" s="57"/>
      <c r="N187" s="31"/>
      <c r="O187" s="31" t="s">
        <v>370</v>
      </c>
      <c r="P187" s="31" t="s">
        <v>98</v>
      </c>
      <c r="Q187" s="54">
        <v>2</v>
      </c>
      <c r="R187" s="56">
        <f>Q187*参数调整!$F$29*参数调整!$B$29*(1-参数调整!$B$29)</f>
        <v>11400</v>
      </c>
      <c r="W187" s="57"/>
      <c r="X187" s="59"/>
      <c r="Y187" s="59" t="s">
        <v>370</v>
      </c>
      <c r="Z187" s="59" t="s">
        <v>98</v>
      </c>
      <c r="AA187" s="54">
        <v>0</v>
      </c>
      <c r="AB187" s="60">
        <f>AA187*参数调整!$F$29*参数调整!$B$29*(1-参数调整!$B$29)</f>
        <v>0</v>
      </c>
    </row>
    <row r="188" spans="4:28">
      <c r="D188" s="53"/>
      <c r="E188" s="31"/>
      <c r="F188" s="31"/>
      <c r="G188" s="31" t="s">
        <v>99</v>
      </c>
      <c r="H188" s="54"/>
      <c r="I188" s="56">
        <f>H188*参数调整!$G$29*参数调整!$B$29*(1-参数调整!$B$29)</f>
        <v>0</v>
      </c>
      <c r="M188" s="57"/>
      <c r="N188" s="31"/>
      <c r="O188" s="31"/>
      <c r="P188" s="31" t="s">
        <v>99</v>
      </c>
      <c r="Q188" s="54"/>
      <c r="R188" s="56">
        <f>Q188*参数调整!$G$29*参数调整!$B$29*(1-参数调整!$B$29)</f>
        <v>0</v>
      </c>
      <c r="W188" s="57"/>
      <c r="X188" s="59"/>
      <c r="Y188" s="59"/>
      <c r="Z188" s="59" t="s">
        <v>99</v>
      </c>
      <c r="AA188" s="54"/>
      <c r="AB188" s="60">
        <f>AA188*参数调整!$G$29*参数调整!$B$29*(1-参数调整!$B$29)</f>
        <v>0</v>
      </c>
    </row>
    <row r="189" spans="4:28">
      <c r="D189" s="53"/>
      <c r="E189" s="31"/>
      <c r="F189" s="31"/>
      <c r="G189" s="31" t="s">
        <v>100</v>
      </c>
      <c r="H189" s="54"/>
      <c r="I189" s="56">
        <f>H189*参数调整!$H$29*参数调整!$B$29*(1-参数调整!$B$29)</f>
        <v>0</v>
      </c>
      <c r="M189" s="57"/>
      <c r="N189" s="31"/>
      <c r="O189" s="31"/>
      <c r="P189" s="31" t="s">
        <v>100</v>
      </c>
      <c r="Q189" s="54"/>
      <c r="R189" s="56">
        <f>Q189*参数调整!$H$29*参数调整!$B$29*(1-参数调整!$B$29)</f>
        <v>0</v>
      </c>
      <c r="W189" s="57"/>
      <c r="X189" s="59"/>
      <c r="Y189" s="59"/>
      <c r="Z189" s="59" t="s">
        <v>100</v>
      </c>
      <c r="AA189" s="54"/>
      <c r="AB189" s="60">
        <f>AA189*参数调整!$H$29*参数调整!$B$29*(1-参数调整!$B$29)</f>
        <v>0</v>
      </c>
    </row>
    <row r="190" spans="4:28">
      <c r="D190" s="53"/>
      <c r="E190" s="31"/>
      <c r="F190" s="31"/>
      <c r="G190" s="31" t="s">
        <v>101</v>
      </c>
      <c r="H190" s="54"/>
      <c r="I190" s="56">
        <f>H190*参数调整!$I$29*参数调整!$B$29*(1-参数调整!$B$29)</f>
        <v>0</v>
      </c>
      <c r="M190" s="57"/>
      <c r="N190" s="31"/>
      <c r="O190" s="31"/>
      <c r="P190" s="31" t="s">
        <v>101</v>
      </c>
      <c r="Q190" s="54"/>
      <c r="R190" s="56">
        <f>Q190*参数调整!$I$29*参数调整!$B$29*(1-参数调整!$B$29)</f>
        <v>0</v>
      </c>
      <c r="W190" s="57"/>
      <c r="X190" s="59"/>
      <c r="Y190" s="59"/>
      <c r="Z190" s="59" t="s">
        <v>101</v>
      </c>
      <c r="AA190" s="54"/>
      <c r="AB190" s="60">
        <f>AA190*参数调整!$I$29*参数调整!$B$29*(1-参数调整!$B$29)</f>
        <v>0</v>
      </c>
    </row>
    <row r="191" spans="4:28">
      <c r="D191" s="53"/>
      <c r="E191" s="31" t="s">
        <v>387</v>
      </c>
      <c r="F191" s="31" t="s">
        <v>376</v>
      </c>
      <c r="G191" s="31" t="s">
        <v>77</v>
      </c>
      <c r="H191" s="54"/>
      <c r="I191" s="56">
        <f>H191*参数调整!$J$23*参数调整!$B$28*POWER((1-参数调整!$B$28),2)</f>
        <v>0</v>
      </c>
      <c r="M191" s="57"/>
      <c r="N191" s="31" t="s">
        <v>387</v>
      </c>
      <c r="O191" s="31" t="s">
        <v>376</v>
      </c>
      <c r="P191" s="31" t="s">
        <v>77</v>
      </c>
      <c r="Q191" s="54"/>
      <c r="R191" s="56">
        <f>Q191*参数调整!$J$23*参数调整!$B$28*POWER((1-参数调整!$B$28),2)</f>
        <v>0</v>
      </c>
      <c r="W191" s="57"/>
      <c r="X191" s="59" t="s">
        <v>387</v>
      </c>
      <c r="Y191" s="59" t="s">
        <v>376</v>
      </c>
      <c r="Z191" s="59" t="s">
        <v>77</v>
      </c>
      <c r="AA191" s="54"/>
      <c r="AB191" s="60">
        <f>AA191*参数调整!$J$23*参数调整!$B$28*POWER((1-参数调整!$B$28),2)</f>
        <v>0</v>
      </c>
    </row>
    <row r="192" spans="4:28">
      <c r="D192" s="53"/>
      <c r="E192" s="31"/>
      <c r="F192" s="31"/>
      <c r="G192" s="31" t="s">
        <v>76</v>
      </c>
      <c r="H192" s="54"/>
      <c r="I192" s="56">
        <f>H192*参数调整!$H$23*参数调整!$B$28*POWER((1-参数调整!$B$28),2)</f>
        <v>0</v>
      </c>
      <c r="M192" s="57"/>
      <c r="N192" s="31"/>
      <c r="O192" s="31"/>
      <c r="P192" s="31" t="s">
        <v>76</v>
      </c>
      <c r="Q192" s="54"/>
      <c r="R192" s="56">
        <f>Q192*参数调整!$H$23*参数调整!$B$28*POWER((1-参数调整!$B$28),2)</f>
        <v>0</v>
      </c>
      <c r="W192" s="57"/>
      <c r="X192" s="59"/>
      <c r="Y192" s="59"/>
      <c r="Z192" s="59" t="s">
        <v>76</v>
      </c>
      <c r="AA192" s="54"/>
      <c r="AB192" s="60">
        <f>AA192*参数调整!$H$23*参数调整!$B$28*POWER((1-参数调整!$B$28),2)</f>
        <v>0</v>
      </c>
    </row>
    <row r="193" spans="4:28">
      <c r="D193" s="53"/>
      <c r="E193" s="31"/>
      <c r="F193" s="31"/>
      <c r="G193" s="31" t="s">
        <v>75</v>
      </c>
      <c r="H193" s="54"/>
      <c r="I193" s="56">
        <f>H193*参数调整!$F$23*参数调整!$B$28*POWER((1-参数调整!$B$28),2)</f>
        <v>0</v>
      </c>
      <c r="M193" s="57"/>
      <c r="N193" s="31"/>
      <c r="O193" s="31"/>
      <c r="P193" s="31" t="s">
        <v>75</v>
      </c>
      <c r="Q193" s="54"/>
      <c r="R193" s="56">
        <f>Q193*参数调整!$F$23*参数调整!$B$28*POWER((1-参数调整!$B$28),2)</f>
        <v>0</v>
      </c>
      <c r="W193" s="57"/>
      <c r="X193" s="59"/>
      <c r="Y193" s="59"/>
      <c r="Z193" s="59" t="s">
        <v>75</v>
      </c>
      <c r="AA193" s="54"/>
      <c r="AB193" s="60">
        <f>AA193*参数调整!$F$23*参数调整!$B$28*POWER((1-参数调整!$B$28),2)</f>
        <v>0</v>
      </c>
    </row>
    <row r="194" spans="4:28">
      <c r="D194" s="53"/>
      <c r="E194" s="31"/>
      <c r="F194" s="31" t="s">
        <v>370</v>
      </c>
      <c r="G194" s="31" t="s">
        <v>98</v>
      </c>
      <c r="H194" s="54"/>
      <c r="I194" s="56">
        <f>H194*参数调整!$F$29*参数调整!$B$29*POWER((1-参数调整!$B$29),2)</f>
        <v>0</v>
      </c>
      <c r="M194" s="57"/>
      <c r="N194" s="31"/>
      <c r="O194" s="31" t="s">
        <v>370</v>
      </c>
      <c r="P194" s="31" t="s">
        <v>98</v>
      </c>
      <c r="Q194" s="54"/>
      <c r="R194" s="56">
        <f>Q194*参数调整!$F$29*参数调整!$B$29*POWER((1-参数调整!$B$29),2)</f>
        <v>0</v>
      </c>
      <c r="W194" s="57"/>
      <c r="X194" s="59"/>
      <c r="Y194" s="59" t="s">
        <v>370</v>
      </c>
      <c r="Z194" s="59" t="s">
        <v>98</v>
      </c>
      <c r="AA194" s="54"/>
      <c r="AB194" s="60">
        <f>AA194*参数调整!$F$29*参数调整!$B$29*POWER((1-参数调整!$B$29),2)</f>
        <v>0</v>
      </c>
    </row>
    <row r="195" spans="4:28">
      <c r="D195" s="53"/>
      <c r="E195" s="31"/>
      <c r="F195" s="31"/>
      <c r="G195" s="31" t="s">
        <v>99</v>
      </c>
      <c r="H195" s="54"/>
      <c r="I195" s="56">
        <f>H195*参数调整!$G$29*参数调整!$B$29*POWER((1-参数调整!$B$29),2)</f>
        <v>0</v>
      </c>
      <c r="M195" s="57"/>
      <c r="N195" s="31"/>
      <c r="O195" s="31"/>
      <c r="P195" s="31" t="s">
        <v>99</v>
      </c>
      <c r="Q195" s="54"/>
      <c r="R195" s="56">
        <f>Q195*参数调整!$G$29*参数调整!$B$29*POWER((1-参数调整!$B$29),2)</f>
        <v>0</v>
      </c>
      <c r="W195" s="57"/>
      <c r="X195" s="59"/>
      <c r="Y195" s="59"/>
      <c r="Z195" s="59" t="s">
        <v>99</v>
      </c>
      <c r="AA195" s="54"/>
      <c r="AB195" s="60">
        <f>AA195*参数调整!$G$29*参数调整!$B$29*POWER((1-参数调整!$B$29),2)</f>
        <v>0</v>
      </c>
    </row>
    <row r="196" spans="4:28">
      <c r="D196" s="53"/>
      <c r="E196" s="31"/>
      <c r="F196" s="31"/>
      <c r="G196" s="31" t="s">
        <v>100</v>
      </c>
      <c r="H196" s="54"/>
      <c r="I196" s="56">
        <f>H196*参数调整!$H$29*参数调整!$B$29*POWER((1-参数调整!$B$29),2)</f>
        <v>0</v>
      </c>
      <c r="M196" s="57"/>
      <c r="N196" s="31"/>
      <c r="O196" s="31"/>
      <c r="P196" s="31" t="s">
        <v>100</v>
      </c>
      <c r="Q196" s="54"/>
      <c r="R196" s="56">
        <f>Q196*参数调整!$H$29*参数调整!$B$29*POWER((1-参数调整!$B$29),2)</f>
        <v>0</v>
      </c>
      <c r="W196" s="57"/>
      <c r="X196" s="59"/>
      <c r="Y196" s="59"/>
      <c r="Z196" s="59" t="s">
        <v>100</v>
      </c>
      <c r="AA196" s="54"/>
      <c r="AB196" s="60">
        <f>AA196*参数调整!$H$29*参数调整!$B$29*POWER((1-参数调整!$B$29),2)</f>
        <v>0</v>
      </c>
    </row>
    <row r="197" spans="4:28">
      <c r="D197" s="53"/>
      <c r="E197" s="31"/>
      <c r="F197" s="31"/>
      <c r="G197" s="31" t="s">
        <v>101</v>
      </c>
      <c r="H197" s="54"/>
      <c r="I197" s="56">
        <f>H197*参数调整!$I$29*参数调整!$B$29*POWER((1-参数调整!$B$29),2)</f>
        <v>0</v>
      </c>
      <c r="M197" s="57"/>
      <c r="N197" s="31"/>
      <c r="O197" s="31"/>
      <c r="P197" s="31" t="s">
        <v>101</v>
      </c>
      <c r="Q197" s="54"/>
      <c r="R197" s="56">
        <f>Q197*参数调整!$I$29*参数调整!$B$29*POWER((1-参数调整!$B$29),2)</f>
        <v>0</v>
      </c>
      <c r="W197" s="57"/>
      <c r="X197" s="59"/>
      <c r="Y197" s="59"/>
      <c r="Z197" s="59" t="s">
        <v>101</v>
      </c>
      <c r="AA197" s="54"/>
      <c r="AB197" s="60">
        <f>AA197*参数调整!$I$29*参数调整!$B$29*POWER((1-参数调整!$B$29),2)</f>
        <v>0</v>
      </c>
    </row>
    <row r="198" spans="4:28">
      <c r="D198" s="53"/>
      <c r="E198" s="31" t="s">
        <v>388</v>
      </c>
      <c r="F198" s="31" t="s">
        <v>376</v>
      </c>
      <c r="G198" s="31" t="s">
        <v>77</v>
      </c>
      <c r="H198" s="54"/>
      <c r="I198" s="56">
        <f>H198*参数调整!$J$23*参数调整!$B$28*POWER((1-参数调整!$B$28),3)</f>
        <v>0</v>
      </c>
      <c r="M198" s="57"/>
      <c r="N198" s="31" t="s">
        <v>388</v>
      </c>
      <c r="O198" s="31" t="s">
        <v>376</v>
      </c>
      <c r="P198" s="31" t="s">
        <v>77</v>
      </c>
      <c r="Q198" s="54"/>
      <c r="R198" s="56">
        <f>Q198*参数调整!$J$23*参数调整!$B$28*POWER((1-参数调整!$B$28),3)</f>
        <v>0</v>
      </c>
      <c r="W198" s="57"/>
      <c r="X198" s="59" t="s">
        <v>388</v>
      </c>
      <c r="Y198" s="59" t="s">
        <v>376</v>
      </c>
      <c r="Z198" s="59" t="s">
        <v>77</v>
      </c>
      <c r="AA198" s="54"/>
      <c r="AB198" s="60">
        <f>AA198*参数调整!$J$23*参数调整!$B$28*POWER((1-参数调整!$B$28),3)</f>
        <v>0</v>
      </c>
    </row>
    <row r="199" spans="4:28">
      <c r="D199" s="57"/>
      <c r="E199" s="31"/>
      <c r="F199" s="31"/>
      <c r="G199" s="31" t="s">
        <v>76</v>
      </c>
      <c r="H199" s="54"/>
      <c r="I199" s="56">
        <f>H199*参数调整!$H$23*参数调整!$B$28*POWER((1-参数调整!$B$28),3)</f>
        <v>0</v>
      </c>
      <c r="M199" s="57"/>
      <c r="N199" s="31"/>
      <c r="O199" s="31"/>
      <c r="P199" s="31" t="s">
        <v>76</v>
      </c>
      <c r="Q199" s="54"/>
      <c r="R199" s="56">
        <f>Q199*参数调整!$H$23*参数调整!$B$28*POWER((1-参数调整!$B$28),3)</f>
        <v>0</v>
      </c>
      <c r="W199" s="57"/>
      <c r="X199" s="59"/>
      <c r="Y199" s="59"/>
      <c r="Z199" s="59" t="s">
        <v>76</v>
      </c>
      <c r="AA199" s="54"/>
      <c r="AB199" s="60">
        <f>AA199*参数调整!$H$23*参数调整!$B$28*POWER((1-参数调整!$B$28),3)</f>
        <v>0</v>
      </c>
    </row>
    <row r="200" spans="4:28">
      <c r="D200" s="57"/>
      <c r="E200" s="31"/>
      <c r="F200" s="31"/>
      <c r="G200" s="31" t="s">
        <v>75</v>
      </c>
      <c r="H200" s="54"/>
      <c r="I200" s="56">
        <f>H200*参数调整!$F$23*参数调整!$B$28*POWER((1-参数调整!$B$28),3)</f>
        <v>0</v>
      </c>
      <c r="M200" s="57"/>
      <c r="N200" s="31"/>
      <c r="O200" s="31"/>
      <c r="P200" s="31" t="s">
        <v>75</v>
      </c>
      <c r="Q200" s="54"/>
      <c r="R200" s="56">
        <f>Q200*参数调整!$F$23*参数调整!$B$28*POWER((1-参数调整!$B$28),3)</f>
        <v>0</v>
      </c>
      <c r="W200" s="57"/>
      <c r="X200" s="59"/>
      <c r="Y200" s="59"/>
      <c r="Z200" s="59" t="s">
        <v>75</v>
      </c>
      <c r="AA200" s="54"/>
      <c r="AB200" s="60">
        <f>AA200*参数调整!$F$23*参数调整!$B$28*POWER((1-参数调整!$B$28),3)</f>
        <v>0</v>
      </c>
    </row>
    <row r="201" spans="4:28">
      <c r="D201" s="57"/>
      <c r="E201" s="31"/>
      <c r="F201" s="31" t="s">
        <v>370</v>
      </c>
      <c r="G201" s="31" t="s">
        <v>98</v>
      </c>
      <c r="H201" s="54"/>
      <c r="I201" s="56">
        <f>H201*参数调整!$F$29*参数调整!$B$29*POWER((1-参数调整!$B$29),3)</f>
        <v>0</v>
      </c>
      <c r="M201" s="57"/>
      <c r="N201" s="31"/>
      <c r="O201" s="31" t="s">
        <v>370</v>
      </c>
      <c r="P201" s="31" t="s">
        <v>98</v>
      </c>
      <c r="Q201" s="54"/>
      <c r="R201" s="56">
        <f>Q201*参数调整!$F$29*参数调整!$B$29*POWER((1-参数调整!$B$29),3)</f>
        <v>0</v>
      </c>
      <c r="W201" s="57"/>
      <c r="X201" s="59"/>
      <c r="Y201" s="59" t="s">
        <v>370</v>
      </c>
      <c r="Z201" s="59" t="s">
        <v>98</v>
      </c>
      <c r="AA201" s="54"/>
      <c r="AB201" s="60">
        <f>AA201*参数调整!$F$29*参数调整!$B$29*POWER((1-参数调整!$B$29),3)</f>
        <v>0</v>
      </c>
    </row>
    <row r="202" spans="4:28">
      <c r="D202" s="57"/>
      <c r="E202" s="31"/>
      <c r="F202" s="31"/>
      <c r="G202" s="31" t="s">
        <v>99</v>
      </c>
      <c r="H202" s="54"/>
      <c r="I202" s="56">
        <f>H202*参数调整!$G$29*参数调整!$B$29*POWER((1-参数调整!$B$29),3)</f>
        <v>0</v>
      </c>
      <c r="M202" s="57"/>
      <c r="N202" s="31"/>
      <c r="O202" s="31"/>
      <c r="P202" s="31" t="s">
        <v>99</v>
      </c>
      <c r="Q202" s="54"/>
      <c r="R202" s="56">
        <f>Q202*参数调整!$G$29*参数调整!$B$29*POWER((1-参数调整!$B$29),3)</f>
        <v>0</v>
      </c>
      <c r="W202" s="57"/>
      <c r="X202" s="59"/>
      <c r="Y202" s="59"/>
      <c r="Z202" s="59" t="s">
        <v>99</v>
      </c>
      <c r="AA202" s="54"/>
      <c r="AB202" s="60">
        <f>AA202*参数调整!$G$29*参数调整!$B$29*POWER((1-参数调整!$B$29),3)</f>
        <v>0</v>
      </c>
    </row>
    <row r="203" spans="4:28">
      <c r="D203" s="57"/>
      <c r="E203" s="31"/>
      <c r="F203" s="31"/>
      <c r="G203" s="31" t="s">
        <v>100</v>
      </c>
      <c r="H203" s="54"/>
      <c r="I203" s="56">
        <f>H203*参数调整!$H$29*参数调整!$B$29*POWER((1-参数调整!$B$29),3)</f>
        <v>0</v>
      </c>
      <c r="M203" s="57"/>
      <c r="N203" s="31"/>
      <c r="O203" s="31"/>
      <c r="P203" s="31" t="s">
        <v>100</v>
      </c>
      <c r="Q203" s="54"/>
      <c r="R203" s="56">
        <f>Q203*参数调整!$H$29*参数调整!$B$29*POWER((1-参数调整!$B$29),3)</f>
        <v>0</v>
      </c>
      <c r="W203" s="57"/>
      <c r="X203" s="59"/>
      <c r="Y203" s="59"/>
      <c r="Z203" s="59" t="s">
        <v>100</v>
      </c>
      <c r="AA203" s="54"/>
      <c r="AB203" s="60">
        <f>AA203*参数调整!$H$29*参数调整!$B$29*POWER((1-参数调整!$B$29),3)</f>
        <v>0</v>
      </c>
    </row>
    <row r="204" spans="4:28">
      <c r="D204" s="57"/>
      <c r="E204" s="31"/>
      <c r="F204" s="31"/>
      <c r="G204" s="31" t="s">
        <v>101</v>
      </c>
      <c r="H204" s="54"/>
      <c r="I204" s="56">
        <f>H204*参数调整!$I$29*参数调整!$B$29*POWER((1-参数调整!$B$29),3)</f>
        <v>0</v>
      </c>
      <c r="M204" s="57"/>
      <c r="N204" s="31"/>
      <c r="O204" s="31"/>
      <c r="P204" s="31" t="s">
        <v>101</v>
      </c>
      <c r="Q204" s="54"/>
      <c r="R204" s="56">
        <f>Q204*参数调整!$I$29*参数调整!$B$29*POWER((1-参数调整!$B$29),3)</f>
        <v>0</v>
      </c>
      <c r="W204" s="57"/>
      <c r="X204" s="59"/>
      <c r="Y204" s="59"/>
      <c r="Z204" s="59" t="s">
        <v>101</v>
      </c>
      <c r="AA204" s="54"/>
      <c r="AB204" s="60">
        <f>AA204*参数调整!$I$29*参数调整!$B$29*POWER((1-参数调整!$B$29),3)</f>
        <v>0</v>
      </c>
    </row>
    <row r="205" spans="4:28">
      <c r="D205" s="57"/>
      <c r="E205" s="31" t="s">
        <v>389</v>
      </c>
      <c r="F205" s="31" t="s">
        <v>376</v>
      </c>
      <c r="G205" s="31" t="s">
        <v>77</v>
      </c>
      <c r="H205" s="54"/>
      <c r="I205" s="56">
        <f>H205*参数调整!$J$23*参数调整!$B$28*POWER((1-参数调整!$B$28),4)</f>
        <v>0</v>
      </c>
      <c r="M205" s="57"/>
      <c r="N205" s="31" t="s">
        <v>389</v>
      </c>
      <c r="O205" s="31" t="s">
        <v>376</v>
      </c>
      <c r="P205" s="31" t="s">
        <v>77</v>
      </c>
      <c r="Q205" s="54"/>
      <c r="R205" s="56">
        <f>Q205*参数调整!$J$23*参数调整!$B$28*POWER((1-参数调整!$B$28),4)</f>
        <v>0</v>
      </c>
      <c r="W205" s="57"/>
      <c r="X205" s="59" t="s">
        <v>389</v>
      </c>
      <c r="Y205" s="59" t="s">
        <v>376</v>
      </c>
      <c r="Z205" s="59" t="s">
        <v>77</v>
      </c>
      <c r="AA205" s="54"/>
      <c r="AB205" s="60">
        <f>AA205*参数调整!$J$23*参数调整!$B$28*POWER((1-参数调整!$B$28),4)</f>
        <v>0</v>
      </c>
    </row>
    <row r="206" spans="4:28">
      <c r="D206" s="57"/>
      <c r="E206" s="31"/>
      <c r="F206" s="31"/>
      <c r="G206" s="31" t="s">
        <v>76</v>
      </c>
      <c r="H206" s="54"/>
      <c r="I206" s="56">
        <f>H206*参数调整!$H$23*参数调整!$B$28*POWER((1-参数调整!$B$28),4)</f>
        <v>0</v>
      </c>
      <c r="M206" s="57"/>
      <c r="N206" s="31"/>
      <c r="O206" s="31"/>
      <c r="P206" s="31" t="s">
        <v>76</v>
      </c>
      <c r="Q206" s="54"/>
      <c r="R206" s="56">
        <f>Q206*参数调整!$H$23*参数调整!$B$28*POWER((1-参数调整!$B$28),4)</f>
        <v>0</v>
      </c>
      <c r="W206" s="57"/>
      <c r="X206" s="59"/>
      <c r="Y206" s="59"/>
      <c r="Z206" s="59" t="s">
        <v>76</v>
      </c>
      <c r="AA206" s="54"/>
      <c r="AB206" s="60">
        <f>AA206*参数调整!$H$23*参数调整!$B$28*POWER((1-参数调整!$B$28),4)</f>
        <v>0</v>
      </c>
    </row>
    <row r="207" spans="4:28">
      <c r="D207" s="57"/>
      <c r="E207" s="31"/>
      <c r="F207" s="31"/>
      <c r="G207" s="31" t="s">
        <v>75</v>
      </c>
      <c r="H207" s="54"/>
      <c r="I207" s="56">
        <f>H207*参数调整!$F$23*参数调整!$B$28*POWER((1-参数调整!$B$28),4)</f>
        <v>0</v>
      </c>
      <c r="M207" s="57"/>
      <c r="N207" s="31"/>
      <c r="O207" s="31"/>
      <c r="P207" s="31" t="s">
        <v>75</v>
      </c>
      <c r="Q207" s="54"/>
      <c r="R207" s="56">
        <f>Q207*参数调整!$F$23*参数调整!$B$28*POWER((1-参数调整!$B$28),4)</f>
        <v>0</v>
      </c>
      <c r="W207" s="57"/>
      <c r="X207" s="59"/>
      <c r="Y207" s="59"/>
      <c r="Z207" s="59" t="s">
        <v>75</v>
      </c>
      <c r="AA207" s="54"/>
      <c r="AB207" s="60">
        <f>AA207*参数调整!$F$23*参数调整!$B$28*POWER((1-参数调整!$B$28),4)</f>
        <v>0</v>
      </c>
    </row>
    <row r="208" spans="4:28">
      <c r="D208" s="57"/>
      <c r="E208" s="31"/>
      <c r="F208" s="31" t="s">
        <v>370</v>
      </c>
      <c r="G208" s="31" t="s">
        <v>98</v>
      </c>
      <c r="H208" s="54"/>
      <c r="I208" s="56">
        <f>H208*参数调整!$F$29*参数调整!$B$29*POWER((1-参数调整!$B$29),4)</f>
        <v>0</v>
      </c>
      <c r="M208" s="57"/>
      <c r="N208" s="31"/>
      <c r="O208" s="31" t="s">
        <v>370</v>
      </c>
      <c r="P208" s="31" t="s">
        <v>98</v>
      </c>
      <c r="Q208" s="54"/>
      <c r="R208" s="56">
        <f>Q208*参数调整!$F$29*参数调整!$B$29*POWER((1-参数调整!$B$29),4)</f>
        <v>0</v>
      </c>
      <c r="W208" s="57"/>
      <c r="X208" s="59"/>
      <c r="Y208" s="59" t="s">
        <v>370</v>
      </c>
      <c r="Z208" s="59" t="s">
        <v>98</v>
      </c>
      <c r="AA208" s="54"/>
      <c r="AB208" s="60">
        <f>AA208*参数调整!$F$29*参数调整!$B$29*POWER((1-参数调整!$B$29),4)</f>
        <v>0</v>
      </c>
    </row>
    <row r="209" spans="4:28">
      <c r="D209" s="57"/>
      <c r="E209" s="31"/>
      <c r="F209" s="31"/>
      <c r="G209" s="31" t="s">
        <v>99</v>
      </c>
      <c r="H209" s="54"/>
      <c r="I209" s="56">
        <f>H209*参数调整!$G$29*参数调整!$B$29*POWER((1-参数调整!$B$29),4)</f>
        <v>0</v>
      </c>
      <c r="M209" s="57"/>
      <c r="N209" s="31"/>
      <c r="O209" s="31"/>
      <c r="P209" s="31" t="s">
        <v>99</v>
      </c>
      <c r="Q209" s="54"/>
      <c r="R209" s="56">
        <f>Q209*参数调整!$G$29*参数调整!$B$29*POWER((1-参数调整!$B$29),4)</f>
        <v>0</v>
      </c>
      <c r="W209" s="57"/>
      <c r="X209" s="59"/>
      <c r="Y209" s="59"/>
      <c r="Z209" s="59" t="s">
        <v>99</v>
      </c>
      <c r="AA209" s="54"/>
      <c r="AB209" s="60">
        <f>AA209*参数调整!$G$29*参数调整!$B$29*POWER((1-参数调整!$B$29),4)</f>
        <v>0</v>
      </c>
    </row>
    <row r="210" spans="4:28">
      <c r="D210" s="57"/>
      <c r="E210" s="31"/>
      <c r="F210" s="31"/>
      <c r="G210" s="31" t="s">
        <v>100</v>
      </c>
      <c r="H210" s="54"/>
      <c r="I210" s="56">
        <f>H210*参数调整!$H$29*参数调整!$B$29*POWER((1-参数调整!$B$29),4)</f>
        <v>0</v>
      </c>
      <c r="M210" s="57"/>
      <c r="N210" s="31"/>
      <c r="O210" s="31"/>
      <c r="P210" s="31" t="s">
        <v>100</v>
      </c>
      <c r="Q210" s="54"/>
      <c r="R210" s="56">
        <f>Q210*参数调整!$H$29*参数调整!$B$29*POWER((1-参数调整!$B$29),4)</f>
        <v>0</v>
      </c>
      <c r="W210" s="57"/>
      <c r="X210" s="59"/>
      <c r="Y210" s="59"/>
      <c r="Z210" s="59" t="s">
        <v>100</v>
      </c>
      <c r="AA210" s="54"/>
      <c r="AB210" s="60">
        <f>AA210*参数调整!$H$29*参数调整!$B$29*POWER((1-参数调整!$B$29),4)</f>
        <v>0</v>
      </c>
    </row>
    <row r="211" spans="4:28">
      <c r="D211" s="57"/>
      <c r="E211" s="31"/>
      <c r="F211" s="31"/>
      <c r="G211" s="31" t="s">
        <v>101</v>
      </c>
      <c r="H211" s="54"/>
      <c r="I211" s="56">
        <f>H211*参数调整!$I$29*参数调整!$B$29*POWER((1-参数调整!$B$29),4)</f>
        <v>0</v>
      </c>
      <c r="M211" s="57"/>
      <c r="N211" s="31"/>
      <c r="O211" s="31"/>
      <c r="P211" s="31" t="s">
        <v>101</v>
      </c>
      <c r="Q211" s="54"/>
      <c r="R211" s="56">
        <f>Q211*参数调整!$I$29*参数调整!$B$29*POWER((1-参数调整!$B$29),4)</f>
        <v>0</v>
      </c>
      <c r="W211" s="57"/>
      <c r="X211" s="59"/>
      <c r="Y211" s="59"/>
      <c r="Z211" s="59" t="s">
        <v>101</v>
      </c>
      <c r="AA211" s="54"/>
      <c r="AB211" s="60">
        <f>AA211*参数调整!$I$29*参数调整!$B$29*POWER((1-参数调整!$B$29),4)</f>
        <v>0</v>
      </c>
    </row>
    <row r="212" spans="4:28">
      <c r="D212" s="31" t="s">
        <v>390</v>
      </c>
      <c r="E212" s="31" t="s">
        <v>226</v>
      </c>
      <c r="F212" s="31" t="s">
        <v>101</v>
      </c>
      <c r="G212" s="31"/>
      <c r="H212" s="43">
        <f>第二季度!AM5</f>
        <v>0</v>
      </c>
      <c r="I212" s="31">
        <f>H212*参数调整!$I$32</f>
        <v>0</v>
      </c>
      <c r="M212" s="31" t="s">
        <v>390</v>
      </c>
      <c r="N212" s="31" t="s">
        <v>226</v>
      </c>
      <c r="O212" s="31" t="s">
        <v>101</v>
      </c>
      <c r="P212" s="31"/>
      <c r="Q212" s="43">
        <f>第三季度!AM5</f>
        <v>0</v>
      </c>
      <c r="R212" s="31">
        <f>Q212*参数调整!$I$32</f>
        <v>0</v>
      </c>
      <c r="W212" s="59" t="s">
        <v>390</v>
      </c>
      <c r="X212" s="59" t="s">
        <v>226</v>
      </c>
      <c r="Y212" s="59" t="s">
        <v>101</v>
      </c>
      <c r="Z212" s="59"/>
      <c r="AA212" s="43">
        <f>第四季度!AM5</f>
        <v>530</v>
      </c>
      <c r="AB212" s="59">
        <f>AA212*参数调整!$I$32</f>
        <v>15900</v>
      </c>
    </row>
    <row r="213" spans="4:28">
      <c r="D213" s="31"/>
      <c r="E213" s="31"/>
      <c r="F213" s="31" t="s">
        <v>98</v>
      </c>
      <c r="G213" s="31"/>
      <c r="H213" s="43">
        <f>第二季度!AM6</f>
        <v>630</v>
      </c>
      <c r="I213" s="31">
        <f>H213*参数调整!$F$32</f>
        <v>6300</v>
      </c>
      <c r="M213" s="31"/>
      <c r="N213" s="31"/>
      <c r="O213" s="31" t="s">
        <v>98</v>
      </c>
      <c r="P213" s="31"/>
      <c r="Q213" s="43">
        <f>第三季度!AM6</f>
        <v>900</v>
      </c>
      <c r="R213" s="31">
        <f>Q213*参数调整!$F$32</f>
        <v>9000</v>
      </c>
      <c r="W213" s="59"/>
      <c r="X213" s="59"/>
      <c r="Y213" s="59" t="s">
        <v>98</v>
      </c>
      <c r="Z213" s="59"/>
      <c r="AA213" s="43">
        <f>第四季度!AM6</f>
        <v>900</v>
      </c>
      <c r="AB213" s="59">
        <f>AA213*参数调整!$F$32</f>
        <v>9000</v>
      </c>
    </row>
    <row r="214" spans="4:28">
      <c r="D214" s="31"/>
      <c r="E214" s="31"/>
      <c r="F214" s="31" t="s">
        <v>100</v>
      </c>
      <c r="G214" s="31"/>
      <c r="H214" s="43">
        <f>第二季度!AM7</f>
        <v>0</v>
      </c>
      <c r="I214" s="31">
        <f>H214*参数调整!$H$32</f>
        <v>0</v>
      </c>
      <c r="M214" s="31"/>
      <c r="N214" s="31"/>
      <c r="O214" s="31" t="s">
        <v>100</v>
      </c>
      <c r="P214" s="31"/>
      <c r="Q214" s="43">
        <f>第三季度!AM7</f>
        <v>0</v>
      </c>
      <c r="R214" s="31">
        <f>Q214*参数调整!$H$32</f>
        <v>0</v>
      </c>
      <c r="W214" s="59"/>
      <c r="X214" s="59"/>
      <c r="Y214" s="59" t="s">
        <v>100</v>
      </c>
      <c r="Z214" s="59"/>
      <c r="AA214" s="43">
        <f>第四季度!AM7</f>
        <v>0</v>
      </c>
      <c r="AB214" s="59">
        <f>AA214*参数调整!$H$32</f>
        <v>0</v>
      </c>
    </row>
    <row r="215" spans="4:28">
      <c r="D215" s="31"/>
      <c r="E215" s="31"/>
      <c r="F215" s="31" t="s">
        <v>99</v>
      </c>
      <c r="G215" s="31"/>
      <c r="H215" s="43">
        <f>第二季度!AM8</f>
        <v>0</v>
      </c>
      <c r="I215" s="31">
        <f>H215*参数调整!$G$32</f>
        <v>0</v>
      </c>
      <c r="M215" s="31"/>
      <c r="N215" s="31"/>
      <c r="O215" s="31" t="s">
        <v>99</v>
      </c>
      <c r="P215" s="31"/>
      <c r="Q215" s="43">
        <f>第三季度!AM8</f>
        <v>0</v>
      </c>
      <c r="R215" s="31">
        <f>Q215*参数调整!$G$32</f>
        <v>0</v>
      </c>
      <c r="W215" s="59"/>
      <c r="X215" s="59"/>
      <c r="Y215" s="59" t="s">
        <v>99</v>
      </c>
      <c r="Z215" s="59"/>
      <c r="AA215" s="43">
        <f>第四季度!AM8</f>
        <v>0</v>
      </c>
      <c r="AB215" s="59">
        <f>AA215*参数调整!$G$32</f>
        <v>0</v>
      </c>
    </row>
    <row r="216" spans="4:28">
      <c r="D216" s="31"/>
      <c r="E216" s="31" t="s">
        <v>232</v>
      </c>
      <c r="F216" s="31" t="s">
        <v>77</v>
      </c>
      <c r="G216" s="31"/>
      <c r="H216" s="43">
        <f>第二季度!AM9</f>
        <v>1</v>
      </c>
      <c r="I216" s="31">
        <f>H216*参数调整!$J$24</f>
        <v>5000</v>
      </c>
      <c r="M216" s="31"/>
      <c r="N216" s="31" t="s">
        <v>232</v>
      </c>
      <c r="O216" s="31" t="s">
        <v>77</v>
      </c>
      <c r="P216" s="31"/>
      <c r="Q216" s="43">
        <f>第三季度!AM9</f>
        <v>1</v>
      </c>
      <c r="R216" s="31">
        <f>Q216*参数调整!$J$24</f>
        <v>5000</v>
      </c>
      <c r="W216" s="59"/>
      <c r="X216" s="59" t="s">
        <v>232</v>
      </c>
      <c r="Y216" s="59" t="s">
        <v>77</v>
      </c>
      <c r="Z216" s="59"/>
      <c r="AA216" s="43">
        <f>第四季度!AM9</f>
        <v>1</v>
      </c>
      <c r="AB216" s="59">
        <f>AA216*参数调整!$J$24</f>
        <v>5000</v>
      </c>
    </row>
    <row r="217" spans="4:28">
      <c r="D217" s="31"/>
      <c r="E217" s="31"/>
      <c r="F217" s="31" t="s">
        <v>76</v>
      </c>
      <c r="G217" s="31"/>
      <c r="H217" s="43">
        <f>第二季度!AM10</f>
        <v>0</v>
      </c>
      <c r="I217" s="31">
        <f>H217*参数调整!$H$24</f>
        <v>0</v>
      </c>
      <c r="M217" s="31"/>
      <c r="N217" s="31"/>
      <c r="O217" s="31" t="s">
        <v>76</v>
      </c>
      <c r="P217" s="31"/>
      <c r="Q217" s="43">
        <f>第三季度!AM10</f>
        <v>0</v>
      </c>
      <c r="R217" s="31">
        <f>Q217*参数调整!$H$24</f>
        <v>0</v>
      </c>
      <c r="W217" s="59"/>
      <c r="X217" s="59"/>
      <c r="Y217" s="59" t="s">
        <v>76</v>
      </c>
      <c r="Z217" s="59"/>
      <c r="AA217" s="43">
        <f>第四季度!AM10</f>
        <v>1</v>
      </c>
      <c r="AB217" s="59">
        <f>AA217*参数调整!$H$24</f>
        <v>8000</v>
      </c>
    </row>
    <row r="218" spans="4:28">
      <c r="D218" s="31"/>
      <c r="E218" s="31"/>
      <c r="F218" s="31" t="s">
        <v>75</v>
      </c>
      <c r="G218" s="31"/>
      <c r="H218" s="43">
        <f>第二季度!AM11</f>
        <v>0</v>
      </c>
      <c r="I218" s="31">
        <f>H218*参数调整!$F$24</f>
        <v>0</v>
      </c>
      <c r="M218" s="31"/>
      <c r="N218" s="31"/>
      <c r="O218" s="31" t="s">
        <v>75</v>
      </c>
      <c r="P218" s="31"/>
      <c r="Q218" s="43">
        <f>第三季度!AM11</f>
        <v>0</v>
      </c>
      <c r="R218" s="31">
        <f>Q218*参数调整!$F$24</f>
        <v>0</v>
      </c>
      <c r="W218" s="59"/>
      <c r="X218" s="59"/>
      <c r="Y218" s="59" t="s">
        <v>75</v>
      </c>
      <c r="Z218" s="59"/>
      <c r="AA218" s="43">
        <f>第四季度!AM11</f>
        <v>0</v>
      </c>
      <c r="AB218" s="59">
        <f>AA218*参数调整!$F$24</f>
        <v>0</v>
      </c>
    </row>
    <row r="219" spans="4:28">
      <c r="D219" s="31"/>
      <c r="E219" s="61" t="s">
        <v>236</v>
      </c>
      <c r="F219" s="61"/>
      <c r="G219" s="61"/>
      <c r="H219" s="43">
        <f>第二季度!AM12</f>
        <v>7</v>
      </c>
      <c r="I219" s="31">
        <f>H219*参数调整!$J$18*(1+参数调整!$B$12+参数调整!$B$13+参数调整!$B$14+参数调整!$B$15+参数调整!$B$16)</f>
        <v>33919.2</v>
      </c>
      <c r="M219" s="31"/>
      <c r="N219" s="61" t="s">
        <v>236</v>
      </c>
      <c r="O219" s="61"/>
      <c r="P219" s="61"/>
      <c r="Q219" s="43">
        <f>第三季度!AM12</f>
        <v>10</v>
      </c>
      <c r="R219" s="31">
        <f>Q219*参数调整!$J$18*(1+参数调整!$B$12+参数调整!$B$13+参数调整!$B$14+参数调整!$B$15+参数调整!$B$16)</f>
        <v>48456</v>
      </c>
      <c r="W219" s="59"/>
      <c r="X219" s="64" t="s">
        <v>236</v>
      </c>
      <c r="Y219" s="64"/>
      <c r="Z219" s="64"/>
      <c r="AA219" s="43">
        <f>第四季度!AM12</f>
        <v>16</v>
      </c>
      <c r="AB219" s="59">
        <f>AA219*参数调整!$J$18*(1+参数调整!$B$12+参数调整!$B$13+参数调整!$B$14+参数调整!$B$15+参数调整!$B$16)</f>
        <v>77529.6</v>
      </c>
    </row>
    <row r="220" spans="4:28">
      <c r="D220" s="31"/>
      <c r="E220" s="31" t="s">
        <v>237</v>
      </c>
      <c r="F220" s="31" t="s">
        <v>101</v>
      </c>
      <c r="G220" s="31"/>
      <c r="H220" s="43">
        <f>第二季度!AM13</f>
        <v>0</v>
      </c>
      <c r="I220" s="56">
        <f>H220*参数调整!$I$33</f>
        <v>0</v>
      </c>
      <c r="M220" s="31"/>
      <c r="N220" s="31" t="s">
        <v>237</v>
      </c>
      <c r="O220" s="31" t="s">
        <v>101</v>
      </c>
      <c r="P220" s="31"/>
      <c r="Q220" s="43">
        <f>第三季度!AM13</f>
        <v>0</v>
      </c>
      <c r="R220" s="56">
        <f>Q220*参数调整!$I$33</f>
        <v>0</v>
      </c>
      <c r="W220" s="59"/>
      <c r="X220" s="59" t="s">
        <v>237</v>
      </c>
      <c r="Y220" s="59" t="s">
        <v>101</v>
      </c>
      <c r="Z220" s="59"/>
      <c r="AA220" s="43">
        <f>第四季度!AM13</f>
        <v>3</v>
      </c>
      <c r="AB220" s="60">
        <f>AA220*参数调整!$I$33</f>
        <v>4500</v>
      </c>
    </row>
    <row r="221" spans="4:28">
      <c r="D221" s="31"/>
      <c r="E221" s="31"/>
      <c r="F221" s="31" t="s">
        <v>98</v>
      </c>
      <c r="G221" s="31"/>
      <c r="H221" s="43">
        <f>第二季度!AM14</f>
        <v>2</v>
      </c>
      <c r="I221" s="31">
        <f>H221*参数调整!$F$33</f>
        <v>6000</v>
      </c>
      <c r="M221" s="31"/>
      <c r="N221" s="31"/>
      <c r="O221" s="31" t="s">
        <v>98</v>
      </c>
      <c r="P221" s="31"/>
      <c r="Q221" s="43">
        <f>第三季度!AM14</f>
        <v>2</v>
      </c>
      <c r="R221" s="31">
        <f>Q221*参数调整!$F$33</f>
        <v>6000</v>
      </c>
      <c r="W221" s="59"/>
      <c r="X221" s="59"/>
      <c r="Y221" s="59" t="s">
        <v>98</v>
      </c>
      <c r="Z221" s="59"/>
      <c r="AA221" s="43">
        <f>第四季度!AM14</f>
        <v>2</v>
      </c>
      <c r="AB221" s="59">
        <f>AA221*参数调整!$F$33</f>
        <v>6000</v>
      </c>
    </row>
    <row r="222" spans="4:28">
      <c r="D222" s="31"/>
      <c r="E222" s="31"/>
      <c r="F222" s="31" t="s">
        <v>100</v>
      </c>
      <c r="G222" s="31"/>
      <c r="H222" s="43">
        <f>第二季度!AM15</f>
        <v>0</v>
      </c>
      <c r="I222" s="31">
        <f>H222*参数调整!$H$33</f>
        <v>0</v>
      </c>
      <c r="M222" s="31"/>
      <c r="N222" s="31"/>
      <c r="O222" s="31" t="s">
        <v>100</v>
      </c>
      <c r="P222" s="31"/>
      <c r="Q222" s="43">
        <f>第三季度!AM15</f>
        <v>0</v>
      </c>
      <c r="R222" s="31">
        <f>Q222*参数调整!$H$33</f>
        <v>0</v>
      </c>
      <c r="W222" s="59"/>
      <c r="X222" s="59"/>
      <c r="Y222" s="59" t="s">
        <v>100</v>
      </c>
      <c r="Z222" s="59"/>
      <c r="AA222" s="43">
        <f>第四季度!AM15</f>
        <v>0</v>
      </c>
      <c r="AB222" s="59">
        <f>AA222*参数调整!$H$33</f>
        <v>0</v>
      </c>
    </row>
    <row r="223" spans="4:28">
      <c r="D223" s="31"/>
      <c r="E223" s="31"/>
      <c r="F223" s="31" t="s">
        <v>99</v>
      </c>
      <c r="G223" s="31"/>
      <c r="H223" s="43">
        <f>第二季度!AM16</f>
        <v>0</v>
      </c>
      <c r="I223" s="31">
        <f>H223*参数调整!$G$33</f>
        <v>0</v>
      </c>
      <c r="M223" s="31"/>
      <c r="N223" s="31"/>
      <c r="O223" s="31" t="s">
        <v>99</v>
      </c>
      <c r="P223" s="31"/>
      <c r="Q223" s="43">
        <f>第三季度!AM16</f>
        <v>0</v>
      </c>
      <c r="R223" s="31">
        <f>Q223*参数调整!$G$33</f>
        <v>0</v>
      </c>
      <c r="W223" s="59"/>
      <c r="X223" s="59"/>
      <c r="Y223" s="59" t="s">
        <v>99</v>
      </c>
      <c r="Z223" s="59"/>
      <c r="AA223" s="43">
        <f>第四季度!AM16</f>
        <v>0</v>
      </c>
      <c r="AB223" s="59">
        <f>AA223*参数调整!$G$33</f>
        <v>0</v>
      </c>
    </row>
    <row r="224" spans="4:28">
      <c r="D224" s="57" t="s">
        <v>391</v>
      </c>
      <c r="E224" s="57"/>
      <c r="F224" s="57"/>
      <c r="G224" s="57"/>
      <c r="H224" s="47">
        <f>第二季度!E68</f>
        <v>110019.8</v>
      </c>
      <c r="I224" s="47"/>
      <c r="M224" s="57" t="s">
        <v>391</v>
      </c>
      <c r="N224" s="57"/>
      <c r="O224" s="57"/>
      <c r="P224" s="57"/>
      <c r="Q224" s="47">
        <f>第三季度!E68</f>
        <v>159258.6</v>
      </c>
      <c r="R224" s="47"/>
      <c r="W224" s="57" t="s">
        <v>391</v>
      </c>
      <c r="X224" s="57"/>
      <c r="Y224" s="57"/>
      <c r="Z224" s="57"/>
      <c r="AA224" s="67">
        <v>124955</v>
      </c>
      <c r="AB224" s="67"/>
    </row>
    <row r="225" spans="13:28">
      <c r="M225" s="31" t="s">
        <v>347</v>
      </c>
      <c r="N225" s="31"/>
      <c r="O225" s="31"/>
      <c r="P225" s="31"/>
      <c r="Q225" s="45">
        <f>SUM(R170:R223)+Q224</f>
        <v>239114.6</v>
      </c>
      <c r="R225" s="43"/>
      <c r="W225" s="59" t="s">
        <v>347</v>
      </c>
      <c r="X225" s="59"/>
      <c r="Y225" s="59"/>
      <c r="Z225" s="59"/>
      <c r="AA225" s="68">
        <f>SUM(AB170:AB223)+AA224</f>
        <v>250884.6</v>
      </c>
      <c r="AB225" s="59"/>
    </row>
    <row r="226" spans="13:28">
      <c r="M226" s="62" t="s">
        <v>348</v>
      </c>
      <c r="N226" s="62"/>
      <c r="O226" s="31" t="s">
        <v>349</v>
      </c>
      <c r="P226" s="31"/>
      <c r="Q226" s="43">
        <f>第三季度!AN2-第三季度!AK2</f>
        <v>316894.502</v>
      </c>
      <c r="R226" s="31">
        <f>Q226/(1+参数调整!$B$6)</f>
        <v>270850.001709402</v>
      </c>
      <c r="W226" s="62" t="s">
        <v>348</v>
      </c>
      <c r="X226" s="62"/>
      <c r="Y226" s="59" t="s">
        <v>349</v>
      </c>
      <c r="Z226" s="59"/>
      <c r="AA226" s="43">
        <f>第四季度!AN2-第四季度!AK2</f>
        <v>324388.342</v>
      </c>
      <c r="AB226" s="59">
        <f>AA226/(1+参数调整!$B$6)</f>
        <v>277254.993162393</v>
      </c>
    </row>
    <row r="227" spans="13:28">
      <c r="M227" s="62"/>
      <c r="N227" s="62"/>
      <c r="O227" s="31" t="s">
        <v>350</v>
      </c>
      <c r="P227" s="31"/>
      <c r="Q227" s="65">
        <f>第三季度!AO3</f>
        <v>187340.4</v>
      </c>
      <c r="R227" s="31">
        <f>Q227/(1+参数调整!$B$6)</f>
        <v>160120</v>
      </c>
      <c r="W227" s="62"/>
      <c r="X227" s="62"/>
      <c r="Y227" s="59" t="s">
        <v>350</v>
      </c>
      <c r="Z227" s="59"/>
      <c r="AA227" s="65">
        <f>第四季度!AO3</f>
        <v>0</v>
      </c>
      <c r="AB227" s="59">
        <f>AA227/(1+参数调整!$B$6)</f>
        <v>0</v>
      </c>
    </row>
    <row r="228" spans="13:28">
      <c r="M228" s="62"/>
      <c r="N228" s="62"/>
      <c r="O228" s="31" t="s">
        <v>351</v>
      </c>
      <c r="P228" s="31"/>
      <c r="Q228" s="65">
        <f>第三季度!AP3</f>
        <v>175909.5</v>
      </c>
      <c r="R228" s="31">
        <f>Q228/(1+参数调整!$B$6)</f>
        <v>150350</v>
      </c>
      <c r="W228" s="62"/>
      <c r="X228" s="62"/>
      <c r="Y228" s="59" t="s">
        <v>351</v>
      </c>
      <c r="Z228" s="59"/>
      <c r="AA228" s="65">
        <f>第四季度!AP3</f>
        <v>0</v>
      </c>
      <c r="AB228" s="59">
        <f>AA228/(1+参数调整!$B$6)</f>
        <v>0</v>
      </c>
    </row>
    <row r="229" spans="13:28">
      <c r="M229" s="62"/>
      <c r="N229" s="62"/>
      <c r="O229" s="31" t="s">
        <v>352</v>
      </c>
      <c r="P229" s="31"/>
      <c r="Q229" s="31"/>
      <c r="R229" s="31">
        <f>Q229/(1+参数调整!$B$6)</f>
        <v>0</v>
      </c>
      <c r="W229" s="62"/>
      <c r="X229" s="62"/>
      <c r="Y229" s="59" t="s">
        <v>352</v>
      </c>
      <c r="Z229" s="59"/>
      <c r="AA229" s="59"/>
      <c r="AB229" s="59">
        <f>AA229/(1+参数调整!$B$6)</f>
        <v>0</v>
      </c>
    </row>
    <row r="230" spans="13:28">
      <c r="M230" s="62"/>
      <c r="N230" s="62"/>
      <c r="O230" s="31" t="s">
        <v>353</v>
      </c>
      <c r="P230" s="31"/>
      <c r="Q230" s="31"/>
      <c r="R230" s="31">
        <f>Q230/(1+参数调整!$B$6)</f>
        <v>0</v>
      </c>
      <c r="W230" s="62"/>
      <c r="X230" s="62"/>
      <c r="Y230" s="59" t="s">
        <v>353</v>
      </c>
      <c r="Z230" s="59"/>
      <c r="AA230" s="59"/>
      <c r="AB230" s="59">
        <f>AA230/(1+参数调整!$B$6)</f>
        <v>0</v>
      </c>
    </row>
    <row r="231" spans="13:28">
      <c r="M231" s="63" t="s">
        <v>354</v>
      </c>
      <c r="N231" s="63"/>
      <c r="O231" s="63"/>
      <c r="P231" s="63"/>
      <c r="Q231" s="63"/>
      <c r="R231" s="45">
        <f>Q225</f>
        <v>239114.6</v>
      </c>
      <c r="W231" s="63" t="s">
        <v>354</v>
      </c>
      <c r="X231" s="63"/>
      <c r="Y231" s="63"/>
      <c r="Z231" s="63"/>
      <c r="AA231" s="63"/>
      <c r="AB231" s="68">
        <f>AA225</f>
        <v>250884.6</v>
      </c>
    </row>
    <row r="232" spans="13:28">
      <c r="M232" s="63" t="s">
        <v>355</v>
      </c>
      <c r="N232" s="63"/>
      <c r="O232" s="63"/>
      <c r="P232" s="63"/>
      <c r="Q232" s="63"/>
      <c r="R232" s="43">
        <f>第三季度!AN42</f>
        <v>8584.0058748718</v>
      </c>
      <c r="W232" s="63" t="s">
        <v>355</v>
      </c>
      <c r="X232" s="63"/>
      <c r="Y232" s="63"/>
      <c r="Z232" s="63"/>
      <c r="AA232" s="63"/>
      <c r="AB232" s="59"/>
    </row>
    <row r="233" spans="13:28">
      <c r="M233" s="63" t="s">
        <v>356</v>
      </c>
      <c r="N233" s="63"/>
      <c r="O233" s="63"/>
      <c r="P233" s="63"/>
      <c r="Q233" s="63"/>
      <c r="R233" s="43">
        <f>SUM(第三季度!AG17:AG22)+第三季度!AG27+第三季度!AN27</f>
        <v>60807</v>
      </c>
      <c r="W233" s="63" t="s">
        <v>356</v>
      </c>
      <c r="X233" s="63"/>
      <c r="Y233" s="63"/>
      <c r="Z233" s="63"/>
      <c r="AA233" s="63"/>
      <c r="AB233" s="59"/>
    </row>
    <row r="234" spans="13:28">
      <c r="M234" s="63" t="s">
        <v>357</v>
      </c>
      <c r="N234" s="63"/>
      <c r="O234" s="63"/>
      <c r="P234" s="63"/>
      <c r="Q234" s="63"/>
      <c r="R234" s="66">
        <f>参数调整!B3+SUM(第三季度!AG25:AG26)+SUM(第三季度!AG15:AG16)+SUM(第三季度!AG23:AG24)+第三季度!AN17+SUM(第三季度!AN18:AN19)</f>
        <v>70360</v>
      </c>
      <c r="W234" s="63" t="s">
        <v>357</v>
      </c>
      <c r="X234" s="63"/>
      <c r="Y234" s="63"/>
      <c r="Z234" s="63"/>
      <c r="AA234" s="63"/>
      <c r="AB234" s="59"/>
    </row>
    <row r="235" spans="13:28">
      <c r="M235" s="63" t="s">
        <v>358</v>
      </c>
      <c r="N235" s="63"/>
      <c r="O235" s="63"/>
      <c r="P235" s="63"/>
      <c r="Q235" s="63"/>
      <c r="R235" s="43">
        <f>第三季度!AG4*参数调整!B18+第三季度!AO36*参数调整!B23+第三季度!AP36*参数调整!B24+第三季度!AG30*参数调整!B23</f>
        <v>4075.11</v>
      </c>
      <c r="W235" s="63" t="s">
        <v>358</v>
      </c>
      <c r="X235" s="63"/>
      <c r="Y235" s="63"/>
      <c r="Z235" s="63"/>
      <c r="AA235" s="63"/>
      <c r="AB235" s="59"/>
    </row>
    <row r="236" spans="13:28">
      <c r="M236" s="62" t="s">
        <v>359</v>
      </c>
      <c r="N236" s="62"/>
      <c r="O236" s="62"/>
      <c r="P236" s="62"/>
      <c r="Q236" s="62"/>
      <c r="R236" s="45">
        <f>SUM(R226:R230)-SUM(R231:R235)</f>
        <v>198379.28583453</v>
      </c>
      <c r="W236" s="62" t="s">
        <v>359</v>
      </c>
      <c r="X236" s="62"/>
      <c r="Y236" s="62"/>
      <c r="Z236" s="62"/>
      <c r="AA236" s="62"/>
      <c r="AB236" s="45">
        <f>SUM(AB226:AB230)-SUM(AB231:AB235)</f>
        <v>26370.3931623932</v>
      </c>
    </row>
    <row r="237" spans="13:28">
      <c r="M237" s="63" t="s">
        <v>360</v>
      </c>
      <c r="N237" s="63"/>
      <c r="O237" s="63"/>
      <c r="P237" s="63"/>
      <c r="Q237" s="63"/>
      <c r="R237" s="47">
        <f>SUM(第三季度!AN20:AN26)</f>
        <v>0</v>
      </c>
      <c r="W237" s="63" t="s">
        <v>360</v>
      </c>
      <c r="X237" s="63"/>
      <c r="Y237" s="63"/>
      <c r="Z237" s="63"/>
      <c r="AA237" s="63"/>
      <c r="AB237" s="43">
        <f>SUM(第四季度!AN20:AN26)</f>
        <v>0</v>
      </c>
    </row>
    <row r="238" spans="13:28">
      <c r="M238" s="63" t="s">
        <v>361</v>
      </c>
      <c r="N238" s="63"/>
      <c r="O238" s="63"/>
      <c r="P238" s="63"/>
      <c r="Q238" s="63"/>
      <c r="R238" s="47">
        <f>SUM(第三季度!AN28:AN35)</f>
        <v>240</v>
      </c>
      <c r="W238" s="63" t="s">
        <v>361</v>
      </c>
      <c r="X238" s="63"/>
      <c r="Y238" s="63"/>
      <c r="Z238" s="63"/>
      <c r="AA238" s="63"/>
      <c r="AB238" s="47">
        <f>SUM(第四季度!AN28:AN35)</f>
        <v>55800</v>
      </c>
    </row>
    <row r="239" spans="13:28">
      <c r="M239" s="62" t="s">
        <v>362</v>
      </c>
      <c r="N239" s="62"/>
      <c r="O239" s="62"/>
      <c r="P239" s="62"/>
      <c r="Q239" s="62"/>
      <c r="R239" s="45">
        <f>R236+R237-R238</f>
        <v>198139.28583453</v>
      </c>
      <c r="W239" s="62" t="s">
        <v>362</v>
      </c>
      <c r="X239" s="62"/>
      <c r="Y239" s="62"/>
      <c r="Z239" s="62"/>
      <c r="AA239" s="62"/>
      <c r="AB239" s="45">
        <f>AB236+AB237-AB238</f>
        <v>-29429.6068376068</v>
      </c>
    </row>
    <row r="240" spans="13:28">
      <c r="M240" s="63" t="s">
        <v>364</v>
      </c>
      <c r="N240" s="63"/>
      <c r="O240" s="63"/>
      <c r="P240" s="63"/>
      <c r="Q240" s="63"/>
      <c r="R240" s="43">
        <f>IF(R239&lt;0,0,R239*参数调整!B4)</f>
        <v>49534.8214586325</v>
      </c>
      <c r="W240" s="63" t="s">
        <v>364</v>
      </c>
      <c r="X240" s="63"/>
      <c r="Y240" s="63"/>
      <c r="Z240" s="63"/>
      <c r="AA240" s="63"/>
      <c r="AB240" s="43">
        <f>AB239*参数调整!B4</f>
        <v>-7357.40170940169</v>
      </c>
    </row>
    <row r="241" spans="13:28">
      <c r="M241" s="62" t="s">
        <v>369</v>
      </c>
      <c r="N241" s="62"/>
      <c r="O241" s="62"/>
      <c r="P241" s="62"/>
      <c r="Q241" s="62"/>
      <c r="R241" s="45">
        <f>R239-R240</f>
        <v>148604.464375897</v>
      </c>
      <c r="W241" s="62" t="s">
        <v>369</v>
      </c>
      <c r="X241" s="62"/>
      <c r="Y241" s="62"/>
      <c r="Z241" s="62"/>
      <c r="AA241" s="62"/>
      <c r="AB241" s="45">
        <f>AB239-AB240</f>
        <v>-22072.2051282051</v>
      </c>
    </row>
  </sheetData>
  <mergeCells count="197">
    <mergeCell ref="A1:H1"/>
    <mergeCell ref="K1:R1"/>
    <mergeCell ref="G2:H2"/>
    <mergeCell ref="Q2:R2"/>
    <mergeCell ref="E8:G8"/>
    <mergeCell ref="O8:Q8"/>
    <mergeCell ref="E9:G9"/>
    <mergeCell ref="O9:Q9"/>
    <mergeCell ref="E10:G10"/>
    <mergeCell ref="O10:Q10"/>
    <mergeCell ref="E11:G11"/>
    <mergeCell ref="O11:Q11"/>
    <mergeCell ref="E12:G12"/>
    <mergeCell ref="O12:Q12"/>
    <mergeCell ref="E13:G13"/>
    <mergeCell ref="O13:Q13"/>
    <mergeCell ref="E14:G14"/>
    <mergeCell ref="O14:Q14"/>
    <mergeCell ref="E15:G15"/>
    <mergeCell ref="O15:Q15"/>
    <mergeCell ref="E16:G16"/>
    <mergeCell ref="O16:Q16"/>
    <mergeCell ref="A17:C17"/>
    <mergeCell ref="E17:G17"/>
    <mergeCell ref="K17:M17"/>
    <mergeCell ref="O17:Q17"/>
    <mergeCell ref="E18:G18"/>
    <mergeCell ref="O18:Q18"/>
    <mergeCell ref="D168:I168"/>
    <mergeCell ref="M168:R168"/>
    <mergeCell ref="W168:AB168"/>
    <mergeCell ref="D169:G169"/>
    <mergeCell ref="M169:P169"/>
    <mergeCell ref="W169:Z169"/>
    <mergeCell ref="F212:G212"/>
    <mergeCell ref="O212:P212"/>
    <mergeCell ref="Y212:Z212"/>
    <mergeCell ref="F213:G213"/>
    <mergeCell ref="O213:P213"/>
    <mergeCell ref="Y213:Z213"/>
    <mergeCell ref="F214:G214"/>
    <mergeCell ref="O214:P214"/>
    <mergeCell ref="Y214:Z214"/>
    <mergeCell ref="F215:G215"/>
    <mergeCell ref="O215:P215"/>
    <mergeCell ref="Y215:Z215"/>
    <mergeCell ref="F216:G216"/>
    <mergeCell ref="O216:P216"/>
    <mergeCell ref="Y216:Z216"/>
    <mergeCell ref="F217:G217"/>
    <mergeCell ref="O217:P217"/>
    <mergeCell ref="Y217:Z217"/>
    <mergeCell ref="F218:G218"/>
    <mergeCell ref="O218:P218"/>
    <mergeCell ref="Y218:Z218"/>
    <mergeCell ref="E219:G219"/>
    <mergeCell ref="N219:P219"/>
    <mergeCell ref="X219:Z219"/>
    <mergeCell ref="F220:G220"/>
    <mergeCell ref="O220:P220"/>
    <mergeCell ref="Y220:Z220"/>
    <mergeCell ref="F221:G221"/>
    <mergeCell ref="O221:P221"/>
    <mergeCell ref="Y221:Z221"/>
    <mergeCell ref="F222:G222"/>
    <mergeCell ref="O222:P222"/>
    <mergeCell ref="Y222:Z222"/>
    <mergeCell ref="F223:G223"/>
    <mergeCell ref="O223:P223"/>
    <mergeCell ref="Y223:Z223"/>
    <mergeCell ref="D224:G224"/>
    <mergeCell ref="H224:I224"/>
    <mergeCell ref="M224:P224"/>
    <mergeCell ref="Q224:R224"/>
    <mergeCell ref="W224:Z224"/>
    <mergeCell ref="AA224:AB224"/>
    <mergeCell ref="M225:P225"/>
    <mergeCell ref="Q225:R225"/>
    <mergeCell ref="W225:Z225"/>
    <mergeCell ref="AA225:AB225"/>
    <mergeCell ref="O226:P226"/>
    <mergeCell ref="Y226:Z226"/>
    <mergeCell ref="O227:P227"/>
    <mergeCell ref="Y227:Z227"/>
    <mergeCell ref="O228:P228"/>
    <mergeCell ref="Y228:Z228"/>
    <mergeCell ref="O229:P229"/>
    <mergeCell ref="Y229:Z229"/>
    <mergeCell ref="O230:P230"/>
    <mergeCell ref="Y230:Z230"/>
    <mergeCell ref="M231:Q231"/>
    <mergeCell ref="W231:AA231"/>
    <mergeCell ref="M232:Q232"/>
    <mergeCell ref="W232:AA232"/>
    <mergeCell ref="M233:Q233"/>
    <mergeCell ref="W233:AA233"/>
    <mergeCell ref="M234:Q234"/>
    <mergeCell ref="W234:AA234"/>
    <mergeCell ref="M235:Q235"/>
    <mergeCell ref="W235:AA235"/>
    <mergeCell ref="M236:Q236"/>
    <mergeCell ref="W236:AA236"/>
    <mergeCell ref="M237:Q237"/>
    <mergeCell ref="W237:AA237"/>
    <mergeCell ref="M238:Q238"/>
    <mergeCell ref="W238:AA238"/>
    <mergeCell ref="M239:Q239"/>
    <mergeCell ref="W239:AA239"/>
    <mergeCell ref="M240:Q240"/>
    <mergeCell ref="W240:AA240"/>
    <mergeCell ref="M241:Q241"/>
    <mergeCell ref="W241:AA241"/>
    <mergeCell ref="D24:D27"/>
    <mergeCell ref="D170:D211"/>
    <mergeCell ref="D212:D223"/>
    <mergeCell ref="E3:E7"/>
    <mergeCell ref="E19:E22"/>
    <mergeCell ref="E24:E27"/>
    <mergeCell ref="E170:E176"/>
    <mergeCell ref="E177:E183"/>
    <mergeCell ref="E184:E190"/>
    <mergeCell ref="E191:E197"/>
    <mergeCell ref="E198:E204"/>
    <mergeCell ref="E205:E211"/>
    <mergeCell ref="E212:E215"/>
    <mergeCell ref="E216:E218"/>
    <mergeCell ref="E220:E223"/>
    <mergeCell ref="F170:F172"/>
    <mergeCell ref="F173:F176"/>
    <mergeCell ref="F177:F179"/>
    <mergeCell ref="F180:F183"/>
    <mergeCell ref="F184:F186"/>
    <mergeCell ref="F187:F190"/>
    <mergeCell ref="F191:F193"/>
    <mergeCell ref="F194:F197"/>
    <mergeCell ref="F198:F200"/>
    <mergeCell ref="F201:F204"/>
    <mergeCell ref="F205:F207"/>
    <mergeCell ref="F208:F211"/>
    <mergeCell ref="H24:H27"/>
    <mergeCell ref="H29:H31"/>
    <mergeCell ref="M170:M211"/>
    <mergeCell ref="M212:M223"/>
    <mergeCell ref="N24:N27"/>
    <mergeCell ref="N170:N176"/>
    <mergeCell ref="N177:N183"/>
    <mergeCell ref="N184:N190"/>
    <mergeCell ref="N191:N197"/>
    <mergeCell ref="N198:N204"/>
    <mergeCell ref="N205:N211"/>
    <mergeCell ref="N212:N215"/>
    <mergeCell ref="N216:N218"/>
    <mergeCell ref="N220:N223"/>
    <mergeCell ref="O3:O7"/>
    <mergeCell ref="O19:O22"/>
    <mergeCell ref="O24:O27"/>
    <mergeCell ref="O170:O172"/>
    <mergeCell ref="O173:O176"/>
    <mergeCell ref="O177:O179"/>
    <mergeCell ref="O180:O183"/>
    <mergeCell ref="O184:O186"/>
    <mergeCell ref="O187:O190"/>
    <mergeCell ref="O191:O193"/>
    <mergeCell ref="O194:O197"/>
    <mergeCell ref="O198:O200"/>
    <mergeCell ref="O201:O204"/>
    <mergeCell ref="O205:O207"/>
    <mergeCell ref="O208:O211"/>
    <mergeCell ref="R24:R27"/>
    <mergeCell ref="R29:R31"/>
    <mergeCell ref="W170:W211"/>
    <mergeCell ref="W212:W223"/>
    <mergeCell ref="X170:X176"/>
    <mergeCell ref="X177:X183"/>
    <mergeCell ref="X184:X190"/>
    <mergeCell ref="X191:X197"/>
    <mergeCell ref="X198:X204"/>
    <mergeCell ref="X205:X211"/>
    <mergeCell ref="X212:X215"/>
    <mergeCell ref="X216:X218"/>
    <mergeCell ref="X220:X223"/>
    <mergeCell ref="Y170:Y172"/>
    <mergeCell ref="Y173:Y176"/>
    <mergeCell ref="Y177:Y179"/>
    <mergeCell ref="Y180:Y183"/>
    <mergeCell ref="Y184:Y186"/>
    <mergeCell ref="Y187:Y190"/>
    <mergeCell ref="Y191:Y193"/>
    <mergeCell ref="Y194:Y197"/>
    <mergeCell ref="Y198:Y200"/>
    <mergeCell ref="Y201:Y204"/>
    <mergeCell ref="Y205:Y207"/>
    <mergeCell ref="Y208:Y211"/>
    <mergeCell ref="P19:R22"/>
    <mergeCell ref="F19:H22"/>
    <mergeCell ref="M226:N230"/>
    <mergeCell ref="W226:X230"/>
  </mergeCells>
  <conditionalFormatting sqref="D170">
    <cfRule type="expression" dxfId="0" priority="16" stopIfTrue="1">
      <formula>OR(#REF!=$R$168,#REF!=$W$1,#REF!=#REF!)</formula>
    </cfRule>
  </conditionalFormatting>
  <conditionalFormatting sqref="H173">
    <cfRule type="expression" dxfId="0" priority="17" stopIfTrue="1">
      <formula>OR(#REF!=$R$168,#REF!=$W$1,#REF!=#REF!)</formula>
    </cfRule>
  </conditionalFormatting>
  <conditionalFormatting sqref="D224">
    <cfRule type="expression" dxfId="0" priority="15" stopIfTrue="1">
      <formula>OR(#REF!=$R$168,#REF!=$W$1,#REF!=#REF!)</formula>
    </cfRule>
  </conditionalFormatting>
  <conditionalFormatting sqref="W224 W170 AA173 M224 M170 Q173">
    <cfRule type="expression" dxfId="0" priority="11" stopIfTrue="1">
      <formula>OR(#REF!=$R$168,#REF!=$W$1,#REF!=#REF!)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言述</cp:lastModifiedBy>
  <dcterms:created xsi:type="dcterms:W3CDTF">2021-09-18T14:22:00Z</dcterms:created>
  <dcterms:modified xsi:type="dcterms:W3CDTF">2022-05-04T13:25:38Z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8D477579B4F24198A18BCEFEE7D12E85</vt:lpwstr>
  </property>
</Properties>
</file>