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538\Desktop\Datas\比赛\学创杯\学创杯\"/>
    </mc:Choice>
  </mc:AlternateContent>
  <xr:revisionPtr revIDLastSave="0" documentId="13_ncr:1_{1E5057A9-8215-4EB0-9F0A-BFDDA0C23CA1}" xr6:coauthVersionLast="47" xr6:coauthVersionMax="47" xr10:uidLastSave="{00000000-0000-0000-0000-000000000000}"/>
  <bookViews>
    <workbookView xWindow="-120" yWindow="-120" windowWidth="29040" windowHeight="15990" activeTab="1" xr2:uid="{71B65344-684B-4B30-A7E7-C0302257F350}"/>
  </bookViews>
  <sheets>
    <sheet name="参数调整" sheetId="2" r:id="rId1"/>
    <sheet name="第一季度" sheetId="1" r:id="rId2"/>
    <sheet name="第二季度" sheetId="3" r:id="rId3"/>
    <sheet name="第三季度" sheetId="4" r:id="rId4"/>
    <sheet name="第四季度" sheetId="5" r:id="rId5"/>
    <sheet name="经验值" sheetId="6" r:id="rId6"/>
    <sheet name="复盘表" sheetId="7" r:id="rId7"/>
    <sheet name="决策流程" sheetId="8" r:id="rId8"/>
  </sheets>
  <definedNames>
    <definedName name="add_1" localSheetId="0">参数调整!#REF!</definedName>
    <definedName name="add_2" localSheetId="0">参数调整!#REF!</definedName>
    <definedName name="add_3" localSheetId="0">参数调整!#REF!</definedName>
    <definedName name="add_4" localSheetId="0">参数调整!#REF!</definedName>
    <definedName name="add_5" localSheetId="0">参数调整!#REF!</definedName>
    <definedName name="add_6" localSheetId="0">参数调整!#REF!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W9" i="4"/>
  <c r="AG29" i="4"/>
  <c r="J6" i="4"/>
  <c r="AM18" i="3"/>
  <c r="AC34" i="5" l="1"/>
  <c r="AC35" i="5"/>
  <c r="AC36" i="5"/>
  <c r="AC33" i="5"/>
  <c r="X20" i="4"/>
  <c r="T29" i="3"/>
  <c r="Z16" i="5" l="1"/>
  <c r="W39" i="7"/>
  <c r="W40" i="7"/>
  <c r="W41" i="7"/>
  <c r="W42" i="7"/>
  <c r="W43" i="7"/>
  <c r="W44" i="7"/>
  <c r="W45" i="7"/>
  <c r="W38" i="7"/>
  <c r="V39" i="7"/>
  <c r="V40" i="7"/>
  <c r="V41" i="7"/>
  <c r="V42" i="7"/>
  <c r="V43" i="7"/>
  <c r="V44" i="7"/>
  <c r="V45" i="7"/>
  <c r="V38" i="7"/>
  <c r="U39" i="7"/>
  <c r="U40" i="7"/>
  <c r="U41" i="7"/>
  <c r="U42" i="7"/>
  <c r="U43" i="7"/>
  <c r="U44" i="7"/>
  <c r="U45" i="7"/>
  <c r="U38" i="7"/>
  <c r="U21" i="7"/>
  <c r="T21" i="7" s="1"/>
  <c r="T22" i="7"/>
  <c r="U22" i="7"/>
  <c r="U23" i="7"/>
  <c r="T23" i="7" s="1"/>
  <c r="U58" i="7"/>
  <c r="V58" i="7"/>
  <c r="W58" i="7"/>
  <c r="X58" i="7"/>
  <c r="Y58" i="7"/>
  <c r="U59" i="7"/>
  <c r="V59" i="7"/>
  <c r="W59" i="7"/>
  <c r="X59" i="7"/>
  <c r="Y59" i="7"/>
  <c r="U60" i="7"/>
  <c r="V60" i="7"/>
  <c r="W60" i="7"/>
  <c r="X60" i="7"/>
  <c r="Y60" i="7"/>
  <c r="U61" i="7"/>
  <c r="V61" i="7"/>
  <c r="W61" i="7"/>
  <c r="X61" i="7"/>
  <c r="Y61" i="7"/>
  <c r="U62" i="7"/>
  <c r="V62" i="7"/>
  <c r="W62" i="7"/>
  <c r="X62" i="7"/>
  <c r="Y62" i="7"/>
  <c r="U63" i="7"/>
  <c r="V63" i="7"/>
  <c r="W63" i="7"/>
  <c r="X63" i="7"/>
  <c r="Y63" i="7"/>
  <c r="U64" i="7"/>
  <c r="T64" i="7" s="1"/>
  <c r="V64" i="7"/>
  <c r="W64" i="7"/>
  <c r="X64" i="7"/>
  <c r="Y64" i="7"/>
  <c r="U65" i="7"/>
  <c r="V65" i="7"/>
  <c r="W65" i="7"/>
  <c r="X65" i="7"/>
  <c r="Y65" i="7"/>
  <c r="U77" i="7"/>
  <c r="V77" i="7"/>
  <c r="W77" i="7"/>
  <c r="X77" i="7"/>
  <c r="Y77" i="7"/>
  <c r="Z77" i="7"/>
  <c r="AA77" i="7"/>
  <c r="U78" i="7"/>
  <c r="V78" i="7"/>
  <c r="W78" i="7"/>
  <c r="X78" i="7"/>
  <c r="Y78" i="7"/>
  <c r="Z78" i="7"/>
  <c r="AA78" i="7"/>
  <c r="U79" i="7"/>
  <c r="V79" i="7"/>
  <c r="W79" i="7"/>
  <c r="X79" i="7"/>
  <c r="Y79" i="7"/>
  <c r="Z79" i="7"/>
  <c r="AA79" i="7"/>
  <c r="U80" i="7"/>
  <c r="V80" i="7"/>
  <c r="W80" i="7"/>
  <c r="X80" i="7"/>
  <c r="Y80" i="7"/>
  <c r="Z80" i="7"/>
  <c r="AA80" i="7"/>
  <c r="U81" i="7"/>
  <c r="V81" i="7"/>
  <c r="W81" i="7"/>
  <c r="X81" i="7"/>
  <c r="Y81" i="7"/>
  <c r="Z81" i="7"/>
  <c r="AA81" i="7"/>
  <c r="U82" i="7"/>
  <c r="V82" i="7"/>
  <c r="W82" i="7"/>
  <c r="X82" i="7"/>
  <c r="Y82" i="7"/>
  <c r="Z82" i="7"/>
  <c r="AA82" i="7"/>
  <c r="U83" i="7"/>
  <c r="V83" i="7"/>
  <c r="W83" i="7"/>
  <c r="X83" i="7"/>
  <c r="Y83" i="7"/>
  <c r="Z83" i="7"/>
  <c r="AA83" i="7"/>
  <c r="U84" i="7"/>
  <c r="V84" i="7"/>
  <c r="W84" i="7"/>
  <c r="X84" i="7"/>
  <c r="Y84" i="7"/>
  <c r="Z84" i="7"/>
  <c r="AA84" i="7"/>
  <c r="T61" i="7" l="1"/>
  <c r="T80" i="7"/>
  <c r="T60" i="7"/>
  <c r="T81" i="7"/>
  <c r="T62" i="7"/>
  <c r="T59" i="7"/>
  <c r="T65" i="7"/>
  <c r="T82" i="7"/>
  <c r="T83" i="7"/>
  <c r="T84" i="7"/>
  <c r="T77" i="7"/>
  <c r="T63" i="7"/>
  <c r="T78" i="7"/>
  <c r="T79" i="7"/>
  <c r="T58" i="7"/>
  <c r="T45" i="7"/>
  <c r="T43" i="7"/>
  <c r="T41" i="7"/>
  <c r="T39" i="7"/>
  <c r="T44" i="7"/>
  <c r="T42" i="7"/>
  <c r="T40" i="7"/>
  <c r="T38" i="7"/>
  <c r="AL7" i="6"/>
  <c r="AL8" i="6"/>
  <c r="AL9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Q55" i="6"/>
  <c r="AG26" i="5" l="1"/>
  <c r="AG26" i="4"/>
  <c r="AG26" i="3"/>
  <c r="AG25" i="1"/>
  <c r="AM10" i="1"/>
  <c r="AM11" i="1"/>
  <c r="AM9" i="1"/>
  <c r="AN34" i="1"/>
  <c r="AN32" i="1"/>
  <c r="AN30" i="1"/>
  <c r="AN28" i="1"/>
  <c r="AN34" i="3"/>
  <c r="AN32" i="3"/>
  <c r="AN30" i="3"/>
  <c r="AN28" i="3"/>
  <c r="AN34" i="4"/>
  <c r="AN32" i="4"/>
  <c r="AN30" i="4"/>
  <c r="AN28" i="4"/>
  <c r="AN34" i="5"/>
  <c r="AN32" i="5"/>
  <c r="AN30" i="5"/>
  <c r="AN28" i="5"/>
  <c r="AO5" i="5"/>
  <c r="AO5" i="4"/>
  <c r="AO5" i="3"/>
  <c r="AO5" i="1"/>
  <c r="U22" i="1"/>
  <c r="X3" i="1"/>
  <c r="X4" i="1"/>
  <c r="X5" i="1"/>
  <c r="X6" i="1"/>
  <c r="X7" i="1"/>
  <c r="X8" i="1"/>
  <c r="X9" i="1"/>
  <c r="X10" i="1"/>
  <c r="X11" i="1"/>
  <c r="X12" i="1"/>
  <c r="X13" i="1"/>
  <c r="X14" i="1"/>
  <c r="AM27" i="5"/>
  <c r="AN27" i="5" s="1"/>
  <c r="AM12" i="5"/>
  <c r="AN12" i="5" s="1"/>
  <c r="AN37" i="5"/>
  <c r="AN26" i="5"/>
  <c r="AN25" i="5"/>
  <c r="AN24" i="5"/>
  <c r="AN23" i="5"/>
  <c r="AN22" i="5"/>
  <c r="AN21" i="5"/>
  <c r="AN20" i="5"/>
  <c r="AN17" i="5"/>
  <c r="AN16" i="5"/>
  <c r="AN15" i="5"/>
  <c r="AN14" i="5"/>
  <c r="AN13" i="5"/>
  <c r="AN11" i="5"/>
  <c r="AN10" i="5"/>
  <c r="AN9" i="5"/>
  <c r="AM8" i="5"/>
  <c r="AN8" i="5" s="1"/>
  <c r="AM7" i="5"/>
  <c r="AN7" i="5" s="1"/>
  <c r="AM6" i="5"/>
  <c r="AN6" i="5" s="1"/>
  <c r="AM5" i="5"/>
  <c r="AN5" i="5" s="1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7" i="5"/>
  <c r="AG6" i="5"/>
  <c r="AG5" i="5"/>
  <c r="Z4" i="5"/>
  <c r="Z5" i="5"/>
  <c r="Z6" i="5"/>
  <c r="Z7" i="5"/>
  <c r="Z8" i="5"/>
  <c r="Z9" i="5"/>
  <c r="Z10" i="5"/>
  <c r="Z11" i="5"/>
  <c r="Z12" i="5"/>
  <c r="Z13" i="5"/>
  <c r="Z14" i="5"/>
  <c r="AN18" i="5" l="1"/>
  <c r="AN19" i="5"/>
  <c r="AN36" i="5" l="1"/>
  <c r="C4" i="5"/>
  <c r="C5" i="5"/>
  <c r="C6" i="5"/>
  <c r="C7" i="5"/>
  <c r="D42" i="5" s="1"/>
  <c r="C8" i="5"/>
  <c r="C9" i="5"/>
  <c r="C10" i="5"/>
  <c r="C11" i="5"/>
  <c r="C12" i="5"/>
  <c r="C13" i="5"/>
  <c r="C14" i="5"/>
  <c r="C15" i="5"/>
  <c r="D50" i="5" s="1"/>
  <c r="C16" i="5"/>
  <c r="D51" i="5" s="1"/>
  <c r="C3" i="5"/>
  <c r="D49" i="5"/>
  <c r="D48" i="5"/>
  <c r="D47" i="5"/>
  <c r="D46" i="5"/>
  <c r="D45" i="5"/>
  <c r="D44" i="5"/>
  <c r="D43" i="5"/>
  <c r="D41" i="5"/>
  <c r="D40" i="5"/>
  <c r="D39" i="5"/>
  <c r="D38" i="5"/>
  <c r="Z3" i="5"/>
  <c r="X25" i="5"/>
  <c r="W25" i="5"/>
  <c r="V25" i="5"/>
  <c r="U25" i="5"/>
  <c r="T25" i="5"/>
  <c r="S25" i="5"/>
  <c r="R25" i="5"/>
  <c r="X24" i="5"/>
  <c r="W24" i="5"/>
  <c r="V24" i="5"/>
  <c r="U24" i="5"/>
  <c r="T24" i="5"/>
  <c r="S24" i="5"/>
  <c r="R24" i="5"/>
  <c r="X23" i="5"/>
  <c r="W23" i="5"/>
  <c r="V23" i="5"/>
  <c r="U23" i="5"/>
  <c r="T23" i="5"/>
  <c r="S23" i="5"/>
  <c r="R23" i="5"/>
  <c r="X22" i="5"/>
  <c r="W22" i="5"/>
  <c r="V22" i="5"/>
  <c r="U22" i="5"/>
  <c r="T22" i="5"/>
  <c r="S22" i="5"/>
  <c r="R22" i="5"/>
  <c r="T15" i="5"/>
  <c r="U15" i="5"/>
  <c r="V15" i="5"/>
  <c r="S15" i="5"/>
  <c r="T15" i="4"/>
  <c r="U15" i="4"/>
  <c r="V15" i="4"/>
  <c r="S15" i="4"/>
  <c r="W14" i="5"/>
  <c r="K14" i="5"/>
  <c r="L14" i="5" s="1"/>
  <c r="J14" i="5"/>
  <c r="G40" i="5" s="1"/>
  <c r="W13" i="5"/>
  <c r="K13" i="5"/>
  <c r="O13" i="5" s="1"/>
  <c r="J13" i="5"/>
  <c r="G39" i="5" s="1"/>
  <c r="W12" i="5"/>
  <c r="K12" i="5"/>
  <c r="P12" i="5" s="1"/>
  <c r="J12" i="5"/>
  <c r="G38" i="5" s="1"/>
  <c r="W11" i="5"/>
  <c r="K11" i="5"/>
  <c r="M11" i="5" s="1"/>
  <c r="J11" i="5"/>
  <c r="G37" i="5" s="1"/>
  <c r="W10" i="5"/>
  <c r="K10" i="5"/>
  <c r="P10" i="5" s="1"/>
  <c r="J10" i="5"/>
  <c r="G36" i="5" s="1"/>
  <c r="W9" i="5"/>
  <c r="K9" i="5"/>
  <c r="N9" i="5" s="1"/>
  <c r="J9" i="5"/>
  <c r="W8" i="5"/>
  <c r="K8" i="5"/>
  <c r="N8" i="5" s="1"/>
  <c r="J8" i="5"/>
  <c r="W7" i="5"/>
  <c r="K7" i="5"/>
  <c r="O7" i="5" s="1"/>
  <c r="J7" i="5"/>
  <c r="G33" i="5" s="1"/>
  <c r="W6" i="5"/>
  <c r="K6" i="5"/>
  <c r="L6" i="5" s="1"/>
  <c r="J6" i="5"/>
  <c r="G32" i="5" s="1"/>
  <c r="W5" i="5"/>
  <c r="K5" i="5"/>
  <c r="O5" i="5" s="1"/>
  <c r="J5" i="5"/>
  <c r="G31" i="5" s="1"/>
  <c r="W4" i="5"/>
  <c r="K4" i="5"/>
  <c r="P4" i="5" s="1"/>
  <c r="J4" i="5"/>
  <c r="W3" i="5"/>
  <c r="K3" i="5"/>
  <c r="M3" i="5" s="1"/>
  <c r="J3" i="5"/>
  <c r="G29" i="5" s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W11" i="4"/>
  <c r="H37" i="5" s="1"/>
  <c r="W12" i="4"/>
  <c r="H38" i="5" s="1"/>
  <c r="W13" i="4"/>
  <c r="H39" i="5" s="1"/>
  <c r="W14" i="4"/>
  <c r="H40" i="5" s="1"/>
  <c r="AM19" i="4"/>
  <c r="AM27" i="4" s="1"/>
  <c r="AN27" i="4" s="1"/>
  <c r="AM18" i="4"/>
  <c r="AN18" i="4" s="1"/>
  <c r="AM8" i="4"/>
  <c r="AN8" i="4" s="1"/>
  <c r="AM7" i="4"/>
  <c r="AM6" i="4"/>
  <c r="AN6" i="4" s="1"/>
  <c r="AM5" i="4"/>
  <c r="AN5" i="4" s="1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7" i="4"/>
  <c r="AG6" i="4"/>
  <c r="AG5" i="4"/>
  <c r="AN37" i="4"/>
  <c r="AN26" i="4"/>
  <c r="AN25" i="4"/>
  <c r="AN24" i="4"/>
  <c r="AN23" i="4"/>
  <c r="AN22" i="4"/>
  <c r="AN21" i="4"/>
  <c r="AN20" i="4"/>
  <c r="AN17" i="4"/>
  <c r="AN16" i="4"/>
  <c r="AN15" i="4"/>
  <c r="AN14" i="4"/>
  <c r="AN13" i="4"/>
  <c r="AN11" i="4"/>
  <c r="AM10" i="4"/>
  <c r="AN10" i="4" s="1"/>
  <c r="AN9" i="4"/>
  <c r="AN7" i="4"/>
  <c r="Z4" i="4"/>
  <c r="Z5" i="4"/>
  <c r="Z6" i="4"/>
  <c r="Z7" i="4"/>
  <c r="Z8" i="4"/>
  <c r="Z9" i="4"/>
  <c r="Z10" i="4"/>
  <c r="Z11" i="4"/>
  <c r="Z12" i="4"/>
  <c r="Z13" i="4"/>
  <c r="Z14" i="4"/>
  <c r="Z3" i="4"/>
  <c r="P18" i="4" l="1"/>
  <c r="P19" i="4"/>
  <c r="AN39" i="5"/>
  <c r="P17" i="4"/>
  <c r="L11" i="5"/>
  <c r="P20" i="4"/>
  <c r="M6" i="5"/>
  <c r="M9" i="5"/>
  <c r="P9" i="5"/>
  <c r="L5" i="5"/>
  <c r="L3" i="5"/>
  <c r="N3" i="5"/>
  <c r="B9" i="5" s="1"/>
  <c r="O3" i="5"/>
  <c r="N5" i="5"/>
  <c r="M14" i="5"/>
  <c r="O8" i="5"/>
  <c r="P5" i="5"/>
  <c r="N7" i="5"/>
  <c r="L10" i="5"/>
  <c r="N11" i="5"/>
  <c r="L13" i="5"/>
  <c r="Q46" i="5"/>
  <c r="Q66" i="5"/>
  <c r="P7" i="5"/>
  <c r="L9" i="5"/>
  <c r="M10" i="5"/>
  <c r="O11" i="5"/>
  <c r="N13" i="5"/>
  <c r="Q71" i="5"/>
  <c r="Q51" i="5"/>
  <c r="Q48" i="5"/>
  <c r="Q68" i="5"/>
  <c r="N10" i="5"/>
  <c r="P13" i="5"/>
  <c r="G30" i="5"/>
  <c r="Q65" i="5"/>
  <c r="Q45" i="5"/>
  <c r="Q70" i="5"/>
  <c r="Q50" i="5"/>
  <c r="O9" i="5"/>
  <c r="O10" i="5"/>
  <c r="Q74" i="5"/>
  <c r="Q54" i="5"/>
  <c r="Q47" i="5"/>
  <c r="Q67" i="5"/>
  <c r="Q76" i="5"/>
  <c r="Q56" i="5"/>
  <c r="Q53" i="5"/>
  <c r="Q73" i="5"/>
  <c r="G35" i="5"/>
  <c r="Q69" i="5"/>
  <c r="Q49" i="5"/>
  <c r="Q52" i="5"/>
  <c r="Q72" i="5"/>
  <c r="Q75" i="5"/>
  <c r="Q55" i="5"/>
  <c r="G34" i="5"/>
  <c r="L4" i="5"/>
  <c r="N6" i="5"/>
  <c r="P8" i="5"/>
  <c r="L12" i="5"/>
  <c r="N14" i="5"/>
  <c r="P3" i="5"/>
  <c r="M4" i="5"/>
  <c r="B7" i="5" s="1"/>
  <c r="O6" i="5"/>
  <c r="L7" i="5"/>
  <c r="P11" i="5"/>
  <c r="M12" i="5"/>
  <c r="O14" i="5"/>
  <c r="N4" i="5"/>
  <c r="P6" i="5"/>
  <c r="M7" i="5"/>
  <c r="N12" i="5"/>
  <c r="P14" i="5"/>
  <c r="O4" i="5"/>
  <c r="O12" i="5"/>
  <c r="M5" i="5"/>
  <c r="L8" i="5"/>
  <c r="M13" i="5"/>
  <c r="M8" i="5"/>
  <c r="AM12" i="4"/>
  <c r="AN12" i="4" s="1"/>
  <c r="AN19" i="4"/>
  <c r="AN36" i="4" l="1"/>
  <c r="B4" i="5"/>
  <c r="B5" i="5"/>
  <c r="B3" i="5"/>
  <c r="B12" i="5"/>
  <c r="B11" i="5"/>
  <c r="B15" i="5"/>
  <c r="B16" i="5"/>
  <c r="B13" i="5"/>
  <c r="B10" i="5"/>
  <c r="B14" i="5"/>
  <c r="B8" i="5"/>
  <c r="B6" i="5"/>
  <c r="V25" i="4" l="1"/>
  <c r="U25" i="4"/>
  <c r="T25" i="4"/>
  <c r="S25" i="4"/>
  <c r="R25" i="4"/>
  <c r="O20" i="3" s="1"/>
  <c r="V24" i="4"/>
  <c r="U24" i="4"/>
  <c r="T24" i="4"/>
  <c r="S24" i="4"/>
  <c r="R24" i="4"/>
  <c r="V23" i="4"/>
  <c r="U23" i="4"/>
  <c r="T23" i="4"/>
  <c r="S23" i="4"/>
  <c r="R23" i="4"/>
  <c r="V22" i="4"/>
  <c r="U22" i="4"/>
  <c r="T22" i="4"/>
  <c r="S22" i="4"/>
  <c r="R22" i="4"/>
  <c r="C4" i="4"/>
  <c r="D39" i="4" s="1"/>
  <c r="C5" i="4"/>
  <c r="D40" i="4" s="1"/>
  <c r="C6" i="4"/>
  <c r="D41" i="4" s="1"/>
  <c r="C7" i="4"/>
  <c r="D42" i="4" s="1"/>
  <c r="C8" i="4"/>
  <c r="D43" i="4" s="1"/>
  <c r="C9" i="4"/>
  <c r="D44" i="4" s="1"/>
  <c r="C10" i="4"/>
  <c r="D45" i="4" s="1"/>
  <c r="C11" i="4"/>
  <c r="D46" i="4" s="1"/>
  <c r="C12" i="4"/>
  <c r="D47" i="4" s="1"/>
  <c r="C13" i="4"/>
  <c r="D48" i="4" s="1"/>
  <c r="C14" i="4"/>
  <c r="D49" i="4" s="1"/>
  <c r="C15" i="4"/>
  <c r="D50" i="4" s="1"/>
  <c r="C16" i="4"/>
  <c r="D51" i="4" s="1"/>
  <c r="C3" i="4"/>
  <c r="D38" i="4" s="1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K14" i="4"/>
  <c r="O14" i="4" s="1"/>
  <c r="J14" i="4"/>
  <c r="K13" i="4"/>
  <c r="P13" i="4" s="1"/>
  <c r="J13" i="4"/>
  <c r="AB27" i="4" s="1"/>
  <c r="K12" i="4"/>
  <c r="O12" i="4" s="1"/>
  <c r="J12" i="4"/>
  <c r="K11" i="4"/>
  <c r="P11" i="4" s="1"/>
  <c r="J11" i="4"/>
  <c r="AB25" i="4" s="1"/>
  <c r="W10" i="4"/>
  <c r="H36" i="5" s="1"/>
  <c r="K10" i="4"/>
  <c r="P10" i="4" s="1"/>
  <c r="J10" i="4"/>
  <c r="H35" i="5"/>
  <c r="K9" i="4"/>
  <c r="M9" i="4" s="1"/>
  <c r="J9" i="4"/>
  <c r="AB23" i="4" s="1"/>
  <c r="W8" i="4"/>
  <c r="H34" i="5" s="1"/>
  <c r="K8" i="4"/>
  <c r="P8" i="4" s="1"/>
  <c r="J8" i="4"/>
  <c r="AB22" i="4" s="1"/>
  <c r="W7" i="4"/>
  <c r="H33" i="5" s="1"/>
  <c r="K7" i="4"/>
  <c r="O7" i="4" s="1"/>
  <c r="J7" i="4"/>
  <c r="AB21" i="4" s="1"/>
  <c r="W6" i="4"/>
  <c r="H32" i="5" s="1"/>
  <c r="K6" i="4"/>
  <c r="N6" i="4" s="1"/>
  <c r="W5" i="4"/>
  <c r="H31" i="5" s="1"/>
  <c r="K5" i="4"/>
  <c r="N5" i="4" s="1"/>
  <c r="J5" i="4"/>
  <c r="AB19" i="4" s="1"/>
  <c r="W4" i="4"/>
  <c r="H30" i="5" s="1"/>
  <c r="K4" i="4"/>
  <c r="L4" i="4" s="1"/>
  <c r="J4" i="4"/>
  <c r="AB18" i="4" s="1"/>
  <c r="W3" i="4"/>
  <c r="H29" i="5" s="1"/>
  <c r="K3" i="4"/>
  <c r="P3" i="4" s="1"/>
  <c r="J3" i="4"/>
  <c r="AB17" i="4" s="1"/>
  <c r="J12" i="3"/>
  <c r="W33" i="3" s="1"/>
  <c r="K31" i="3"/>
  <c r="V14" i="1"/>
  <c r="P14" i="1"/>
  <c r="O14" i="1"/>
  <c r="N14" i="1"/>
  <c r="M14" i="1"/>
  <c r="L14" i="1"/>
  <c r="V13" i="1"/>
  <c r="P13" i="1"/>
  <c r="O13" i="1"/>
  <c r="N13" i="1"/>
  <c r="M13" i="1"/>
  <c r="L13" i="1"/>
  <c r="V12" i="1"/>
  <c r="P12" i="1"/>
  <c r="O12" i="1"/>
  <c r="N12" i="1"/>
  <c r="M12" i="1"/>
  <c r="L12" i="1"/>
  <c r="V11" i="1"/>
  <c r="P11" i="1"/>
  <c r="O11" i="1"/>
  <c r="N11" i="1"/>
  <c r="M11" i="1"/>
  <c r="L11" i="1"/>
  <c r="V10" i="1"/>
  <c r="P10" i="1"/>
  <c r="O10" i="1"/>
  <c r="N10" i="1"/>
  <c r="M10" i="1"/>
  <c r="L10" i="1"/>
  <c r="V9" i="1"/>
  <c r="P9" i="1"/>
  <c r="O9" i="1"/>
  <c r="N9" i="1"/>
  <c r="M9" i="1"/>
  <c r="L9" i="1"/>
  <c r="V8" i="1"/>
  <c r="P8" i="1"/>
  <c r="O8" i="1"/>
  <c r="N8" i="1"/>
  <c r="M8" i="1"/>
  <c r="L8" i="1"/>
  <c r="V7" i="1"/>
  <c r="P7" i="1"/>
  <c r="O7" i="1"/>
  <c r="N7" i="1"/>
  <c r="M7" i="1"/>
  <c r="L7" i="1"/>
  <c r="V6" i="1"/>
  <c r="P6" i="1"/>
  <c r="O6" i="1"/>
  <c r="N6" i="1"/>
  <c r="M6" i="1"/>
  <c r="L6" i="1"/>
  <c r="V5" i="1"/>
  <c r="P5" i="1"/>
  <c r="O5" i="1"/>
  <c r="N5" i="1"/>
  <c r="M5" i="1"/>
  <c r="L5" i="1"/>
  <c r="V4" i="1"/>
  <c r="P4" i="1"/>
  <c r="O4" i="1"/>
  <c r="N4" i="1"/>
  <c r="M4" i="1"/>
  <c r="L4" i="1"/>
  <c r="V3" i="1"/>
  <c r="P3" i="1"/>
  <c r="O3" i="1"/>
  <c r="N3" i="1"/>
  <c r="M3" i="1"/>
  <c r="L3" i="1"/>
  <c r="J38" i="4" l="1"/>
  <c r="AB26" i="4"/>
  <c r="P7" i="4"/>
  <c r="J36" i="4"/>
  <c r="AB24" i="4"/>
  <c r="J40" i="4"/>
  <c r="AB28" i="4"/>
  <c r="J32" i="4"/>
  <c r="AB20" i="4"/>
  <c r="N4" i="4"/>
  <c r="P6" i="4"/>
  <c r="O4" i="4"/>
  <c r="N9" i="4"/>
  <c r="O9" i="4"/>
  <c r="L12" i="4"/>
  <c r="N12" i="4"/>
  <c r="G42" i="4"/>
  <c r="B42" i="4"/>
  <c r="A42" i="4"/>
  <c r="I42" i="4"/>
  <c r="H42" i="4"/>
  <c r="I46" i="4"/>
  <c r="H46" i="4"/>
  <c r="G46" i="4"/>
  <c r="B46" i="4"/>
  <c r="A46" i="4"/>
  <c r="B48" i="4"/>
  <c r="A48" i="4"/>
  <c r="I48" i="4"/>
  <c r="H48" i="4"/>
  <c r="G48" i="4"/>
  <c r="L10" i="4"/>
  <c r="J29" i="4"/>
  <c r="J33" i="4"/>
  <c r="H44" i="4"/>
  <c r="G44" i="4"/>
  <c r="B44" i="4"/>
  <c r="A44" i="4"/>
  <c r="I44" i="4"/>
  <c r="O10" i="4"/>
  <c r="P12" i="4"/>
  <c r="N7" i="4"/>
  <c r="L9" i="4"/>
  <c r="B52" i="4"/>
  <c r="A52" i="4"/>
  <c r="I52" i="4"/>
  <c r="G52" i="4"/>
  <c r="H52" i="4"/>
  <c r="J39" i="4"/>
  <c r="J31" i="4"/>
  <c r="H43" i="4"/>
  <c r="B43" i="4"/>
  <c r="A43" i="4"/>
  <c r="G43" i="4"/>
  <c r="I43" i="4"/>
  <c r="G50" i="4"/>
  <c r="H50" i="4"/>
  <c r="I50" i="4"/>
  <c r="A50" i="4"/>
  <c r="B50" i="4"/>
  <c r="J30" i="4"/>
  <c r="H45" i="4"/>
  <c r="G45" i="4"/>
  <c r="B45" i="4"/>
  <c r="A45" i="4"/>
  <c r="I45" i="4"/>
  <c r="L13" i="4"/>
  <c r="J37" i="4"/>
  <c r="M4" i="4"/>
  <c r="I47" i="4"/>
  <c r="A47" i="4"/>
  <c r="H47" i="4"/>
  <c r="G47" i="4"/>
  <c r="B47" i="4"/>
  <c r="A51" i="4"/>
  <c r="G51" i="4"/>
  <c r="B51" i="4"/>
  <c r="H51" i="4"/>
  <c r="I51" i="4"/>
  <c r="M13" i="4"/>
  <c r="Q31" i="3"/>
  <c r="B37" i="4"/>
  <c r="B49" i="4"/>
  <c r="A49" i="4"/>
  <c r="I49" i="4"/>
  <c r="H49" i="4"/>
  <c r="G49" i="4"/>
  <c r="N13" i="4"/>
  <c r="J35" i="4"/>
  <c r="G53" i="4"/>
  <c r="A53" i="4"/>
  <c r="I53" i="4"/>
  <c r="B53" i="4"/>
  <c r="H53" i="4"/>
  <c r="J34" i="4"/>
  <c r="O19" i="3"/>
  <c r="AN39" i="4"/>
  <c r="O17" i="3"/>
  <c r="O18" i="3"/>
  <c r="L14" i="4"/>
  <c r="L3" i="4"/>
  <c r="L11" i="4"/>
  <c r="O13" i="4"/>
  <c r="M14" i="4"/>
  <c r="M3" i="4"/>
  <c r="M11" i="4"/>
  <c r="N14" i="4"/>
  <c r="N3" i="4"/>
  <c r="N11" i="4"/>
  <c r="P14" i="4"/>
  <c r="L7" i="4"/>
  <c r="O11" i="4"/>
  <c r="O3" i="4"/>
  <c r="O6" i="4"/>
  <c r="M7" i="4"/>
  <c r="M8" i="4"/>
  <c r="P9" i="4"/>
  <c r="M12" i="4"/>
  <c r="L5" i="4"/>
  <c r="M10" i="4"/>
  <c r="P4" i="4"/>
  <c r="M5" i="4"/>
  <c r="L8" i="4"/>
  <c r="N10" i="4"/>
  <c r="N8" i="4"/>
  <c r="O5" i="4"/>
  <c r="P5" i="4"/>
  <c r="M6" i="4"/>
  <c r="O8" i="4"/>
  <c r="L6" i="4"/>
  <c r="B11" i="4" l="1"/>
  <c r="J46" i="4"/>
  <c r="J51" i="4"/>
  <c r="J52" i="4"/>
  <c r="B16" i="4"/>
  <c r="B15" i="4"/>
  <c r="B14" i="4"/>
  <c r="B13" i="4"/>
  <c r="B8" i="4"/>
  <c r="B7" i="4"/>
  <c r="B6" i="4"/>
  <c r="J43" i="4"/>
  <c r="J42" i="4"/>
  <c r="J50" i="4"/>
  <c r="J44" i="4"/>
  <c r="J45" i="4"/>
  <c r="B3" i="4"/>
  <c r="B5" i="4"/>
  <c r="B4" i="4"/>
  <c r="J47" i="4"/>
  <c r="B10" i="4"/>
  <c r="B9" i="4"/>
  <c r="B12" i="4"/>
  <c r="J53" i="4"/>
  <c r="J49" i="4"/>
  <c r="J48" i="4"/>
  <c r="AM19" i="3" l="1"/>
  <c r="AN19" i="3" s="1"/>
  <c r="AM12" i="3"/>
  <c r="AN12" i="3" s="1"/>
  <c r="AM10" i="3"/>
  <c r="AM8" i="3"/>
  <c r="AN8" i="3" s="1"/>
  <c r="AM7" i="3"/>
  <c r="AM6" i="3"/>
  <c r="AN6" i="3" s="1"/>
  <c r="AM5" i="3"/>
  <c r="AN5" i="3" s="1"/>
  <c r="AN37" i="3"/>
  <c r="AN26" i="3"/>
  <c r="AN25" i="3"/>
  <c r="AN24" i="3"/>
  <c r="AN23" i="3"/>
  <c r="AN22" i="3"/>
  <c r="AN21" i="3"/>
  <c r="AN20" i="3"/>
  <c r="AN17" i="3"/>
  <c r="AN16" i="3"/>
  <c r="AN15" i="3"/>
  <c r="AN14" i="3"/>
  <c r="AN13" i="3"/>
  <c r="AN11" i="3"/>
  <c r="AN10" i="3"/>
  <c r="AN9" i="3"/>
  <c r="AN7" i="3"/>
  <c r="AG25" i="3"/>
  <c r="AG24" i="3"/>
  <c r="AG23" i="3"/>
  <c r="AG22" i="3"/>
  <c r="AG21" i="3"/>
  <c r="AG20" i="3"/>
  <c r="AG19" i="3"/>
  <c r="AG18" i="3"/>
  <c r="AG17" i="3"/>
  <c r="AG16" i="3"/>
  <c r="AG15" i="3"/>
  <c r="AG13" i="3"/>
  <c r="AG12" i="3"/>
  <c r="AG11" i="3"/>
  <c r="AG7" i="3"/>
  <c r="AG6" i="3"/>
  <c r="AG5" i="3"/>
  <c r="X43" i="3"/>
  <c r="R44" i="3"/>
  <c r="R45" i="3"/>
  <c r="X46" i="3"/>
  <c r="R47" i="3"/>
  <c r="X48" i="3"/>
  <c r="K11" i="3"/>
  <c r="X49" i="3" s="1"/>
  <c r="K12" i="3"/>
  <c r="K13" i="3"/>
  <c r="P13" i="3" s="1"/>
  <c r="K14" i="3"/>
  <c r="K3" i="3"/>
  <c r="O3" i="3" s="1"/>
  <c r="J7" i="3"/>
  <c r="W28" i="3" s="1"/>
  <c r="J8" i="3"/>
  <c r="J10" i="3"/>
  <c r="J11" i="3"/>
  <c r="Q50" i="3"/>
  <c r="J13" i="3"/>
  <c r="J14" i="3"/>
  <c r="W52" i="3" s="1"/>
  <c r="Z52" i="3" s="1"/>
  <c r="J3" i="3"/>
  <c r="W24" i="3" s="1"/>
  <c r="X42" i="3"/>
  <c r="X50" i="3"/>
  <c r="X52" i="3"/>
  <c r="X41" i="3"/>
  <c r="R42" i="3"/>
  <c r="R50" i="3"/>
  <c r="R52" i="3"/>
  <c r="R41" i="3"/>
  <c r="V19" i="3"/>
  <c r="V20" i="3"/>
  <c r="V21" i="3"/>
  <c r="V18" i="3"/>
  <c r="Y14" i="3"/>
  <c r="Y13" i="3"/>
  <c r="Y12" i="3"/>
  <c r="Y11" i="3"/>
  <c r="Y10" i="3"/>
  <c r="Y9" i="3"/>
  <c r="Y8" i="3"/>
  <c r="Y7" i="3"/>
  <c r="Y6" i="3"/>
  <c r="Z6" i="3" s="1"/>
  <c r="Y5" i="3"/>
  <c r="Y4" i="3"/>
  <c r="Y3" i="3"/>
  <c r="Y21" i="3"/>
  <c r="X21" i="3"/>
  <c r="W21" i="3"/>
  <c r="N22" i="1" s="1"/>
  <c r="Y20" i="3"/>
  <c r="X20" i="3"/>
  <c r="W20" i="3"/>
  <c r="N21" i="1" s="1"/>
  <c r="Y19" i="3"/>
  <c r="X19" i="3"/>
  <c r="W19" i="3"/>
  <c r="N20" i="1" s="1"/>
  <c r="Y18" i="3"/>
  <c r="X18" i="3"/>
  <c r="W18" i="3"/>
  <c r="N19" i="1" s="1"/>
  <c r="C4" i="3"/>
  <c r="D39" i="3" s="1"/>
  <c r="C5" i="3"/>
  <c r="D40" i="3" s="1"/>
  <c r="C6" i="3"/>
  <c r="D41" i="3" s="1"/>
  <c r="C7" i="3"/>
  <c r="D42" i="3" s="1"/>
  <c r="C8" i="3"/>
  <c r="D43" i="3" s="1"/>
  <c r="C9" i="3"/>
  <c r="D44" i="3" s="1"/>
  <c r="C10" i="3"/>
  <c r="D45" i="3" s="1"/>
  <c r="C11" i="3"/>
  <c r="D46" i="3" s="1"/>
  <c r="C12" i="3"/>
  <c r="D47" i="3" s="1"/>
  <c r="C13" i="3"/>
  <c r="D48" i="3" s="1"/>
  <c r="C14" i="3"/>
  <c r="D49" i="3" s="1"/>
  <c r="C15" i="3"/>
  <c r="D50" i="3" s="1"/>
  <c r="C16" i="3"/>
  <c r="D51" i="3" s="1"/>
  <c r="C3" i="3"/>
  <c r="D38" i="3" s="1"/>
  <c r="V4" i="3"/>
  <c r="V5" i="3"/>
  <c r="V6" i="3"/>
  <c r="V7" i="3"/>
  <c r="V8" i="3"/>
  <c r="V9" i="3"/>
  <c r="V10" i="3"/>
  <c r="V11" i="3"/>
  <c r="V12" i="3"/>
  <c r="V13" i="3"/>
  <c r="V14" i="3"/>
  <c r="V3" i="3"/>
  <c r="U15" i="3"/>
  <c r="T15" i="3"/>
  <c r="S15" i="3"/>
  <c r="R15" i="3"/>
  <c r="P14" i="3"/>
  <c r="O14" i="3"/>
  <c r="N14" i="3"/>
  <c r="M14" i="3"/>
  <c r="L14" i="3"/>
  <c r="P12" i="3"/>
  <c r="O12" i="3"/>
  <c r="N12" i="3"/>
  <c r="M12" i="3"/>
  <c r="L12" i="3"/>
  <c r="O8" i="3"/>
  <c r="N8" i="3"/>
  <c r="P7" i="3"/>
  <c r="O7" i="3"/>
  <c r="N7" i="3"/>
  <c r="M7" i="3"/>
  <c r="L7" i="3"/>
  <c r="P6" i="3"/>
  <c r="O6" i="3"/>
  <c r="N6" i="3"/>
  <c r="M6" i="3"/>
  <c r="L6" i="3"/>
  <c r="P4" i="3"/>
  <c r="O4" i="3"/>
  <c r="N4" i="3"/>
  <c r="M4" i="3"/>
  <c r="L4" i="3"/>
  <c r="P3" i="3"/>
  <c r="L3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N23" i="1"/>
  <c r="AN22" i="1"/>
  <c r="AN16" i="1"/>
  <c r="AN15" i="1"/>
  <c r="AN27" i="1"/>
  <c r="AN26" i="1"/>
  <c r="AN25" i="1"/>
  <c r="AN24" i="1"/>
  <c r="AN21" i="1"/>
  <c r="AN20" i="1"/>
  <c r="AN17" i="1"/>
  <c r="AN14" i="1"/>
  <c r="AM8" i="1"/>
  <c r="AN8" i="1" s="1"/>
  <c r="AM7" i="1"/>
  <c r="AN7" i="1" s="1"/>
  <c r="AM5" i="1"/>
  <c r="AN5" i="1" s="1"/>
  <c r="AM6" i="1"/>
  <c r="AN6" i="1" s="1"/>
  <c r="AN37" i="1"/>
  <c r="AM19" i="1"/>
  <c r="AN19" i="1" s="1"/>
  <c r="AM18" i="1"/>
  <c r="AN18" i="1" s="1"/>
  <c r="AN13" i="1"/>
  <c r="AM12" i="1"/>
  <c r="AN12" i="1" s="1"/>
  <c r="AN11" i="1"/>
  <c r="AN10" i="1"/>
  <c r="AN9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6" i="1"/>
  <c r="AG5" i="1"/>
  <c r="AG4" i="1"/>
  <c r="AG3" i="1"/>
  <c r="G22" i="1"/>
  <c r="G23" i="1"/>
  <c r="G21" i="1"/>
  <c r="U21" i="1"/>
  <c r="U20" i="1"/>
  <c r="U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4" i="1"/>
  <c r="D39" i="1" s="1"/>
  <c r="C5" i="1"/>
  <c r="D40" i="1" s="1"/>
  <c r="C6" i="1"/>
  <c r="D41" i="1" s="1"/>
  <c r="C7" i="1"/>
  <c r="D42" i="1" s="1"/>
  <c r="C8" i="1"/>
  <c r="D43" i="1" s="1"/>
  <c r="C9" i="1"/>
  <c r="D44" i="1" s="1"/>
  <c r="C10" i="1"/>
  <c r="D45" i="1" s="1"/>
  <c r="C11" i="1"/>
  <c r="D46" i="1" s="1"/>
  <c r="C12" i="1"/>
  <c r="D47" i="1" s="1"/>
  <c r="C13" i="1"/>
  <c r="D48" i="1" s="1"/>
  <c r="C14" i="1"/>
  <c r="D49" i="1" s="1"/>
  <c r="C15" i="1"/>
  <c r="D50" i="1" s="1"/>
  <c r="C16" i="1"/>
  <c r="D51" i="1" s="1"/>
  <c r="C3" i="1"/>
  <c r="D38" i="1" s="1"/>
  <c r="U4" i="1"/>
  <c r="U5" i="1"/>
  <c r="U6" i="1"/>
  <c r="U7" i="1"/>
  <c r="U8" i="1"/>
  <c r="U9" i="1"/>
  <c r="U10" i="1"/>
  <c r="U11" i="1"/>
  <c r="U12" i="1"/>
  <c r="U13" i="1"/>
  <c r="U14" i="1"/>
  <c r="U3" i="1"/>
  <c r="R15" i="1"/>
  <c r="S15" i="1"/>
  <c r="T15" i="1"/>
  <c r="Q15" i="1"/>
  <c r="B11" i="1"/>
  <c r="G11" i="1" s="1"/>
  <c r="E46" i="3" s="1"/>
  <c r="A61" i="2"/>
  <c r="L14" i="2"/>
  <c r="L13" i="2"/>
  <c r="L12" i="2"/>
  <c r="L11" i="2"/>
  <c r="W41" i="3" l="1"/>
  <c r="Z41" i="3" s="1"/>
  <c r="Y24" i="3"/>
  <c r="P10" i="3"/>
  <c r="X45" i="3"/>
  <c r="X44" i="3"/>
  <c r="W45" i="3"/>
  <c r="Z45" i="3" s="1"/>
  <c r="W51" i="3"/>
  <c r="Z51" i="3" s="1"/>
  <c r="W34" i="3"/>
  <c r="Q52" i="3"/>
  <c r="W35" i="3"/>
  <c r="Q49" i="3"/>
  <c r="W32" i="3"/>
  <c r="W44" i="3"/>
  <c r="Z44" i="3" s="1"/>
  <c r="W27" i="3"/>
  <c r="Z7" i="3"/>
  <c r="W48" i="3"/>
  <c r="Z48" i="3" s="1"/>
  <c r="W31" i="3"/>
  <c r="Q41" i="3"/>
  <c r="Q45" i="3"/>
  <c r="W46" i="3"/>
  <c r="Z46" i="3" s="1"/>
  <c r="W29" i="3"/>
  <c r="Q44" i="3"/>
  <c r="Z8" i="3"/>
  <c r="Z3" i="3"/>
  <c r="AB41" i="3"/>
  <c r="Z14" i="3"/>
  <c r="Z13" i="3"/>
  <c r="Z10" i="3"/>
  <c r="Z11" i="3"/>
  <c r="Z12" i="3"/>
  <c r="L10" i="3"/>
  <c r="M10" i="3"/>
  <c r="N10" i="3"/>
  <c r="O10" i="3"/>
  <c r="W47" i="3"/>
  <c r="Z47" i="3" s="1"/>
  <c r="W30" i="3"/>
  <c r="Z9" i="3"/>
  <c r="Q43" i="3"/>
  <c r="W26" i="3"/>
  <c r="Z5" i="3"/>
  <c r="AA52" i="3"/>
  <c r="AN36" i="1"/>
  <c r="K37" i="4"/>
  <c r="R37" i="4" s="1"/>
  <c r="S37" i="4"/>
  <c r="K39" i="4"/>
  <c r="R39" i="4" s="1"/>
  <c r="S39" i="4"/>
  <c r="K40" i="4"/>
  <c r="R40" i="4" s="1"/>
  <c r="S40" i="4"/>
  <c r="K38" i="4"/>
  <c r="R38" i="4" s="1"/>
  <c r="S38" i="4"/>
  <c r="T33" i="5"/>
  <c r="T31" i="5"/>
  <c r="T32" i="5"/>
  <c r="T40" i="5"/>
  <c r="T39" i="5"/>
  <c r="T37" i="5"/>
  <c r="T38" i="5"/>
  <c r="T36" i="5"/>
  <c r="T34" i="5"/>
  <c r="T35" i="5"/>
  <c r="T30" i="5"/>
  <c r="T29" i="5"/>
  <c r="P8" i="3"/>
  <c r="L9" i="3"/>
  <c r="AN18" i="3"/>
  <c r="M9" i="3"/>
  <c r="N9" i="3"/>
  <c r="L8" i="3"/>
  <c r="O9" i="3"/>
  <c r="Q51" i="3"/>
  <c r="M8" i="3"/>
  <c r="P9" i="3"/>
  <c r="K29" i="3"/>
  <c r="Q29" i="3" s="1"/>
  <c r="K30" i="3"/>
  <c r="Q30" i="3" s="1"/>
  <c r="K28" i="3"/>
  <c r="Q28" i="3" s="1"/>
  <c r="X24" i="3"/>
  <c r="Z24" i="3"/>
  <c r="K29" i="4"/>
  <c r="R29" i="4" s="1"/>
  <c r="K33" i="4"/>
  <c r="R33" i="4" s="1"/>
  <c r="X28" i="3"/>
  <c r="Y28" i="3"/>
  <c r="Z28" i="3"/>
  <c r="Y26" i="3"/>
  <c r="K31" i="4"/>
  <c r="R31" i="4" s="1"/>
  <c r="X26" i="3"/>
  <c r="Z26" i="3"/>
  <c r="K30" i="4"/>
  <c r="R30" i="4" s="1"/>
  <c r="K32" i="4"/>
  <c r="R32" i="4" s="1"/>
  <c r="X27" i="3"/>
  <c r="Y27" i="3"/>
  <c r="Z27" i="3"/>
  <c r="K36" i="4"/>
  <c r="R36" i="4" s="1"/>
  <c r="X31" i="3"/>
  <c r="Y31" i="3"/>
  <c r="Z31" i="3"/>
  <c r="K35" i="4"/>
  <c r="R35" i="4" s="1"/>
  <c r="X30" i="3"/>
  <c r="Y30" i="3"/>
  <c r="Z30" i="3"/>
  <c r="Z29" i="3"/>
  <c r="K34" i="4"/>
  <c r="R34" i="4" s="1"/>
  <c r="X29" i="3"/>
  <c r="Y29" i="3"/>
  <c r="AN39" i="1"/>
  <c r="X35" i="3"/>
  <c r="Z35" i="3"/>
  <c r="Y35" i="3"/>
  <c r="Z34" i="3"/>
  <c r="Y34" i="3"/>
  <c r="X34" i="3"/>
  <c r="X33" i="3"/>
  <c r="Z33" i="3"/>
  <c r="Y33" i="3"/>
  <c r="Y32" i="3"/>
  <c r="Z32" i="3"/>
  <c r="X32" i="3"/>
  <c r="M13" i="3"/>
  <c r="L5" i="3"/>
  <c r="O13" i="3"/>
  <c r="M5" i="3"/>
  <c r="R43" i="3"/>
  <c r="N5" i="3"/>
  <c r="Q47" i="3"/>
  <c r="O5" i="3"/>
  <c r="P5" i="3"/>
  <c r="R51" i="3"/>
  <c r="L13" i="3"/>
  <c r="AB52" i="3"/>
  <c r="AN39" i="3"/>
  <c r="AM27" i="3"/>
  <c r="AN27" i="3" s="1"/>
  <c r="Y52" i="3"/>
  <c r="AB45" i="3"/>
  <c r="R48" i="3"/>
  <c r="X47" i="3"/>
  <c r="R46" i="3"/>
  <c r="Q48" i="3"/>
  <c r="Q46" i="3"/>
  <c r="L11" i="3"/>
  <c r="M11" i="3"/>
  <c r="N11" i="3"/>
  <c r="R49" i="3"/>
  <c r="O11" i="3"/>
  <c r="P11" i="3"/>
  <c r="N13" i="3"/>
  <c r="X51" i="3"/>
  <c r="N3" i="3"/>
  <c r="M3" i="3"/>
  <c r="AB48" i="3"/>
  <c r="Y48" i="3"/>
  <c r="AA51" i="3"/>
  <c r="AB51" i="3"/>
  <c r="Y51" i="3"/>
  <c r="W43" i="3"/>
  <c r="Z43" i="3" s="1"/>
  <c r="W50" i="3"/>
  <c r="Z50" i="3" s="1"/>
  <c r="AA45" i="3"/>
  <c r="S33" i="4" s="1"/>
  <c r="W49" i="3"/>
  <c r="Z49" i="3" s="1"/>
  <c r="Y45" i="3"/>
  <c r="AA41" i="3"/>
  <c r="Y41" i="3"/>
  <c r="B16" i="1"/>
  <c r="G16" i="1" s="1"/>
  <c r="E51" i="3" s="1"/>
  <c r="B12" i="1"/>
  <c r="G12" i="1" s="1"/>
  <c r="E47" i="3" s="1"/>
  <c r="B13" i="1"/>
  <c r="G13" i="1" s="1"/>
  <c r="E48" i="3" s="1"/>
  <c r="B10" i="1"/>
  <c r="G10" i="1" s="1"/>
  <c r="E45" i="3" s="1"/>
  <c r="B14" i="1"/>
  <c r="G14" i="1" s="1"/>
  <c r="E49" i="3" s="1"/>
  <c r="B15" i="1"/>
  <c r="G15" i="1" s="1"/>
  <c r="E50" i="3" s="1"/>
  <c r="B5" i="1"/>
  <c r="G5" i="1" s="1"/>
  <c r="E40" i="3" s="1"/>
  <c r="B7" i="1"/>
  <c r="G7" i="1" s="1"/>
  <c r="E42" i="3" s="1"/>
  <c r="D11" i="1"/>
  <c r="F11" i="1" s="1"/>
  <c r="B4" i="1"/>
  <c r="B3" i="1"/>
  <c r="G3" i="1" s="1"/>
  <c r="E38" i="3" s="1"/>
  <c r="B6" i="1"/>
  <c r="B8" i="1"/>
  <c r="B9" i="1"/>
  <c r="AB46" i="3" l="1"/>
  <c r="Y44" i="3"/>
  <c r="AB44" i="3"/>
  <c r="AA44" i="3"/>
  <c r="S32" i="4" s="1"/>
  <c r="U32" i="5" s="1"/>
  <c r="AA48" i="3"/>
  <c r="AN36" i="3"/>
  <c r="Y46" i="3"/>
  <c r="AA46" i="3"/>
  <c r="S34" i="4" s="1"/>
  <c r="U34" i="5" s="1"/>
  <c r="AA47" i="3"/>
  <c r="S35" i="4" s="1"/>
  <c r="U35" i="4" s="1"/>
  <c r="AB47" i="3"/>
  <c r="Y47" i="3"/>
  <c r="B15" i="3"/>
  <c r="G15" i="3" s="1"/>
  <c r="AA33" i="3"/>
  <c r="U40" i="5"/>
  <c r="U38" i="4"/>
  <c r="U40" i="4"/>
  <c r="U39" i="4"/>
  <c r="U37" i="4"/>
  <c r="S29" i="4"/>
  <c r="U29" i="5" s="1"/>
  <c r="U33" i="5"/>
  <c r="U39" i="5"/>
  <c r="AA35" i="3"/>
  <c r="B5" i="3"/>
  <c r="G5" i="3" s="1"/>
  <c r="B34" i="4"/>
  <c r="AA34" i="3"/>
  <c r="AA29" i="3"/>
  <c r="B36" i="4"/>
  <c r="AA31" i="3"/>
  <c r="AA28" i="3"/>
  <c r="AA32" i="3"/>
  <c r="B35" i="4"/>
  <c r="U33" i="4"/>
  <c r="AA26" i="3"/>
  <c r="AA30" i="3"/>
  <c r="AA24" i="3"/>
  <c r="AA27" i="3"/>
  <c r="B16" i="3"/>
  <c r="G16" i="3" s="1"/>
  <c r="B3" i="3"/>
  <c r="G3" i="3" s="1"/>
  <c r="B13" i="3"/>
  <c r="G13" i="3" s="1"/>
  <c r="B14" i="3"/>
  <c r="G14" i="3" s="1"/>
  <c r="B4" i="3"/>
  <c r="D15" i="1"/>
  <c r="F15" i="1" s="1"/>
  <c r="D14" i="1"/>
  <c r="F14" i="1" s="1"/>
  <c r="D10" i="1"/>
  <c r="F10" i="1" s="1"/>
  <c r="D3" i="1"/>
  <c r="F3" i="1" s="1"/>
  <c r="D13" i="1"/>
  <c r="F13" i="1" s="1"/>
  <c r="D12" i="1"/>
  <c r="F12" i="1" s="1"/>
  <c r="D7" i="1"/>
  <c r="F7" i="1" s="1"/>
  <c r="D16" i="1"/>
  <c r="F16" i="1" s="1"/>
  <c r="D5" i="1"/>
  <c r="F5" i="1" s="1"/>
  <c r="B6" i="3"/>
  <c r="B8" i="3"/>
  <c r="B7" i="3"/>
  <c r="B11" i="3"/>
  <c r="G11" i="3" s="1"/>
  <c r="B10" i="3"/>
  <c r="G10" i="3" s="1"/>
  <c r="B9" i="3"/>
  <c r="B12" i="3"/>
  <c r="G12" i="3" s="1"/>
  <c r="AA49" i="3"/>
  <c r="U37" i="5" s="1"/>
  <c r="AB49" i="3"/>
  <c r="Y49" i="3"/>
  <c r="AA50" i="3"/>
  <c r="U38" i="5" s="1"/>
  <c r="AB50" i="3"/>
  <c r="Y50" i="3"/>
  <c r="AA43" i="3"/>
  <c r="S31" i="4" s="1"/>
  <c r="U31" i="5" s="1"/>
  <c r="Y43" i="3"/>
  <c r="AB43" i="3"/>
  <c r="G6" i="1"/>
  <c r="E41" i="3" s="1"/>
  <c r="G8" i="1"/>
  <c r="E43" i="3" s="1"/>
  <c r="G9" i="1"/>
  <c r="E44" i="3" s="1"/>
  <c r="G4" i="1"/>
  <c r="E39" i="3" s="1"/>
  <c r="U32" i="4" l="1"/>
  <c r="S36" i="4"/>
  <c r="U36" i="4" s="1"/>
  <c r="U34" i="4"/>
  <c r="U35" i="5"/>
  <c r="U29" i="4"/>
  <c r="D5" i="3"/>
  <c r="F5" i="3" s="1"/>
  <c r="E40" i="4"/>
  <c r="G5" i="4" s="1"/>
  <c r="D13" i="3"/>
  <c r="F13" i="3" s="1"/>
  <c r="E48" i="4"/>
  <c r="G13" i="4" s="1"/>
  <c r="D10" i="3"/>
  <c r="F10" i="3" s="1"/>
  <c r="E45" i="4"/>
  <c r="G10" i="4" s="1"/>
  <c r="D3" i="3"/>
  <c r="F3" i="3" s="1"/>
  <c r="E38" i="4"/>
  <c r="G3" i="4" s="1"/>
  <c r="D14" i="3"/>
  <c r="F14" i="3" s="1"/>
  <c r="E49" i="4"/>
  <c r="G14" i="4" s="1"/>
  <c r="D11" i="3"/>
  <c r="F11" i="3" s="1"/>
  <c r="E46" i="4"/>
  <c r="G11" i="4" s="1"/>
  <c r="D16" i="3"/>
  <c r="F16" i="3" s="1"/>
  <c r="E51" i="4"/>
  <c r="D15" i="3"/>
  <c r="F15" i="3" s="1"/>
  <c r="E50" i="4"/>
  <c r="G15" i="4" s="1"/>
  <c r="U31" i="4"/>
  <c r="D12" i="3"/>
  <c r="F12" i="3" s="1"/>
  <c r="E47" i="4"/>
  <c r="G12" i="4" s="1"/>
  <c r="G7" i="3"/>
  <c r="D9" i="1"/>
  <c r="F9" i="1" s="1"/>
  <c r="D6" i="1"/>
  <c r="F6" i="1" s="1"/>
  <c r="G6" i="3"/>
  <c r="E41" i="4" s="1"/>
  <c r="G6" i="4" s="1"/>
  <c r="D4" i="1"/>
  <c r="F4" i="1" s="1"/>
  <c r="G4" i="3"/>
  <c r="D4" i="3" s="1"/>
  <c r="D8" i="1"/>
  <c r="F8" i="1" s="1"/>
  <c r="G8" i="3"/>
  <c r="G9" i="3"/>
  <c r="U36" i="5" l="1"/>
  <c r="G18" i="1"/>
  <c r="AG26" i="1" s="1"/>
  <c r="AG27" i="1" s="1"/>
  <c r="AH27" i="1" s="1"/>
  <c r="AN38" i="1"/>
  <c r="AN41" i="1"/>
  <c r="AN42" i="1" s="1"/>
  <c r="D9" i="3"/>
  <c r="F9" i="3" s="1"/>
  <c r="E44" i="4"/>
  <c r="G9" i="4" s="1"/>
  <c r="D7" i="3"/>
  <c r="F7" i="3" s="1"/>
  <c r="E42" i="4"/>
  <c r="G7" i="4" s="1"/>
  <c r="D10" i="4"/>
  <c r="F10" i="4" s="1"/>
  <c r="E45" i="5"/>
  <c r="G10" i="5" s="1"/>
  <c r="D10" i="5" s="1"/>
  <c r="F10" i="5" s="1"/>
  <c r="D8" i="3"/>
  <c r="F8" i="3" s="1"/>
  <c r="E43" i="4"/>
  <c r="G8" i="4" s="1"/>
  <c r="E46" i="5"/>
  <c r="G11" i="5" s="1"/>
  <c r="D11" i="5" s="1"/>
  <c r="F11" i="5" s="1"/>
  <c r="D11" i="4"/>
  <c r="F11" i="4" s="1"/>
  <c r="D13" i="4"/>
  <c r="F13" i="4" s="1"/>
  <c r="E48" i="5"/>
  <c r="G13" i="5" s="1"/>
  <c r="D13" i="5" s="1"/>
  <c r="F13" i="5" s="1"/>
  <c r="D15" i="4"/>
  <c r="F15" i="4" s="1"/>
  <c r="E50" i="5"/>
  <c r="G15" i="5" s="1"/>
  <c r="D15" i="5" s="1"/>
  <c r="F15" i="5" s="1"/>
  <c r="D14" i="4"/>
  <c r="F14" i="4" s="1"/>
  <c r="E49" i="5"/>
  <c r="G14" i="5" s="1"/>
  <c r="D14" i="5" s="1"/>
  <c r="F14" i="5" s="1"/>
  <c r="F4" i="3"/>
  <c r="E39" i="4"/>
  <c r="G4" i="4" s="1"/>
  <c r="D6" i="4"/>
  <c r="F6" i="4" s="1"/>
  <c r="E41" i="5"/>
  <c r="G6" i="5" s="1"/>
  <c r="D6" i="5" s="1"/>
  <c r="F6" i="5" s="1"/>
  <c r="E47" i="5"/>
  <c r="G12" i="5" s="1"/>
  <c r="D12" i="5" s="1"/>
  <c r="F12" i="5" s="1"/>
  <c r="D12" i="4"/>
  <c r="F12" i="4" s="1"/>
  <c r="D5" i="4"/>
  <c r="F5" i="4" s="1"/>
  <c r="E40" i="5"/>
  <c r="G5" i="5" s="1"/>
  <c r="D5" i="5" s="1"/>
  <c r="F5" i="5" s="1"/>
  <c r="E38" i="5"/>
  <c r="G3" i="5" s="1"/>
  <c r="D3" i="4"/>
  <c r="F3" i="4" s="1"/>
  <c r="D6" i="3"/>
  <c r="F6" i="3" s="1"/>
  <c r="AG29" i="1" l="1"/>
  <c r="AN44" i="1"/>
  <c r="E43" i="5"/>
  <c r="G8" i="5" s="1"/>
  <c r="D8" i="5" s="1"/>
  <c r="F8" i="5" s="1"/>
  <c r="D8" i="4"/>
  <c r="F8" i="4" s="1"/>
  <c r="D7" i="4"/>
  <c r="F7" i="4" s="1"/>
  <c r="E42" i="5"/>
  <c r="G7" i="5" s="1"/>
  <c r="D7" i="5" s="1"/>
  <c r="F7" i="5" s="1"/>
  <c r="E39" i="5"/>
  <c r="G4" i="5" s="1"/>
  <c r="D4" i="5" s="1"/>
  <c r="F4" i="5" s="1"/>
  <c r="D4" i="4"/>
  <c r="F4" i="4" s="1"/>
  <c r="D9" i="4"/>
  <c r="F9" i="4" s="1"/>
  <c r="G18" i="4" s="1"/>
  <c r="AG27" i="4" s="1"/>
  <c r="AG28" i="4" s="1"/>
  <c r="E44" i="5"/>
  <c r="G9" i="5" s="1"/>
  <c r="D9" i="5" s="1"/>
  <c r="F9" i="5" s="1"/>
  <c r="G18" i="5" s="1"/>
  <c r="AG27" i="5" s="1"/>
  <c r="AG28" i="5" s="1"/>
  <c r="D3" i="5"/>
  <c r="F3" i="5" s="1"/>
  <c r="AN41" i="3"/>
  <c r="AN42" i="3" s="1"/>
  <c r="G18" i="3"/>
  <c r="AG27" i="3" s="1"/>
  <c r="AG28" i="3" s="1"/>
  <c r="AN38" i="3"/>
  <c r="AH28" i="5" l="1"/>
  <c r="AG30" i="5"/>
  <c r="AH28" i="4"/>
  <c r="AG30" i="4"/>
  <c r="AN44" i="3"/>
  <c r="H21" i="1" l="1"/>
  <c r="H22" i="1"/>
  <c r="H23" i="1"/>
  <c r="G16" i="4"/>
  <c r="E51" i="5" s="1"/>
  <c r="G16" i="5" s="1"/>
  <c r="D16" i="5" l="1"/>
  <c r="F16" i="5" s="1"/>
  <c r="AN41" i="5" s="1"/>
  <c r="AN42" i="5" s="1"/>
  <c r="D16" i="4"/>
  <c r="F16" i="4" s="1"/>
  <c r="AN38" i="5" l="1"/>
  <c r="AN44" i="5" s="1"/>
  <c r="AN41" i="4"/>
  <c r="AN42" i="4" s="1"/>
  <c r="AN38" i="4"/>
  <c r="AN44" i="4" l="1"/>
  <c r="J37" i="5"/>
  <c r="U73" i="5" s="1"/>
  <c r="X32" i="5"/>
  <c r="S36" i="5" s="1"/>
  <c r="J40" i="5"/>
  <c r="V76" i="5" s="1"/>
  <c r="X31" i="5"/>
  <c r="S34" i="5" s="1"/>
  <c r="X30" i="5"/>
  <c r="J32" i="5" s="1"/>
  <c r="X29" i="5"/>
  <c r="X31" i="4"/>
  <c r="AA7" i="4" s="1"/>
  <c r="X32" i="4"/>
  <c r="AA11" i="4" s="1"/>
  <c r="B45" i="5"/>
  <c r="B46" i="5"/>
  <c r="B47" i="5"/>
  <c r="B44" i="5"/>
  <c r="X29" i="4"/>
  <c r="X30" i="4"/>
  <c r="V31" i="4" s="1"/>
  <c r="Y31" i="4" s="1"/>
  <c r="X5" i="4" s="1"/>
  <c r="V32" i="4"/>
  <c r="Y32" i="4" s="1"/>
  <c r="X6" i="4" s="1"/>
  <c r="Q31" i="5" l="1"/>
  <c r="S67" i="5" s="1"/>
  <c r="J34" i="5"/>
  <c r="Q34" i="5" s="1"/>
  <c r="AA13" i="4"/>
  <c r="J38" i="5"/>
  <c r="V74" i="5" s="1"/>
  <c r="S40" i="5"/>
  <c r="X76" i="5" s="1"/>
  <c r="V36" i="4"/>
  <c r="Y36" i="4" s="1"/>
  <c r="X10" i="4" s="1"/>
  <c r="V39" i="4"/>
  <c r="Y39" i="4" s="1"/>
  <c r="X13" i="4" s="1"/>
  <c r="S39" i="5"/>
  <c r="W75" i="5" s="1"/>
  <c r="S38" i="5"/>
  <c r="W74" i="5" s="1"/>
  <c r="AA10" i="4"/>
  <c r="V37" i="4"/>
  <c r="Y37" i="4" s="1"/>
  <c r="X11" i="4" s="1"/>
  <c r="V38" i="4"/>
  <c r="Y38" i="4" s="1"/>
  <c r="X12" i="4" s="1"/>
  <c r="AA12" i="4"/>
  <c r="Q37" i="5"/>
  <c r="R73" i="5" s="1"/>
  <c r="Q40" i="5"/>
  <c r="Q38" i="5"/>
  <c r="R74" i="5" s="1"/>
  <c r="S33" i="5"/>
  <c r="W69" i="5" s="1"/>
  <c r="V35" i="4"/>
  <c r="Y35" i="4" s="1"/>
  <c r="X9" i="4" s="1"/>
  <c r="AA5" i="4"/>
  <c r="S32" i="5"/>
  <c r="X68" i="5" s="1"/>
  <c r="AA6" i="4"/>
  <c r="Q29" i="5"/>
  <c r="T73" i="5"/>
  <c r="U74" i="5"/>
  <c r="Q32" i="5"/>
  <c r="T76" i="5"/>
  <c r="T74" i="5"/>
  <c r="R67" i="5"/>
  <c r="W72" i="5"/>
  <c r="X72" i="5"/>
  <c r="V68" i="5"/>
  <c r="T68" i="5"/>
  <c r="U68" i="5"/>
  <c r="AA4" i="4"/>
  <c r="AA3" i="4"/>
  <c r="V29" i="4"/>
  <c r="Y29" i="4" s="1"/>
  <c r="X3" i="4" s="1"/>
  <c r="V30" i="4"/>
  <c r="R70" i="5"/>
  <c r="S70" i="5"/>
  <c r="W70" i="5"/>
  <c r="X70" i="5"/>
  <c r="S31" i="5"/>
  <c r="U76" i="5"/>
  <c r="J29" i="5"/>
  <c r="T70" i="5"/>
  <c r="V40" i="4"/>
  <c r="Y40" i="4" s="1"/>
  <c r="X14" i="4" s="1"/>
  <c r="AA9" i="4"/>
  <c r="AA8" i="4"/>
  <c r="V33" i="4"/>
  <c r="Y33" i="4" s="1"/>
  <c r="X7" i="4" s="1"/>
  <c r="J33" i="5"/>
  <c r="U70" i="5"/>
  <c r="S37" i="5"/>
  <c r="J35" i="5"/>
  <c r="J31" i="5"/>
  <c r="S29" i="5"/>
  <c r="J36" i="5"/>
  <c r="J39" i="5"/>
  <c r="V73" i="5"/>
  <c r="AA14" i="4"/>
  <c r="V34" i="4"/>
  <c r="Y34" i="4" s="1"/>
  <c r="X8" i="4" s="1"/>
  <c r="V70" i="5"/>
  <c r="S35" i="5"/>
  <c r="X74" i="5" l="1"/>
  <c r="X75" i="5"/>
  <c r="W76" i="5"/>
  <c r="S74" i="5"/>
  <c r="W68" i="5"/>
  <c r="S73" i="5"/>
  <c r="X12" i="5"/>
  <c r="S76" i="5"/>
  <c r="R76" i="5"/>
  <c r="X69" i="5"/>
  <c r="S65" i="5"/>
  <c r="R65" i="5"/>
  <c r="S68" i="5"/>
  <c r="R68" i="5"/>
  <c r="U67" i="5"/>
  <c r="T67" i="5"/>
  <c r="V67" i="5"/>
  <c r="X8" i="5"/>
  <c r="Y70" i="5"/>
  <c r="V71" i="5"/>
  <c r="T71" i="5"/>
  <c r="Q35" i="5"/>
  <c r="U71" i="5"/>
  <c r="T65" i="5"/>
  <c r="U65" i="5"/>
  <c r="V65" i="5"/>
  <c r="X65" i="5"/>
  <c r="W65" i="5"/>
  <c r="X73" i="5"/>
  <c r="W73" i="5"/>
  <c r="W67" i="5"/>
  <c r="X67" i="5"/>
  <c r="X71" i="5"/>
  <c r="W71" i="5"/>
  <c r="V75" i="5"/>
  <c r="T75" i="5"/>
  <c r="Q39" i="5"/>
  <c r="U75" i="5"/>
  <c r="Y74" i="5"/>
  <c r="V72" i="5"/>
  <c r="Q36" i="5"/>
  <c r="U72" i="5"/>
  <c r="T72" i="5"/>
  <c r="T69" i="5"/>
  <c r="V69" i="5"/>
  <c r="Q33" i="5"/>
  <c r="U69" i="5"/>
  <c r="X14" i="5" l="1"/>
  <c r="Y76" i="5"/>
  <c r="S90" i="5" s="1"/>
  <c r="S56" i="5" s="1"/>
  <c r="Y68" i="5"/>
  <c r="T82" i="5" s="1"/>
  <c r="T48" i="5" s="1"/>
  <c r="X11" i="5"/>
  <c r="Y73" i="5"/>
  <c r="X87" i="5" s="1"/>
  <c r="X53" i="5" s="1"/>
  <c r="X6" i="5"/>
  <c r="S71" i="5"/>
  <c r="R71" i="5"/>
  <c r="X5" i="5"/>
  <c r="Y67" i="5"/>
  <c r="V88" i="5"/>
  <c r="V54" i="5" s="1"/>
  <c r="U88" i="5"/>
  <c r="U54" i="5" s="1"/>
  <c r="S88" i="5"/>
  <c r="S54" i="5" s="1"/>
  <c r="R88" i="5"/>
  <c r="R54" i="5" s="1"/>
  <c r="T88" i="5"/>
  <c r="T54" i="5" s="1"/>
  <c r="X88" i="5"/>
  <c r="X54" i="5" s="1"/>
  <c r="W88" i="5"/>
  <c r="W54" i="5" s="1"/>
  <c r="R72" i="5"/>
  <c r="S72" i="5"/>
  <c r="S69" i="5"/>
  <c r="R69" i="5"/>
  <c r="R75" i="5"/>
  <c r="S75" i="5"/>
  <c r="T84" i="5"/>
  <c r="T50" i="5" s="1"/>
  <c r="X84" i="5"/>
  <c r="X50" i="5" s="1"/>
  <c r="W84" i="5"/>
  <c r="W50" i="5" s="1"/>
  <c r="V84" i="5"/>
  <c r="V50" i="5" s="1"/>
  <c r="S84" i="5"/>
  <c r="S50" i="5" s="1"/>
  <c r="U84" i="5"/>
  <c r="U50" i="5" s="1"/>
  <c r="R84" i="5"/>
  <c r="R50" i="5" s="1"/>
  <c r="X3" i="5"/>
  <c r="Y65" i="5"/>
  <c r="S82" i="5" l="1"/>
  <c r="S48" i="5" s="1"/>
  <c r="U82" i="5"/>
  <c r="U48" i="5" s="1"/>
  <c r="U87" i="5"/>
  <c r="U53" i="5" s="1"/>
  <c r="R87" i="5"/>
  <c r="R53" i="5" s="1"/>
  <c r="V87" i="5"/>
  <c r="V53" i="5" s="1"/>
  <c r="T87" i="5"/>
  <c r="T53" i="5" s="1"/>
  <c r="V82" i="5"/>
  <c r="V48" i="5" s="1"/>
  <c r="R90" i="5"/>
  <c r="R56" i="5" s="1"/>
  <c r="W82" i="5"/>
  <c r="W48" i="5" s="1"/>
  <c r="T90" i="5"/>
  <c r="T56" i="5" s="1"/>
  <c r="R82" i="5"/>
  <c r="R48" i="5" s="1"/>
  <c r="U90" i="5"/>
  <c r="U56" i="5" s="1"/>
  <c r="X90" i="5"/>
  <c r="X56" i="5" s="1"/>
  <c r="X82" i="5"/>
  <c r="X48" i="5" s="1"/>
  <c r="V90" i="5"/>
  <c r="V56" i="5" s="1"/>
  <c r="W90" i="5"/>
  <c r="W56" i="5" s="1"/>
  <c r="Y50" i="5"/>
  <c r="S87" i="5"/>
  <c r="S53" i="5" s="1"/>
  <c r="W87" i="5"/>
  <c r="W53" i="5" s="1"/>
  <c r="V81" i="5"/>
  <c r="V47" i="5" s="1"/>
  <c r="X81" i="5"/>
  <c r="X47" i="5" s="1"/>
  <c r="R81" i="5"/>
  <c r="R47" i="5" s="1"/>
  <c r="S81" i="5"/>
  <c r="S47" i="5" s="1"/>
  <c r="W81" i="5"/>
  <c r="W47" i="5" s="1"/>
  <c r="U81" i="5"/>
  <c r="U47" i="5" s="1"/>
  <c r="T81" i="5"/>
  <c r="T47" i="5" s="1"/>
  <c r="Y72" i="5"/>
  <c r="X10" i="5"/>
  <c r="X13" i="5"/>
  <c r="Y75" i="5"/>
  <c r="U79" i="5"/>
  <c r="U45" i="5" s="1"/>
  <c r="V79" i="5"/>
  <c r="V45" i="5" s="1"/>
  <c r="W79" i="5"/>
  <c r="W45" i="5" s="1"/>
  <c r="S79" i="5"/>
  <c r="S45" i="5" s="1"/>
  <c r="T79" i="5"/>
  <c r="T45" i="5" s="1"/>
  <c r="X79" i="5"/>
  <c r="X45" i="5" s="1"/>
  <c r="R79" i="5"/>
  <c r="R45" i="5" s="1"/>
  <c r="X7" i="5"/>
  <c r="Y69" i="5"/>
  <c r="Y54" i="5"/>
  <c r="Y71" i="5"/>
  <c r="X9" i="5"/>
  <c r="Y53" i="5" l="1"/>
  <c r="Y48" i="5"/>
  <c r="Y56" i="5"/>
  <c r="Y45" i="5"/>
  <c r="Y47" i="5"/>
  <c r="V85" i="5"/>
  <c r="V51" i="5" s="1"/>
  <c r="X85" i="5"/>
  <c r="X51" i="5" s="1"/>
  <c r="T85" i="5"/>
  <c r="T51" i="5" s="1"/>
  <c r="S85" i="5"/>
  <c r="S51" i="5" s="1"/>
  <c r="W85" i="5"/>
  <c r="W51" i="5" s="1"/>
  <c r="R85" i="5"/>
  <c r="R51" i="5" s="1"/>
  <c r="U85" i="5"/>
  <c r="U51" i="5" s="1"/>
  <c r="T86" i="5"/>
  <c r="T52" i="5" s="1"/>
  <c r="U86" i="5"/>
  <c r="U52" i="5" s="1"/>
  <c r="V86" i="5"/>
  <c r="V52" i="5" s="1"/>
  <c r="W86" i="5"/>
  <c r="W52" i="5" s="1"/>
  <c r="S86" i="5"/>
  <c r="S52" i="5" s="1"/>
  <c r="X86" i="5"/>
  <c r="X52" i="5" s="1"/>
  <c r="R86" i="5"/>
  <c r="R52" i="5" s="1"/>
  <c r="U89" i="5"/>
  <c r="U55" i="5" s="1"/>
  <c r="W89" i="5"/>
  <c r="W55" i="5" s="1"/>
  <c r="R89" i="5"/>
  <c r="R55" i="5" s="1"/>
  <c r="T89" i="5"/>
  <c r="T55" i="5" s="1"/>
  <c r="X89" i="5"/>
  <c r="X55" i="5" s="1"/>
  <c r="S89" i="5"/>
  <c r="S55" i="5" s="1"/>
  <c r="V89" i="5"/>
  <c r="V55" i="5" s="1"/>
  <c r="U83" i="5"/>
  <c r="U49" i="5" s="1"/>
  <c r="R83" i="5"/>
  <c r="R49" i="5" s="1"/>
  <c r="S83" i="5"/>
  <c r="S49" i="5" s="1"/>
  <c r="V83" i="5"/>
  <c r="V49" i="5" s="1"/>
  <c r="T83" i="5"/>
  <c r="T49" i="5" s="1"/>
  <c r="X83" i="5"/>
  <c r="X49" i="5" s="1"/>
  <c r="W83" i="5"/>
  <c r="W49" i="5" s="1"/>
  <c r="Y49" i="5" l="1"/>
  <c r="Y52" i="5"/>
  <c r="Y51" i="5"/>
  <c r="Y55" i="5"/>
  <c r="Z25" i="3" l="1"/>
  <c r="Z4" i="3"/>
  <c r="Y25" i="3"/>
  <c r="W25" i="3"/>
  <c r="X25" i="3"/>
  <c r="S45" i="3"/>
  <c r="S51" i="3"/>
  <c r="S47" i="3"/>
  <c r="S44" i="3"/>
  <c r="S50" i="3"/>
  <c r="Q42" i="3"/>
  <c r="T41" i="3" s="1"/>
  <c r="S48" i="3"/>
  <c r="W42" i="3"/>
  <c r="AA42" i="3" s="1"/>
  <c r="S30" i="4" s="1"/>
  <c r="S52" i="3" l="1"/>
  <c r="AA25" i="3"/>
  <c r="S49" i="3"/>
  <c r="T44" i="3"/>
  <c r="U47" i="3"/>
  <c r="U46" i="3"/>
  <c r="U41" i="3"/>
  <c r="W3" i="3" s="1"/>
  <c r="U48" i="3"/>
  <c r="T46" i="3"/>
  <c r="S41" i="3"/>
  <c r="T52" i="3"/>
  <c r="W14" i="3" s="1"/>
  <c r="S43" i="3"/>
  <c r="W5" i="3" s="1"/>
  <c r="U51" i="3"/>
  <c r="T48" i="3"/>
  <c r="W10" i="3" s="1"/>
  <c r="U45" i="3"/>
  <c r="T45" i="3"/>
  <c r="W7" i="3" s="1"/>
  <c r="U43" i="3"/>
  <c r="Y42" i="3"/>
  <c r="T43" i="3"/>
  <c r="T42" i="3"/>
  <c r="Z42" i="3"/>
  <c r="AB42" i="3"/>
  <c r="U42" i="3"/>
  <c r="U52" i="3"/>
  <c r="U49" i="3"/>
  <c r="U30" i="4"/>
  <c r="Y30" i="4" s="1"/>
  <c r="X4" i="4" s="1"/>
  <c r="U30" i="5"/>
  <c r="T49" i="3"/>
  <c r="W11" i="3" s="1"/>
  <c r="T51" i="3"/>
  <c r="W13" i="3" s="1"/>
  <c r="U50" i="3"/>
  <c r="T47" i="3"/>
  <c r="W9" i="3" s="1"/>
  <c r="S46" i="3"/>
  <c r="U44" i="3"/>
  <c r="W6" i="3" s="1"/>
  <c r="S42" i="3"/>
  <c r="W4" i="3" s="1"/>
  <c r="T50" i="3"/>
  <c r="W12" i="3" s="1"/>
  <c r="W8" i="3" l="1"/>
  <c r="S30" i="5"/>
  <c r="J30" i="5"/>
  <c r="Q30" i="5"/>
  <c r="S66" i="5" l="1"/>
  <c r="R66" i="5"/>
  <c r="U66" i="5"/>
  <c r="V66" i="5"/>
  <c r="T66" i="5"/>
  <c r="W66" i="5"/>
  <c r="X66" i="5"/>
  <c r="X4" i="5" l="1"/>
  <c r="Y66" i="5"/>
  <c r="V80" i="5" l="1"/>
  <c r="V46" i="5" s="1"/>
  <c r="W80" i="5"/>
  <c r="W46" i="5" s="1"/>
  <c r="X80" i="5"/>
  <c r="X46" i="5" s="1"/>
  <c r="U80" i="5"/>
  <c r="U46" i="5" s="1"/>
  <c r="S80" i="5"/>
  <c r="S46" i="5" s="1"/>
  <c r="T80" i="5"/>
  <c r="T46" i="5" s="1"/>
  <c r="R80" i="5"/>
  <c r="R46" i="5" s="1"/>
  <c r="Y46" i="5" l="1"/>
</calcChain>
</file>

<file path=xl/sharedStrings.xml><?xml version="1.0" encoding="utf-8"?>
<sst xmlns="http://schemas.openxmlformats.org/spreadsheetml/2006/main" count="1488" uniqueCount="533">
  <si>
    <t>公司初始现金</t>
  </si>
  <si>
    <t>正式经营开始之前每家公司获得的注册资金（实收资本）</t>
  </si>
  <si>
    <t>市场名称</t>
    <phoneticPr fontId="2" type="noConversion"/>
  </si>
  <si>
    <t>每期开发成本</t>
    <phoneticPr fontId="2" type="noConversion"/>
  </si>
  <si>
    <t>开发周期</t>
    <phoneticPr fontId="2" type="noConversion"/>
  </si>
  <si>
    <t>公司注册设立费用</t>
  </si>
  <si>
    <t>公司设立开办过程中所发生的所有相关的费用。该笔费用在第一季度初自动扣除</t>
  </si>
  <si>
    <t>华东</t>
    <phoneticPr fontId="1" type="noConversion"/>
  </si>
  <si>
    <t>办公室租金</t>
  </si>
  <si>
    <t>公司租赁办公场地的费用，每季度初自动扣除当季的租金</t>
  </si>
  <si>
    <t>华北</t>
    <phoneticPr fontId="2" type="noConversion"/>
  </si>
  <si>
    <t>所得税率</t>
  </si>
  <si>
    <t>企业经营当季如果有利润，按该税率在下季初缴纳所得税</t>
  </si>
  <si>
    <t>华南</t>
    <phoneticPr fontId="2" type="noConversion"/>
  </si>
  <si>
    <t>营业税率</t>
  </si>
  <si>
    <t>营改增改革后，停征营业税。</t>
  </si>
  <si>
    <t>华中</t>
    <phoneticPr fontId="2" type="noConversion"/>
  </si>
  <si>
    <t>增值税率</t>
  </si>
  <si>
    <t>销项税-进项税</t>
    <phoneticPr fontId="1" type="noConversion"/>
  </si>
  <si>
    <t>西南</t>
    <phoneticPr fontId="2" type="noConversion"/>
  </si>
  <si>
    <t>城建税率</t>
  </si>
  <si>
    <t>根据企业实际缴纳增值税</t>
    <phoneticPr fontId="1" type="noConversion"/>
  </si>
  <si>
    <t>东北</t>
    <phoneticPr fontId="1" type="noConversion"/>
  </si>
  <si>
    <t>教育附加税率</t>
  </si>
  <si>
    <t>根据企业应缴纳的增值税，按该税率缴纳教育附加税</t>
  </si>
  <si>
    <t>西北</t>
    <phoneticPr fontId="1" type="noConversion"/>
  </si>
  <si>
    <t>地方教育附加税率</t>
  </si>
  <si>
    <t>根据企业应缴纳的增值税</t>
    <phoneticPr fontId="1" type="noConversion"/>
  </si>
  <si>
    <t>行政管理费</t>
  </si>
  <si>
    <t>公司每季度运营的行政管理费用</t>
  </si>
  <si>
    <t>群体名称</t>
  </si>
  <si>
    <t>最高参考价格</t>
  </si>
  <si>
    <t>报价权重</t>
  </si>
  <si>
    <t>品牌权重</t>
  </si>
  <si>
    <t>功能权重</t>
    <phoneticPr fontId="3" type="noConversion"/>
  </si>
  <si>
    <t>销售权重</t>
    <phoneticPr fontId="3" type="noConversion"/>
  </si>
  <si>
    <t>口碑权重</t>
    <phoneticPr fontId="1" type="noConversion"/>
  </si>
  <si>
    <t>合计</t>
    <phoneticPr fontId="1" type="noConversion"/>
  </si>
  <si>
    <t>小组人员工资</t>
  </si>
  <si>
    <t>小组管理团队所有人员的季度工资，不分人数多少</t>
  </si>
  <si>
    <t>商务人士</t>
    <phoneticPr fontId="1" type="noConversion"/>
  </si>
  <si>
    <t>养老保险比率</t>
  </si>
  <si>
    <t>根据工资总额按该比率缴纳养老保险费用</t>
  </si>
  <si>
    <t>公司白领</t>
    <phoneticPr fontId="1" type="noConversion"/>
  </si>
  <si>
    <t>失业保险比率</t>
  </si>
  <si>
    <t>根据工资总额按该比率缴纳失业保险费用</t>
  </si>
  <si>
    <t>青少年群体</t>
    <phoneticPr fontId="1" type="noConversion"/>
  </si>
  <si>
    <t>工伤保险比率</t>
  </si>
  <si>
    <t>根据工资总额按该比率缴纳工伤保险费用</t>
  </si>
  <si>
    <t>老年群体</t>
    <phoneticPr fontId="1" type="noConversion"/>
  </si>
  <si>
    <t>生育保险比率</t>
  </si>
  <si>
    <t>根据工资总额按该比率缴纳生育保险费用</t>
  </si>
  <si>
    <t>医疗保险比率</t>
  </si>
  <si>
    <t>根据工资总额按该比率缴纳医疗保险费用</t>
  </si>
  <si>
    <t>员工设置</t>
    <phoneticPr fontId="2" type="noConversion"/>
  </si>
  <si>
    <t>聘用价格</t>
    <phoneticPr fontId="2" type="noConversion"/>
  </si>
  <si>
    <t>生产销售能力</t>
    <phoneticPr fontId="2" type="noConversion"/>
  </si>
  <si>
    <t>培训费用</t>
    <phoneticPr fontId="2" type="noConversion"/>
  </si>
  <si>
    <t>培训提升</t>
    <phoneticPr fontId="2" type="noConversion"/>
  </si>
  <si>
    <t>员工工资</t>
    <phoneticPr fontId="2" type="noConversion"/>
  </si>
  <si>
    <t>试用期</t>
    <phoneticPr fontId="2" type="noConversion"/>
  </si>
  <si>
    <t>辞退补偿费用</t>
    <phoneticPr fontId="2" type="noConversion"/>
  </si>
  <si>
    <t>未办理保险罚款</t>
  </si>
  <si>
    <t>没有给员工办理保险的情况下按该金额缴纳罚款</t>
    <phoneticPr fontId="1" type="noConversion"/>
  </si>
  <si>
    <t>销售员</t>
    <phoneticPr fontId="2" type="noConversion"/>
  </si>
  <si>
    <t>普通借款利率</t>
  </si>
  <si>
    <t>正常向银行申请借款的利率</t>
  </si>
  <si>
    <t>生产工人</t>
    <phoneticPr fontId="2" type="noConversion"/>
  </si>
  <si>
    <t>普通借款还款周期(季度)</t>
  </si>
  <si>
    <t>普通借款还款周期</t>
  </si>
  <si>
    <t>紧急借款利率</t>
  </si>
  <si>
    <t>公司资金链断裂时，紧急借款时的利率</t>
    <phoneticPr fontId="1" type="noConversion"/>
  </si>
  <si>
    <t>厂房设置：</t>
    <phoneticPr fontId="2" type="noConversion"/>
  </si>
  <si>
    <t>紧急借款还款周期(季度)</t>
  </si>
  <si>
    <t>紧急借款还款周期</t>
  </si>
  <si>
    <t>大厂房</t>
    <phoneticPr fontId="2" type="noConversion"/>
  </si>
  <si>
    <t>中厂房</t>
    <phoneticPr fontId="2" type="noConversion"/>
  </si>
  <si>
    <t>小厂房</t>
    <phoneticPr fontId="2" type="noConversion"/>
  </si>
  <si>
    <t>同期最大借款授信额度</t>
  </si>
  <si>
    <t>同一个周期内，普通借款允许的最大借款金额</t>
  </si>
  <si>
    <t>容纳生产线</t>
  </si>
  <si>
    <t>一账期应收账款贴现率</t>
  </si>
  <si>
    <t>在一个季度内到期的应收账款贴现率</t>
  </si>
  <si>
    <t>购买价格(元)</t>
    <phoneticPr fontId="2" type="noConversion"/>
  </si>
  <si>
    <t>购买价格(元)</t>
  </si>
  <si>
    <t>二账期应收账款贴现率</t>
  </si>
  <si>
    <t>在二个季度内到期的应收账款贴现率</t>
  </si>
  <si>
    <t>租用价格(元/季度)</t>
  </si>
  <si>
    <t>三账期应收账款贴现率</t>
  </si>
  <si>
    <t>在三个季度内到期的应收账款贴现率</t>
  </si>
  <si>
    <t>折旧率</t>
  </si>
  <si>
    <t>四账期应收账款贴现率</t>
  </si>
  <si>
    <t>在四个季度内到期的应收账款贴现率</t>
  </si>
  <si>
    <t>公司产品上限</t>
  </si>
  <si>
    <t>8个</t>
  </si>
  <si>
    <t>每个公司最多能设计研发的产品类别数量</t>
  </si>
  <si>
    <t>生产线设置：</t>
    <phoneticPr fontId="2" type="noConversion"/>
  </si>
  <si>
    <t>厂房折旧率</t>
  </si>
  <si>
    <t>每季度按该折旧率对购买的厂房原值计提折旧</t>
  </si>
  <si>
    <t>柔性线</t>
  </si>
  <si>
    <t>自动线</t>
  </si>
  <si>
    <t>半自动线</t>
    <phoneticPr fontId="1" type="noConversion"/>
  </si>
  <si>
    <t>手工线</t>
    <phoneticPr fontId="1" type="noConversion"/>
  </si>
  <si>
    <t>设备折旧率</t>
  </si>
  <si>
    <t>每季度按该折旧率对购买的设备原值计提折旧</t>
  </si>
  <si>
    <t>购买价格</t>
  </si>
  <si>
    <t>未交付订单的罚金比率</t>
  </si>
  <si>
    <t>成品率</t>
  </si>
  <si>
    <t>产品设计费用</t>
  </si>
  <si>
    <t>产品设计修改的费用</t>
  </si>
  <si>
    <t>安装周期</t>
  </si>
  <si>
    <t>产品研发每期投入</t>
  </si>
  <si>
    <t>产品研发每期投入的资金</t>
  </si>
  <si>
    <t>单件加工费</t>
  </si>
  <si>
    <t>广告累计影响时间</t>
  </si>
  <si>
    <t>投入广告后能够对定单分配进行影响的时间</t>
  </si>
  <si>
    <t>维护费用</t>
  </si>
  <si>
    <t>紧急贷款扣分</t>
  </si>
  <si>
    <t>出现紧急贷款时。综合分值扣除分数/次</t>
  </si>
  <si>
    <t>升级周期</t>
  </si>
  <si>
    <t>每期广告最低投入</t>
  </si>
  <si>
    <t>每期广告最低投入，小于该数额将不允许投入。</t>
  </si>
  <si>
    <t>搬迁周期</t>
  </si>
  <si>
    <t>订单报价，最低价比例</t>
  </si>
  <si>
    <t>订单报价，最低价比例。最低价 = 上季度同一市场同一渠道同一消费群体所有报价产品平均数 * 该比例</t>
  </si>
  <si>
    <t>设备产能</t>
  </si>
  <si>
    <t>混合投料</t>
  </si>
  <si>
    <t>是</t>
  </si>
  <si>
    <t>否</t>
  </si>
  <si>
    <t>生产周期</t>
  </si>
  <si>
    <t>资质认证</t>
    <phoneticPr fontId="2" type="noConversion"/>
  </si>
  <si>
    <t>周期</t>
    <phoneticPr fontId="2" type="noConversion"/>
  </si>
  <si>
    <t>成本</t>
    <phoneticPr fontId="2" type="noConversion"/>
  </si>
  <si>
    <t>工人上限</t>
  </si>
  <si>
    <t>CCC认证</t>
    <phoneticPr fontId="2" type="noConversion"/>
  </si>
  <si>
    <t>升级费用</t>
  </si>
  <si>
    <t>SRC认证</t>
    <phoneticPr fontId="2" type="noConversion"/>
  </si>
  <si>
    <t>升级提升</t>
  </si>
  <si>
    <t>搬迁费用</t>
  </si>
  <si>
    <t>原料价格表</t>
  </si>
  <si>
    <t>1季度</t>
    <phoneticPr fontId="1" type="noConversion"/>
  </si>
  <si>
    <t>2季度</t>
    <phoneticPr fontId="1" type="noConversion"/>
  </si>
  <si>
    <t>3季度</t>
    <phoneticPr fontId="1" type="noConversion"/>
  </si>
  <si>
    <t>4季度</t>
  </si>
  <si>
    <t>到货周期</t>
    <phoneticPr fontId="1" type="noConversion"/>
  </si>
  <si>
    <t>付款周期</t>
    <phoneticPr fontId="1" type="noConversion"/>
  </si>
  <si>
    <t>研发系数</t>
    <phoneticPr fontId="1" type="noConversion"/>
  </si>
  <si>
    <t>紧急采购</t>
    <phoneticPr fontId="2" type="noConversion"/>
  </si>
  <si>
    <t>高亮LED</t>
  </si>
  <si>
    <t>原材料折扣：</t>
    <phoneticPr fontId="2" type="noConversion"/>
  </si>
  <si>
    <t>批量上限值</t>
    <phoneticPr fontId="1" type="noConversion"/>
  </si>
  <si>
    <t>TFT触摸屏</t>
  </si>
  <si>
    <t>OLED显示屏</t>
  </si>
  <si>
    <t>塑胶</t>
  </si>
  <si>
    <t>金属</t>
  </si>
  <si>
    <t>皮革</t>
  </si>
  <si>
    <t>7天以下</t>
  </si>
  <si>
    <t>15天</t>
  </si>
  <si>
    <t>30天</t>
  </si>
  <si>
    <t>30天以上</t>
  </si>
  <si>
    <t>有氧锻炼</t>
  </si>
  <si>
    <t>心率测试</t>
  </si>
  <si>
    <t>GPS定位</t>
  </si>
  <si>
    <t>支付功能</t>
  </si>
  <si>
    <t>塑胶</t>
    <phoneticPr fontId="3" type="noConversion"/>
  </si>
  <si>
    <t>金属</t>
    <phoneticPr fontId="3" type="noConversion"/>
  </si>
  <si>
    <t>订单违约金 = (该订单最高限价 * 未交付订单数量) * 该比例</t>
    <phoneticPr fontId="1" type="noConversion"/>
  </si>
  <si>
    <t>品种</t>
  </si>
  <si>
    <t>产品名称</t>
  </si>
  <si>
    <t>手工投产</t>
  </si>
  <si>
    <t>半自动投产</t>
    <phoneticPr fontId="3" type="noConversion"/>
  </si>
  <si>
    <t>自动投产</t>
    <phoneticPr fontId="3" type="noConversion"/>
  </si>
  <si>
    <t>柔性投产</t>
    <phoneticPr fontId="3" type="noConversion"/>
  </si>
  <si>
    <t>成品</t>
  </si>
  <si>
    <t>建议</t>
    <phoneticPr fontId="3" type="noConversion"/>
  </si>
  <si>
    <t>广告</t>
  </si>
  <si>
    <t>广告</t>
    <phoneticPr fontId="3" type="noConversion"/>
  </si>
  <si>
    <t>S</t>
  </si>
  <si>
    <t>S</t>
    <phoneticPr fontId="3" type="noConversion"/>
  </si>
  <si>
    <t>B</t>
    <phoneticPr fontId="3" type="noConversion"/>
  </si>
  <si>
    <t>Q</t>
    <phoneticPr fontId="3" type="noConversion"/>
  </si>
  <si>
    <t>顺序购买数量</t>
  </si>
  <si>
    <t>单价</t>
    <phoneticPr fontId="3" type="noConversion"/>
  </si>
  <si>
    <t>实际价格</t>
    <phoneticPr fontId="3" type="noConversion"/>
  </si>
  <si>
    <t xml:space="preserve"> 付款周期</t>
    <phoneticPr fontId="3" type="noConversion"/>
  </si>
  <si>
    <t>实际购买</t>
  </si>
  <si>
    <t>预购数量</t>
    <phoneticPr fontId="3" type="noConversion"/>
  </si>
  <si>
    <t>高亮LED屏幕</t>
  </si>
  <si>
    <t>TFT全彩触摸屏</t>
  </si>
  <si>
    <t>L</t>
    <phoneticPr fontId="1" type="noConversion"/>
  </si>
  <si>
    <t>消费群体</t>
    <phoneticPr fontId="3" type="noConversion"/>
  </si>
  <si>
    <t>华东需求量</t>
    <phoneticPr fontId="3" type="noConversion"/>
  </si>
  <si>
    <t>产品设计数量</t>
    <phoneticPr fontId="3" type="noConversion"/>
  </si>
  <si>
    <t>人均广告</t>
    <phoneticPr fontId="3" type="noConversion"/>
  </si>
  <si>
    <t>理论单量</t>
    <phoneticPr fontId="3" type="noConversion"/>
  </si>
  <si>
    <t>L</t>
    <phoneticPr fontId="3" type="noConversion"/>
  </si>
  <si>
    <t>不操作</t>
    <phoneticPr fontId="3" type="noConversion"/>
  </si>
  <si>
    <t>实际小组数量</t>
    <phoneticPr fontId="3" type="noConversion"/>
  </si>
  <si>
    <t>单量小组数</t>
    <phoneticPr fontId="3" type="noConversion"/>
  </si>
  <si>
    <t>材料费用</t>
    <phoneticPr fontId="4" type="noConversion"/>
  </si>
  <si>
    <t>第一季度广告分</t>
    <phoneticPr fontId="3" type="noConversion"/>
  </si>
  <si>
    <t>预测广告分</t>
    <phoneticPr fontId="3" type="noConversion"/>
  </si>
  <si>
    <t>现金流</t>
  </si>
  <si>
    <t>季度初现金</t>
  </si>
  <si>
    <t>厂房购买</t>
  </si>
  <si>
    <t>购买小厂房</t>
  </si>
  <si>
    <t>购买中厂房</t>
  </si>
  <si>
    <t>购买大厂房</t>
  </si>
  <si>
    <t>厂房租赁</t>
    <phoneticPr fontId="3" type="noConversion"/>
  </si>
  <si>
    <t>租用小厂房</t>
  </si>
  <si>
    <t>租用中厂房</t>
  </si>
  <si>
    <t>租用大厂房</t>
  </si>
  <si>
    <t>设备购买</t>
  </si>
  <si>
    <t>手工线</t>
  </si>
  <si>
    <t>半自动线</t>
  </si>
  <si>
    <t>全自动线</t>
  </si>
  <si>
    <t>柔性线</t>
    <phoneticPr fontId="3" type="noConversion"/>
  </si>
  <si>
    <t>设计数量</t>
  </si>
  <si>
    <t>研发数量</t>
  </si>
  <si>
    <t>市场开发</t>
  </si>
  <si>
    <t>华北</t>
    <phoneticPr fontId="3" type="noConversion"/>
  </si>
  <si>
    <t>华南</t>
    <phoneticPr fontId="3" type="noConversion"/>
  </si>
  <si>
    <t>华中</t>
    <phoneticPr fontId="3" type="noConversion"/>
  </si>
  <si>
    <t>西南</t>
    <phoneticPr fontId="3" type="noConversion"/>
  </si>
  <si>
    <t>东北</t>
    <phoneticPr fontId="3" type="noConversion"/>
  </si>
  <si>
    <t>西北</t>
    <phoneticPr fontId="3" type="noConversion"/>
  </si>
  <si>
    <t>工人招聘</t>
  </si>
  <si>
    <t>销售招聘</t>
  </si>
  <si>
    <t>广告投入</t>
  </si>
  <si>
    <t>原材料当季费用</t>
  </si>
  <si>
    <t>判断</t>
  </si>
  <si>
    <t>借款</t>
  </si>
  <si>
    <t>资质认证</t>
    <phoneticPr fontId="1" type="noConversion"/>
  </si>
  <si>
    <t>交单前的现金流</t>
    <phoneticPr fontId="3" type="noConversion"/>
  </si>
  <si>
    <t>交单后现金流</t>
    <phoneticPr fontId="3" type="noConversion"/>
  </si>
  <si>
    <t>一账期可贴现额</t>
    <phoneticPr fontId="3" type="noConversion"/>
  </si>
  <si>
    <t>二账期可贴现额</t>
    <phoneticPr fontId="3" type="noConversion"/>
  </si>
  <si>
    <t>第
一
季
度
末</t>
    <phoneticPr fontId="3" type="noConversion"/>
  </si>
  <si>
    <t>项目</t>
    <phoneticPr fontId="3" type="noConversion"/>
  </si>
  <si>
    <t>数量</t>
    <phoneticPr fontId="3" type="noConversion"/>
  </si>
  <si>
    <t>总费用</t>
    <phoneticPr fontId="3" type="noConversion"/>
  </si>
  <si>
    <t>制造费用</t>
    <phoneticPr fontId="3" type="noConversion"/>
  </si>
  <si>
    <t>生产加工费</t>
  </si>
  <si>
    <t>产房租金</t>
  </si>
  <si>
    <t>小厂房</t>
  </si>
  <si>
    <t>中厂房</t>
  </si>
  <si>
    <t>大厂房</t>
  </si>
  <si>
    <t>生产工人工资与五险</t>
    <phoneticPr fontId="3" type="noConversion"/>
  </si>
  <si>
    <t>维护费</t>
  </si>
  <si>
    <t>管理人员和五险</t>
    <phoneticPr fontId="3" type="noConversion"/>
  </si>
  <si>
    <t>基本行政管理费用</t>
    <phoneticPr fontId="3" type="noConversion"/>
  </si>
  <si>
    <t>生产工人</t>
    <phoneticPr fontId="3" type="noConversion"/>
  </si>
  <si>
    <t>销售人员</t>
    <phoneticPr fontId="3" type="noConversion"/>
  </si>
  <si>
    <t>生产设备出售</t>
    <phoneticPr fontId="3" type="noConversion"/>
  </si>
  <si>
    <t>厂房出售</t>
    <phoneticPr fontId="3" type="noConversion"/>
  </si>
  <si>
    <t>大厂房</t>
    <phoneticPr fontId="3" type="noConversion"/>
  </si>
  <si>
    <t>中厂房</t>
    <phoneticPr fontId="3" type="noConversion"/>
  </si>
  <si>
    <t>小厂房</t>
    <phoneticPr fontId="3" type="noConversion"/>
  </si>
  <si>
    <t>销售人员工资和五险</t>
    <phoneticPr fontId="3" type="noConversion"/>
  </si>
  <si>
    <t>订单违约金</t>
    <phoneticPr fontId="3" type="noConversion"/>
  </si>
  <si>
    <t>违约订单
最高限价</t>
    <phoneticPr fontId="3" type="noConversion"/>
  </si>
  <si>
    <t>一账期实际贴现</t>
    <phoneticPr fontId="3" type="noConversion"/>
  </si>
  <si>
    <t>二账期实际贴现</t>
    <phoneticPr fontId="3" type="noConversion"/>
  </si>
  <si>
    <t>判断</t>
    <phoneticPr fontId="3" type="noConversion"/>
  </si>
  <si>
    <t>第
二
季
度
初</t>
    <phoneticPr fontId="3" type="noConversion"/>
  </si>
  <si>
    <t>应收账款</t>
    <phoneticPr fontId="3" type="noConversion"/>
  </si>
  <si>
    <t>应付账款</t>
    <phoneticPr fontId="3" type="noConversion"/>
  </si>
  <si>
    <t>材料预购费用</t>
    <phoneticPr fontId="3" type="noConversion"/>
  </si>
  <si>
    <t>办公室租金</t>
    <phoneticPr fontId="3" type="noConversion"/>
  </si>
  <si>
    <t>增值税</t>
    <phoneticPr fontId="3" type="noConversion"/>
  </si>
  <si>
    <t>其他税收</t>
    <phoneticPr fontId="3" type="noConversion"/>
  </si>
  <si>
    <t>所得税</t>
    <phoneticPr fontId="3" type="noConversion"/>
  </si>
  <si>
    <t>柔性线</t>
    <phoneticPr fontId="1" type="noConversion"/>
  </si>
  <si>
    <t>自动线</t>
    <phoneticPr fontId="1" type="noConversion"/>
  </si>
  <si>
    <t>上季度库存</t>
    <phoneticPr fontId="1" type="noConversion"/>
  </si>
  <si>
    <t>华北需求量</t>
    <phoneticPr fontId="3" type="noConversion"/>
  </si>
  <si>
    <t>华南需求量</t>
    <phoneticPr fontId="3" type="noConversion"/>
  </si>
  <si>
    <t>累计广告</t>
    <phoneticPr fontId="3" type="noConversion"/>
  </si>
  <si>
    <t>理论需求量</t>
    <phoneticPr fontId="3" type="noConversion"/>
  </si>
  <si>
    <t>累计</t>
    <phoneticPr fontId="3" type="noConversion"/>
  </si>
  <si>
    <t>销售分</t>
  </si>
  <si>
    <t>华东</t>
  </si>
  <si>
    <t>华北</t>
  </si>
  <si>
    <t>华南</t>
  </si>
  <si>
    <t>人数：</t>
  </si>
  <si>
    <t>功能分</t>
  </si>
  <si>
    <t>价格分</t>
  </si>
  <si>
    <t>口碑分</t>
  </si>
  <si>
    <t>广告分</t>
  </si>
  <si>
    <t>人数</t>
  </si>
  <si>
    <t>商务</t>
  </si>
  <si>
    <t>研发</t>
  </si>
  <si>
    <t>第一季度总设计-小组数量</t>
    <phoneticPr fontId="3" type="noConversion"/>
  </si>
  <si>
    <t>不研发</t>
  </si>
  <si>
    <t>一般等于小组数量</t>
  </si>
  <si>
    <t>白领</t>
    <phoneticPr fontId="3" type="noConversion"/>
  </si>
  <si>
    <t>第一季度总设计-第一季度卖产品种类</t>
  </si>
  <si>
    <t>数0研发</t>
  </si>
  <si>
    <t>青年</t>
  </si>
  <si>
    <t>一般等于小组
数量</t>
    <phoneticPr fontId="3" type="noConversion"/>
  </si>
  <si>
    <t>数三青</t>
  </si>
  <si>
    <t>老年</t>
  </si>
  <si>
    <t>正常</t>
  </si>
  <si>
    <t>数三老</t>
  </si>
  <si>
    <t>借款</t>
    <phoneticPr fontId="3" type="noConversion"/>
  </si>
  <si>
    <t>资质认证</t>
    <phoneticPr fontId="3" type="noConversion"/>
  </si>
  <si>
    <t>预购实际价格</t>
    <phoneticPr fontId="3" type="noConversion"/>
  </si>
  <si>
    <t>季度初库存数量</t>
    <phoneticPr fontId="3" type="noConversion"/>
  </si>
  <si>
    <t>第二季度广告分</t>
    <phoneticPr fontId="3" type="noConversion"/>
  </si>
  <si>
    <t>上限设置</t>
    <phoneticPr fontId="3" type="noConversion"/>
  </si>
  <si>
    <t>修正</t>
    <phoneticPr fontId="1" type="noConversion"/>
  </si>
  <si>
    <t>预购实际价格</t>
  </si>
  <si>
    <t>华中需求量</t>
    <phoneticPr fontId="3" type="noConversion"/>
  </si>
  <si>
    <t>西南需求量</t>
    <phoneticPr fontId="3" type="noConversion"/>
  </si>
  <si>
    <t>理
论
单
量</t>
    <phoneticPr fontId="3" type="noConversion"/>
  </si>
  <si>
    <t>被删/不玩</t>
    <phoneticPr fontId="3" type="noConversion"/>
  </si>
  <si>
    <t>口碑变化</t>
    <phoneticPr fontId="3" type="noConversion"/>
  </si>
  <si>
    <t>广告分</t>
    <phoneticPr fontId="3" type="noConversion"/>
  </si>
  <si>
    <t>广告分剔除</t>
    <phoneticPr fontId="3" type="noConversion"/>
  </si>
  <si>
    <t>新加广告分</t>
    <phoneticPr fontId="3" type="noConversion"/>
  </si>
  <si>
    <t>最终分</t>
    <phoneticPr fontId="3" type="noConversion"/>
  </si>
  <si>
    <t>第三季度广告分</t>
    <phoneticPr fontId="3" type="noConversion"/>
  </si>
  <si>
    <t>贴现</t>
    <phoneticPr fontId="3" type="noConversion"/>
  </si>
  <si>
    <t>东北需求量</t>
    <phoneticPr fontId="3" type="noConversion"/>
  </si>
  <si>
    <t>西北需求量</t>
    <phoneticPr fontId="3" type="noConversion"/>
  </si>
  <si>
    <t>东北西北</t>
    <phoneticPr fontId="3" type="noConversion"/>
  </si>
  <si>
    <t>口碑分</t>
    <phoneticPr fontId="3" type="noConversion"/>
  </si>
  <si>
    <t>正常分</t>
    <phoneticPr fontId="3" type="noConversion"/>
  </si>
  <si>
    <t>未开资质</t>
    <phoneticPr fontId="3" type="noConversion"/>
  </si>
  <si>
    <t>华东华北分</t>
    <phoneticPr fontId="3" type="noConversion"/>
  </si>
  <si>
    <t>未开市场</t>
    <phoneticPr fontId="3" type="noConversion"/>
  </si>
  <si>
    <t>人数</t>
    <phoneticPr fontId="3" type="noConversion"/>
  </si>
  <si>
    <t>产品名称</t>
    <phoneticPr fontId="3" type="noConversion"/>
  </si>
  <si>
    <t>华东</t>
    <phoneticPr fontId="3" type="noConversion"/>
  </si>
  <si>
    <t>与已有产品之间的差额</t>
    <phoneticPr fontId="3" type="noConversion"/>
  </si>
  <si>
    <t>差额</t>
    <phoneticPr fontId="3" type="noConversion"/>
  </si>
  <si>
    <t>第
二
季
度
末</t>
    <phoneticPr fontId="3" type="noConversion"/>
  </si>
  <si>
    <t>第
三
季
度
初</t>
    <phoneticPr fontId="3" type="noConversion"/>
  </si>
  <si>
    <t>第
三
季
度
末</t>
    <phoneticPr fontId="3" type="noConversion"/>
  </si>
  <si>
    <t>第
四
季
度
初</t>
    <phoneticPr fontId="3" type="noConversion"/>
  </si>
  <si>
    <t>第
四
季
度
末</t>
    <phoneticPr fontId="3" type="noConversion"/>
  </si>
  <si>
    <t>第
五
季
度
初</t>
    <phoneticPr fontId="3" type="noConversion"/>
  </si>
  <si>
    <t>理论单量</t>
    <phoneticPr fontId="1" type="noConversion"/>
  </si>
  <si>
    <t>贴先后金额</t>
    <phoneticPr fontId="1" type="noConversion"/>
  </si>
  <si>
    <t>老年</t>
    <phoneticPr fontId="1" type="noConversion"/>
  </si>
  <si>
    <t>青年</t>
    <phoneticPr fontId="1" type="noConversion"/>
  </si>
  <si>
    <t>白领</t>
    <phoneticPr fontId="1" type="noConversion"/>
  </si>
  <si>
    <t>商务</t>
    <phoneticPr fontId="1" type="noConversion"/>
  </si>
  <si>
    <t>25组</t>
  </si>
  <si>
    <t>24组</t>
  </si>
  <si>
    <t>23组</t>
  </si>
  <si>
    <t>22组</t>
  </si>
  <si>
    <t>21组</t>
  </si>
  <si>
    <t>20组</t>
  </si>
  <si>
    <t>19组</t>
  </si>
  <si>
    <t>18组</t>
  </si>
  <si>
    <t>17组</t>
  </si>
  <si>
    <t>16组</t>
  </si>
  <si>
    <t>15组</t>
  </si>
  <si>
    <t>14组</t>
  </si>
  <si>
    <t>13组</t>
  </si>
  <si>
    <t>12组</t>
  </si>
  <si>
    <t>11组</t>
  </si>
  <si>
    <t>10组</t>
  </si>
  <si>
    <t>9组</t>
  </si>
  <si>
    <t>8组</t>
  </si>
  <si>
    <t>7组</t>
  </si>
  <si>
    <t>6组</t>
  </si>
  <si>
    <t>5组</t>
  </si>
  <si>
    <t>4组</t>
  </si>
  <si>
    <t>3组</t>
  </si>
  <si>
    <t>2组</t>
  </si>
  <si>
    <t>1组</t>
    <phoneticPr fontId="1" type="noConversion"/>
  </si>
  <si>
    <t>未开市场</t>
    <phoneticPr fontId="1" type="noConversion"/>
  </si>
  <si>
    <t>2组</t>
    <phoneticPr fontId="1" type="noConversion"/>
  </si>
  <si>
    <t>未开资质</t>
    <phoneticPr fontId="1" type="noConversion"/>
  </si>
  <si>
    <t>支付功能</t>
    <phoneticPr fontId="1" type="noConversion"/>
  </si>
  <si>
    <t>GPS定位</t>
    <phoneticPr fontId="1" type="noConversion"/>
  </si>
  <si>
    <t>心率测试</t>
    <phoneticPr fontId="1" type="noConversion"/>
  </si>
  <si>
    <t>有氧锻炼</t>
    <phoneticPr fontId="1" type="noConversion"/>
  </si>
  <si>
    <t>OLED显示屏</t>
    <phoneticPr fontId="1" type="noConversion"/>
  </si>
  <si>
    <t>第三季度</t>
    <phoneticPr fontId="1" type="noConversion"/>
  </si>
  <si>
    <t>第二季度</t>
    <phoneticPr fontId="1" type="noConversion"/>
  </si>
  <si>
    <t>201（195）</t>
    <phoneticPr fontId="1" type="noConversion"/>
  </si>
  <si>
    <t>201（198）</t>
    <phoneticPr fontId="1" type="noConversion"/>
  </si>
  <si>
    <t>第一季度</t>
    <phoneticPr fontId="1" type="noConversion"/>
  </si>
  <si>
    <t>预购经验值</t>
    <phoneticPr fontId="1" type="noConversion"/>
  </si>
  <si>
    <t>第四季度</t>
    <phoneticPr fontId="1" type="noConversion"/>
  </si>
  <si>
    <t>广告投放经验值</t>
    <phoneticPr fontId="1" type="noConversion"/>
  </si>
  <si>
    <t>32组单量
第一季度1组弃
第三季度2组弃</t>
    <phoneticPr fontId="1" type="noConversion"/>
  </si>
  <si>
    <t>43组单量
第二季度2组弃
第三季度2组弃
第四季度1组弃</t>
    <phoneticPr fontId="1" type="noConversion"/>
  </si>
  <si>
    <t>37组单量
第三季度1组弃
第四季度1组弃</t>
    <phoneticPr fontId="1" type="noConversion"/>
  </si>
  <si>
    <t>34组单量
第二季度1组弃
第三季度1组弃
第四季度3组弃</t>
    <phoneticPr fontId="1" type="noConversion"/>
  </si>
  <si>
    <t>32组单量
第二季度1组弃
第三季度1组弃
第四季度1组弃</t>
    <phoneticPr fontId="1" type="noConversion"/>
  </si>
  <si>
    <t>35组单量
第一季度3组弃
第二季度3组弃
第三季度3组弃</t>
    <phoneticPr fontId="1" type="noConversion"/>
  </si>
  <si>
    <t>45组单量
第二季度1组弃
第三季度2组弃</t>
    <phoneticPr fontId="1" type="noConversion"/>
  </si>
  <si>
    <t>42组单量
第二季度1组弃</t>
    <phoneticPr fontId="1" type="noConversion"/>
  </si>
  <si>
    <t>48组单量</t>
    <phoneticPr fontId="1" type="noConversion"/>
  </si>
  <si>
    <t>备注</t>
    <phoneticPr fontId="1" type="noConversion"/>
  </si>
  <si>
    <t>打法</t>
    <phoneticPr fontId="1" type="noConversion"/>
  </si>
  <si>
    <t>9.12晚场</t>
    <phoneticPr fontId="1" type="noConversion"/>
  </si>
  <si>
    <t>9.11晚场</t>
    <phoneticPr fontId="1" type="noConversion"/>
  </si>
  <si>
    <t>9.11午场</t>
    <phoneticPr fontId="1" type="noConversion"/>
  </si>
  <si>
    <t>9.10晚场</t>
    <phoneticPr fontId="1" type="noConversion"/>
  </si>
  <si>
    <t>9.9午场</t>
    <phoneticPr fontId="1" type="noConversion"/>
  </si>
  <si>
    <t>9.7晚场</t>
    <phoneticPr fontId="1" type="noConversion"/>
  </si>
  <si>
    <t>9.6晚场</t>
    <phoneticPr fontId="1" type="noConversion"/>
  </si>
  <si>
    <t>9.3晚场</t>
    <phoneticPr fontId="1" type="noConversion"/>
  </si>
  <si>
    <t>9.2午场</t>
    <phoneticPr fontId="1" type="noConversion"/>
  </si>
  <si>
    <t>9.1午场</t>
    <phoneticPr fontId="1" type="noConversion"/>
  </si>
  <si>
    <t>8.31午场</t>
    <phoneticPr fontId="1" type="noConversion"/>
  </si>
  <si>
    <t>8.30午场</t>
    <phoneticPr fontId="1" type="noConversion"/>
  </si>
  <si>
    <t>8.30晚场</t>
    <phoneticPr fontId="1" type="noConversion"/>
  </si>
  <si>
    <t>8.28午场</t>
    <phoneticPr fontId="1" type="noConversion"/>
  </si>
  <si>
    <t>8.27午场</t>
    <phoneticPr fontId="1" type="noConversion"/>
  </si>
  <si>
    <t>8.26午场</t>
    <phoneticPr fontId="1" type="noConversion"/>
  </si>
  <si>
    <t>8.25午场</t>
    <phoneticPr fontId="1" type="noConversion"/>
  </si>
  <si>
    <t>8.24晚场</t>
    <phoneticPr fontId="1" type="noConversion"/>
  </si>
  <si>
    <t>8.21午场</t>
    <phoneticPr fontId="1" type="noConversion"/>
  </si>
  <si>
    <t>8.17午场</t>
    <phoneticPr fontId="1" type="noConversion"/>
  </si>
  <si>
    <t>8.14晚场</t>
    <phoneticPr fontId="1" type="noConversion"/>
  </si>
  <si>
    <t>8.12晚场</t>
    <phoneticPr fontId="1" type="noConversion"/>
  </si>
  <si>
    <t>8.12午场</t>
    <phoneticPr fontId="1" type="noConversion"/>
  </si>
  <si>
    <t>8.10午场</t>
    <phoneticPr fontId="1" type="noConversion"/>
  </si>
  <si>
    <t>8.9午场</t>
    <phoneticPr fontId="1" type="noConversion"/>
  </si>
  <si>
    <t>8.5晚场</t>
    <phoneticPr fontId="1" type="noConversion"/>
  </si>
  <si>
    <t>8.5午场</t>
    <phoneticPr fontId="1" type="noConversion"/>
  </si>
  <si>
    <t>8.4晚场</t>
    <phoneticPr fontId="1" type="noConversion"/>
  </si>
  <si>
    <t>8.3晚场</t>
    <phoneticPr fontId="1" type="noConversion"/>
  </si>
  <si>
    <t>8.3午场</t>
    <phoneticPr fontId="1" type="noConversion"/>
  </si>
  <si>
    <t>8.2晚场</t>
    <phoneticPr fontId="1" type="noConversion"/>
  </si>
  <si>
    <t>8.2午场</t>
    <phoneticPr fontId="1" type="noConversion"/>
  </si>
  <si>
    <t>7.31午场</t>
    <phoneticPr fontId="1" type="noConversion"/>
  </si>
  <si>
    <t>7.30晚场</t>
    <phoneticPr fontId="1" type="noConversion"/>
  </si>
  <si>
    <t>时间</t>
    <phoneticPr fontId="1" type="noConversion"/>
  </si>
  <si>
    <t>经验总结</t>
    <phoneticPr fontId="1" type="noConversion"/>
  </si>
  <si>
    <t>第五季度判断初现金</t>
    <phoneticPr fontId="1" type="noConversion"/>
  </si>
  <si>
    <t>金额</t>
    <phoneticPr fontId="1" type="noConversion"/>
  </si>
  <si>
    <t>二账期贴现</t>
    <phoneticPr fontId="1" type="noConversion"/>
  </si>
  <si>
    <t>所得税</t>
  </si>
  <si>
    <t>数量</t>
    <phoneticPr fontId="1" type="noConversion"/>
  </si>
  <si>
    <t>其他税收</t>
  </si>
  <si>
    <t>GPS</t>
    <phoneticPr fontId="1" type="noConversion"/>
  </si>
  <si>
    <t>OLED</t>
    <phoneticPr fontId="1" type="noConversion"/>
  </si>
  <si>
    <t>预购
（第四季度）</t>
    <phoneticPr fontId="1" type="noConversion"/>
  </si>
  <si>
    <t>一账期贴现</t>
    <phoneticPr fontId="1" type="noConversion"/>
  </si>
  <si>
    <t>增值税</t>
  </si>
  <si>
    <t>第四季度末现金判断</t>
    <phoneticPr fontId="1" type="noConversion"/>
  </si>
  <si>
    <t>贴现</t>
    <phoneticPr fontId="1" type="noConversion"/>
  </si>
  <si>
    <t>商梅1  (25(25))</t>
  </si>
  <si>
    <t>S</t>
    <phoneticPr fontId="1" type="noConversion"/>
  </si>
  <si>
    <t>商梅2  (25(25))</t>
  </si>
  <si>
    <t>白兰3  (25(25))</t>
  </si>
  <si>
    <t>B</t>
    <phoneticPr fontId="1" type="noConversion"/>
  </si>
  <si>
    <t>白兰1  (25(25))</t>
  </si>
  <si>
    <t>白兰2  (25(25))</t>
  </si>
  <si>
    <t>青竹2  (25(25))</t>
  </si>
  <si>
    <t>Q</t>
    <phoneticPr fontId="1" type="noConversion"/>
  </si>
  <si>
    <t>青竹1  (25(25))</t>
  </si>
  <si>
    <t>白领</t>
  </si>
  <si>
    <t>老松1  (25(25))</t>
  </si>
  <si>
    <t>西南</t>
    <phoneticPr fontId="1" type="noConversion"/>
  </si>
  <si>
    <t>华中</t>
    <phoneticPr fontId="1" type="noConversion"/>
  </si>
  <si>
    <t>华南</t>
    <phoneticPr fontId="1" type="noConversion"/>
  </si>
  <si>
    <t>华北</t>
    <phoneticPr fontId="1" type="noConversion"/>
  </si>
  <si>
    <t>应获单量</t>
    <phoneticPr fontId="1" type="noConversion"/>
  </si>
  <si>
    <t>应售产品总量</t>
    <phoneticPr fontId="1" type="noConversion"/>
  </si>
  <si>
    <t>广告分</t>
    <phoneticPr fontId="1" type="noConversion"/>
  </si>
  <si>
    <t>产品评价总分</t>
    <phoneticPr fontId="1" type="noConversion"/>
  </si>
  <si>
    <t>产品</t>
  </si>
  <si>
    <t>市场单量</t>
    <phoneticPr fontId="1" type="noConversion"/>
  </si>
  <si>
    <t>群体</t>
  </si>
  <si>
    <t>第四季度判断初现金</t>
    <phoneticPr fontId="1" type="noConversion"/>
  </si>
  <si>
    <t>预购
(第三季度)</t>
    <phoneticPr fontId="1" type="noConversion"/>
  </si>
  <si>
    <t>第三季度末现金判断</t>
    <phoneticPr fontId="1" type="noConversion"/>
  </si>
  <si>
    <t>第三季度判断初现金</t>
    <phoneticPr fontId="1" type="noConversion"/>
  </si>
  <si>
    <t>预购
（第二季度）</t>
    <phoneticPr fontId="1" type="noConversion"/>
  </si>
  <si>
    <t>第二季度末现金判断</t>
    <phoneticPr fontId="1" type="noConversion"/>
  </si>
  <si>
    <t>产品</t>
    <phoneticPr fontId="1" type="noConversion"/>
  </si>
  <si>
    <t>第二季度判断初现金</t>
    <phoneticPr fontId="1" type="noConversion"/>
  </si>
  <si>
    <t>预购
（第一季度）</t>
    <phoneticPr fontId="1" type="noConversion"/>
  </si>
  <si>
    <t>第一季度末现金判断</t>
    <phoneticPr fontId="1" type="noConversion"/>
  </si>
  <si>
    <t>青竹1</t>
    <phoneticPr fontId="1" type="noConversion"/>
  </si>
  <si>
    <t>白兰1</t>
    <phoneticPr fontId="1" type="noConversion"/>
  </si>
  <si>
    <t>商梅1</t>
    <phoneticPr fontId="1" type="noConversion"/>
  </si>
  <si>
    <t>群体</t>
    <phoneticPr fontId="1" type="noConversion"/>
  </si>
  <si>
    <t>2123（一研）</t>
    <phoneticPr fontId="1" type="noConversion"/>
  </si>
  <si>
    <t>打法：</t>
    <phoneticPr fontId="1" type="noConversion"/>
  </si>
  <si>
    <t>排名：</t>
    <phoneticPr fontId="1" type="noConversion"/>
  </si>
  <si>
    <t>产
品
数
量</t>
    <phoneticPr fontId="1" type="noConversion"/>
  </si>
  <si>
    <t>单量：</t>
    <phoneticPr fontId="1" type="noConversion"/>
  </si>
  <si>
    <t>组号</t>
    <phoneticPr fontId="1" type="noConversion"/>
  </si>
  <si>
    <t>未开市场
组</t>
    <phoneticPr fontId="1" type="noConversion"/>
  </si>
  <si>
    <t>弃
坑
组</t>
    <phoneticPr fontId="1" type="noConversion"/>
  </si>
  <si>
    <t>日期：</t>
    <phoneticPr fontId="1" type="noConversion"/>
  </si>
  <si>
    <t>老松2</t>
    <phoneticPr fontId="1" type="noConversion"/>
  </si>
  <si>
    <t>老年1</t>
    <phoneticPr fontId="1" type="noConversion"/>
  </si>
  <si>
    <t>q1</t>
    <phoneticPr fontId="1" type="noConversion"/>
  </si>
  <si>
    <t>B1</t>
    <phoneticPr fontId="1" type="noConversion"/>
  </si>
  <si>
    <t>B2</t>
    <phoneticPr fontId="1" type="noConversion"/>
  </si>
  <si>
    <t>S3</t>
    <phoneticPr fontId="1" type="noConversion"/>
  </si>
  <si>
    <t>L</t>
    <phoneticPr fontId="1" type="noConversion"/>
  </si>
  <si>
    <t>注册费用</t>
    <phoneticPr fontId="1" type="noConversion"/>
  </si>
  <si>
    <t>办公室租金</t>
    <phoneticPr fontId="1" type="noConversion"/>
  </si>
  <si>
    <t>季度初</t>
    <phoneticPr fontId="1" type="noConversion"/>
  </si>
  <si>
    <t>开发市场：华北，华南，华中，西南，+xx</t>
    <phoneticPr fontId="1" type="noConversion"/>
  </si>
  <si>
    <t>20000/个</t>
    <phoneticPr fontId="1" type="noConversion"/>
  </si>
  <si>
    <t>设计产品</t>
    <phoneticPr fontId="1" type="noConversion"/>
  </si>
  <si>
    <t>研发投入</t>
    <phoneticPr fontId="1" type="noConversion"/>
  </si>
  <si>
    <t>租用小厂房</t>
    <phoneticPr fontId="1" type="noConversion"/>
  </si>
  <si>
    <t>购买柔韧线2</t>
    <phoneticPr fontId="1" type="noConversion"/>
  </si>
  <si>
    <t>租用中厂房</t>
    <phoneticPr fontId="1" type="noConversion"/>
  </si>
  <si>
    <t>购买手工线1</t>
    <phoneticPr fontId="1" type="noConversion"/>
  </si>
  <si>
    <t>申请短息借款200000</t>
    <phoneticPr fontId="1" type="noConversion"/>
  </si>
  <si>
    <t>购买手工线2</t>
    <phoneticPr fontId="1" type="noConversion"/>
  </si>
  <si>
    <t>招聘生产工人3</t>
    <phoneticPr fontId="1" type="noConversion"/>
  </si>
  <si>
    <t>招聘业务员1</t>
    <phoneticPr fontId="1" type="noConversion"/>
  </si>
  <si>
    <t>签订合同</t>
    <phoneticPr fontId="1" type="noConversion"/>
  </si>
  <si>
    <t>签订劳动合同</t>
    <phoneticPr fontId="1" type="noConversion"/>
  </si>
  <si>
    <t>购买原料</t>
    <phoneticPr fontId="1" type="noConversion"/>
  </si>
  <si>
    <t>订单报价</t>
    <phoneticPr fontId="1" type="noConversion"/>
  </si>
  <si>
    <t>广告投入：对3个产品分别投入2000左右</t>
    <phoneticPr fontId="1" type="noConversion"/>
  </si>
  <si>
    <t>原料采购</t>
    <phoneticPr fontId="1" type="noConversion"/>
  </si>
  <si>
    <t>订单交付</t>
    <phoneticPr fontId="1" type="noConversion"/>
  </si>
  <si>
    <t>短期借款85000左右</t>
    <phoneticPr fontId="1" type="noConversion"/>
  </si>
  <si>
    <t>开发市场：华中，西南，西北</t>
    <phoneticPr fontId="1" type="noConversion"/>
  </si>
  <si>
    <t>CCC认证</t>
    <phoneticPr fontId="1" type="noConversion"/>
  </si>
  <si>
    <t>招聘业务员2</t>
    <phoneticPr fontId="1" type="noConversion"/>
  </si>
  <si>
    <t>设计产品3</t>
    <phoneticPr fontId="1" type="noConversion"/>
  </si>
  <si>
    <t>招聘生产工人2</t>
    <phoneticPr fontId="1" type="noConversion"/>
  </si>
  <si>
    <t>生产制造40</t>
    <phoneticPr fontId="1" type="noConversion"/>
  </si>
  <si>
    <t>生产制造120-250</t>
    <phoneticPr fontId="1" type="noConversion"/>
  </si>
  <si>
    <t>广告费用投入 一期产品多投 50000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</si>
</sst>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10"/>
      <name val="等线"/>
      <family val="3"/>
      <charset val="134"/>
      <scheme val="minor"/>
    </font>
    <font>
      <b/>
      <sz val="11"/>
      <color indexed="63"/>
      <name val="等线"/>
      <family val="3"/>
      <charset val="134"/>
      <scheme val="minor"/>
    </font>
    <font>
      <b/>
      <sz val="11"/>
      <color rgb="FF333333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sz val="12"/>
      <color indexed="10"/>
      <name val="等线"/>
      <family val="3"/>
      <charset val="134"/>
      <scheme val="minor"/>
    </font>
    <font>
      <sz val="11"/>
      <color theme="1"/>
      <name val="FangSong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0"/>
      <color rgb="FF000000"/>
      <name val="Arial"/>
      <family val="2"/>
    </font>
    <font>
      <b/>
      <sz val="36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F0F8FF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5B73A9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9B3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4" fontId="6" fillId="3" borderId="1" xfId="1" applyNumberFormat="1" applyFont="1" applyFill="1" applyBorder="1" applyAlignment="1">
      <alignment horizontal="center" vertical="center" wrapText="1"/>
    </xf>
    <xf numFmtId="10" fontId="6" fillId="3" borderId="1" xfId="1" applyNumberFormat="1" applyFont="1" applyFill="1" applyBorder="1" applyAlignment="1">
      <alignment horizontal="center" vertical="center" wrapText="1"/>
    </xf>
    <xf numFmtId="3" fontId="6" fillId="3" borderId="1" xfId="1" applyNumberFormat="1" applyFont="1" applyFill="1" applyBorder="1" applyAlignment="1">
      <alignment horizontal="center" vertical="center"/>
    </xf>
    <xf numFmtId="0" fontId="8" fillId="0" borderId="3" xfId="1" applyFont="1" applyBorder="1" applyAlignment="1" applyProtection="1">
      <alignment horizontal="center" shrinkToFit="1"/>
      <protection hidden="1"/>
    </xf>
    <xf numFmtId="0" fontId="9" fillId="0" borderId="4" xfId="1" applyFont="1" applyBorder="1" applyAlignment="1" applyProtection="1">
      <alignment horizontal="center" shrinkToFit="1"/>
      <protection hidden="1"/>
    </xf>
    <xf numFmtId="0" fontId="9" fillId="0" borderId="5" xfId="1" applyFont="1" applyBorder="1" applyAlignment="1" applyProtection="1">
      <alignment horizontal="center" shrinkToFit="1"/>
      <protection hidden="1"/>
    </xf>
    <xf numFmtId="0" fontId="10" fillId="0" borderId="5" xfId="1" applyFont="1" applyBorder="1" applyAlignment="1" applyProtection="1">
      <alignment horizontal="center" shrinkToFit="1"/>
      <protection hidden="1"/>
    </xf>
    <xf numFmtId="0" fontId="9" fillId="0" borderId="3" xfId="1" applyFont="1" applyBorder="1" applyAlignment="1" applyProtection="1">
      <alignment horizontal="center" shrinkToFit="1"/>
      <protection hidden="1"/>
    </xf>
    <xf numFmtId="0" fontId="11" fillId="4" borderId="6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shrinkToFit="1"/>
      <protection hidden="1"/>
    </xf>
    <xf numFmtId="0" fontId="11" fillId="3" borderId="1" xfId="1" applyFont="1" applyFill="1" applyBorder="1" applyAlignment="1" applyProtection="1">
      <alignment horizontal="center" vertical="center" shrinkToFit="1"/>
      <protection hidden="1"/>
    </xf>
    <xf numFmtId="0" fontId="7" fillId="4" borderId="2" xfId="1" applyFont="1" applyFill="1" applyBorder="1" applyAlignment="1">
      <alignment horizontal="center" vertical="center"/>
    </xf>
    <xf numFmtId="0" fontId="11" fillId="5" borderId="6" xfId="1" applyFont="1" applyFill="1" applyBorder="1" applyAlignment="1" applyProtection="1">
      <alignment horizontal="center" shrinkToFit="1"/>
      <protection hidden="1"/>
    </xf>
    <xf numFmtId="0" fontId="7" fillId="5" borderId="2" xfId="1" applyFont="1" applyFill="1" applyBorder="1" applyAlignment="1">
      <alignment horizontal="center" vertical="center"/>
    </xf>
    <xf numFmtId="0" fontId="11" fillId="6" borderId="6" xfId="1" applyFont="1" applyFill="1" applyBorder="1" applyAlignment="1" applyProtection="1">
      <alignment horizontal="center" shrinkToFit="1"/>
      <protection hidden="1"/>
    </xf>
    <xf numFmtId="0" fontId="7" fillId="6" borderId="2" xfId="1" applyFont="1" applyFill="1" applyBorder="1" applyAlignment="1">
      <alignment horizontal="center" vertical="center"/>
    </xf>
    <xf numFmtId="0" fontId="11" fillId="0" borderId="7" xfId="1" applyFont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shrinkToFit="1"/>
      <protection hidden="1"/>
    </xf>
    <xf numFmtId="0" fontId="11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9" xfId="1" applyFont="1" applyBorder="1" applyAlignment="1">
      <alignment horizontal="center" vertical="center"/>
    </xf>
    <xf numFmtId="0" fontId="7" fillId="0" borderId="4" xfId="1" applyFont="1" applyBorder="1" applyAlignment="1" applyProtection="1">
      <alignment horizontal="center" vertical="center" shrinkToFit="1"/>
      <protection hidden="1"/>
    </xf>
    <xf numFmtId="0" fontId="7" fillId="0" borderId="5" xfId="1" applyFont="1" applyBorder="1" applyAlignment="1" applyProtection="1">
      <alignment horizontal="center" vertical="center" shrinkToFit="1"/>
      <protection hidden="1"/>
    </xf>
    <xf numFmtId="0" fontId="7" fillId="0" borderId="10" xfId="1" applyFont="1" applyBorder="1" applyAlignment="1" applyProtection="1">
      <alignment horizontal="center" vertical="center" shrinkToFit="1"/>
      <protection hidden="1"/>
    </xf>
    <xf numFmtId="0" fontId="7" fillId="0" borderId="6" xfId="1" applyFont="1" applyBorder="1" applyAlignment="1" applyProtection="1">
      <alignment horizontal="center" vertical="center" shrinkToFit="1"/>
      <protection hidden="1"/>
    </xf>
    <xf numFmtId="0" fontId="7" fillId="3" borderId="1" xfId="1" applyFont="1" applyFill="1" applyBorder="1" applyAlignment="1" applyProtection="1">
      <alignment horizontal="center" vertical="center" shrinkToFit="1"/>
      <protection hidden="1"/>
    </xf>
    <xf numFmtId="0" fontId="7" fillId="0" borderId="1" xfId="1" applyFont="1" applyBorder="1" applyAlignment="1" applyProtection="1">
      <alignment horizontal="center" vertical="center" shrinkToFit="1"/>
      <protection hidden="1"/>
    </xf>
    <xf numFmtId="0" fontId="7" fillId="3" borderId="11" xfId="1" applyFont="1" applyFill="1" applyBorder="1" applyAlignment="1" applyProtection="1">
      <alignment horizontal="center" vertical="center" shrinkToFit="1"/>
      <protection hidden="1"/>
    </xf>
    <xf numFmtId="0" fontId="7" fillId="0" borderId="12" xfId="1" applyFont="1" applyBorder="1" applyAlignment="1" applyProtection="1">
      <alignment horizontal="center" vertical="center" shrinkToFit="1"/>
      <protection hidden="1"/>
    </xf>
    <xf numFmtId="0" fontId="7" fillId="0" borderId="13" xfId="1" applyFont="1" applyBorder="1" applyAlignment="1" applyProtection="1">
      <alignment horizontal="center" vertical="center" shrinkToFit="1"/>
      <protection hidden="1"/>
    </xf>
    <xf numFmtId="0" fontId="7" fillId="3" borderId="8" xfId="1" applyFont="1" applyFill="1" applyBorder="1" applyAlignment="1" applyProtection="1">
      <alignment horizontal="center" vertical="center" shrinkToFit="1"/>
      <protection hidden="1"/>
    </xf>
    <xf numFmtId="0" fontId="7" fillId="0" borderId="8" xfId="1" applyFont="1" applyBorder="1" applyAlignment="1" applyProtection="1">
      <alignment horizontal="center" vertical="center" shrinkToFit="1"/>
      <protection hidden="1"/>
    </xf>
    <xf numFmtId="0" fontId="7" fillId="3" borderId="14" xfId="1" applyFont="1" applyFill="1" applyBorder="1" applyAlignment="1" applyProtection="1">
      <alignment horizontal="center" vertical="center" shrinkToFit="1"/>
      <protection hidden="1"/>
    </xf>
    <xf numFmtId="0" fontId="6" fillId="3" borderId="1" xfId="1" applyFont="1" applyFill="1" applyBorder="1" applyAlignment="1">
      <alignment horizontal="center" vertical="center" wrapText="1"/>
    </xf>
    <xf numFmtId="0" fontId="8" fillId="0" borderId="0" xfId="1" applyFont="1" applyAlignment="1" applyProtection="1">
      <alignment horizontal="center" vertical="center" shrinkToFit="1"/>
      <protection hidden="1"/>
    </xf>
    <xf numFmtId="4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12" fillId="0" borderId="6" xfId="1" applyFont="1" applyBorder="1" applyAlignment="1" applyProtection="1">
      <alignment horizontal="center" vertical="center" shrinkToFit="1"/>
      <protection hidden="1"/>
    </xf>
    <xf numFmtId="0" fontId="7" fillId="0" borderId="7" xfId="1" applyFont="1" applyBorder="1" applyAlignment="1" applyProtection="1">
      <alignment horizontal="center" vertical="center" shrinkToFit="1"/>
      <protection hidden="1"/>
    </xf>
    <xf numFmtId="10" fontId="7" fillId="3" borderId="8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4" xfId="1" applyNumberFormat="1" applyFont="1" applyFill="1" applyBorder="1" applyAlignment="1" applyProtection="1">
      <alignment horizontal="center" vertical="center" shrinkToFit="1"/>
      <protection hidden="1"/>
    </xf>
    <xf numFmtId="0" fontId="13" fillId="0" borderId="5" xfId="1" applyFont="1" applyBorder="1" applyAlignment="1" applyProtection="1">
      <alignment horizontal="center" vertical="center" shrinkToFit="1"/>
      <protection hidden="1"/>
    </xf>
    <xf numFmtId="0" fontId="13" fillId="0" borderId="10" xfId="1" applyFont="1" applyBorder="1" applyAlignment="1" applyProtection="1">
      <alignment horizontal="center" vertical="center" shrinkToFit="1"/>
      <protection hidden="1"/>
    </xf>
    <xf numFmtId="10" fontId="7" fillId="3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3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2" borderId="1" xfId="1" applyFont="1" applyFill="1" applyBorder="1" applyAlignment="1" applyProtection="1">
      <alignment horizontal="center" vertical="center" shrinkToFit="1"/>
      <protection hidden="1"/>
    </xf>
    <xf numFmtId="0" fontId="7" fillId="2" borderId="11" xfId="1" applyFont="1" applyFill="1" applyBorder="1" applyAlignment="1" applyProtection="1">
      <alignment horizontal="center" vertical="center" shrinkToFit="1"/>
      <protection hidden="1"/>
    </xf>
    <xf numFmtId="0" fontId="14" fillId="3" borderId="1" xfId="1" applyFont="1" applyFill="1" applyBorder="1" applyAlignment="1" applyProtection="1">
      <alignment horizontal="center" vertical="center" shrinkToFit="1"/>
      <protection hidden="1"/>
    </xf>
    <xf numFmtId="0" fontId="14" fillId="3" borderId="11" xfId="1" applyFont="1" applyFill="1" applyBorder="1" applyAlignment="1" applyProtection="1">
      <alignment horizontal="center" vertical="center" shrinkToFit="1"/>
      <protection hidden="1"/>
    </xf>
    <xf numFmtId="4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4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" xfId="1" applyNumberFormat="1" applyFont="1" applyFill="1" applyBorder="1" applyAlignment="1" applyProtection="1">
      <alignment horizontal="center" vertical="center" shrinkToFit="1"/>
      <protection hidden="1"/>
    </xf>
    <xf numFmtId="10" fontId="7" fillId="2" borderId="11" xfId="1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1" applyFont="1" applyAlignment="1" applyProtection="1">
      <alignment horizontal="center" vertical="center"/>
      <protection hidden="1"/>
    </xf>
    <xf numFmtId="0" fontId="15" fillId="0" borderId="23" xfId="1" applyFont="1" applyBorder="1" applyAlignment="1" applyProtection="1">
      <alignment horizontal="center" shrinkToFit="1"/>
      <protection hidden="1"/>
    </xf>
    <xf numFmtId="0" fontId="7" fillId="7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 applyProtection="1">
      <alignment horizontal="center" shrinkToFit="1"/>
      <protection hidden="1"/>
    </xf>
    <xf numFmtId="0" fontId="7" fillId="0" borderId="1" xfId="1" applyFont="1" applyBorder="1" applyAlignment="1" applyProtection="1">
      <alignment horizontal="center" vertical="center"/>
      <protection hidden="1"/>
    </xf>
    <xf numFmtId="9" fontId="15" fillId="3" borderId="1" xfId="1" applyNumberFormat="1" applyFont="1" applyFill="1" applyBorder="1" applyAlignment="1" applyProtection="1">
      <alignment horizontal="center" shrinkToFit="1"/>
      <protection hidden="1"/>
    </xf>
    <xf numFmtId="0" fontId="7" fillId="3" borderId="1" xfId="1" applyFont="1" applyFill="1" applyBorder="1" applyAlignment="1" applyProtection="1">
      <alignment horizontal="center" shrinkToFit="1"/>
      <protection hidden="1"/>
    </xf>
    <xf numFmtId="9" fontId="7" fillId="3" borderId="1" xfId="1" applyNumberFormat="1" applyFont="1" applyFill="1" applyBorder="1" applyAlignment="1" applyProtection="1">
      <alignment horizontal="center" shrinkToFit="1"/>
      <protection hidden="1"/>
    </xf>
    <xf numFmtId="0" fontId="7" fillId="8" borderId="1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1" xfId="1" applyFont="1" applyBorder="1" applyAlignment="1" applyProtection="1">
      <alignment horizontal="center" shrinkToFit="1"/>
      <protection hidden="1"/>
    </xf>
    <xf numFmtId="0" fontId="7" fillId="0" borderId="2" xfId="1" applyFont="1" applyBorder="1" applyAlignment="1" applyProtection="1">
      <alignment horizontal="center" shrinkToFit="1"/>
      <protection hidden="1"/>
    </xf>
    <xf numFmtId="0" fontId="16" fillId="0" borderId="0" xfId="1" applyFont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hidden="1"/>
    </xf>
    <xf numFmtId="0" fontId="7" fillId="0" borderId="5" xfId="1" applyFont="1" applyBorder="1" applyAlignment="1" applyProtection="1">
      <alignment horizontal="center" vertical="center"/>
      <protection hidden="1"/>
    </xf>
    <xf numFmtId="0" fontId="7" fillId="0" borderId="21" xfId="1" applyFont="1" applyBorder="1" applyAlignment="1" applyProtection="1">
      <alignment horizontal="center" vertical="center"/>
      <protection hidden="1"/>
    </xf>
    <xf numFmtId="0" fontId="7" fillId="0" borderId="22" xfId="1" applyFont="1" applyBorder="1" applyAlignment="1" applyProtection="1">
      <alignment horizontal="center" vertical="center"/>
      <protection hidden="1"/>
    </xf>
    <xf numFmtId="0" fontId="8" fillId="0" borderId="15" xfId="1" applyFont="1" applyBorder="1" applyAlignment="1" applyProtection="1">
      <alignment horizontal="left" vertical="center" shrinkToFit="1"/>
      <protection hidden="1"/>
    </xf>
    <xf numFmtId="0" fontId="17" fillId="11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9" fillId="16" borderId="26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8" fillId="18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17" borderId="12" xfId="0" applyFont="1" applyFill="1" applyBorder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19" borderId="12" xfId="0" applyFont="1" applyFill="1" applyBorder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7" fillId="21" borderId="12" xfId="0" applyFont="1" applyFill="1" applyBorder="1" applyAlignment="1">
      <alignment horizontal="center" vertical="center"/>
    </xf>
    <xf numFmtId="0" fontId="18" fillId="22" borderId="0" xfId="0" applyFont="1" applyFill="1" applyAlignment="1">
      <alignment horizontal="center" vertical="center"/>
    </xf>
    <xf numFmtId="0" fontId="17" fillId="23" borderId="12" xfId="0" applyFont="1" applyFill="1" applyBorder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176" fontId="0" fillId="0" borderId="0" xfId="0" applyNumberFormat="1" applyAlignment="1"/>
    <xf numFmtId="0" fontId="22" fillId="6" borderId="1" xfId="0" applyFont="1" applyFill="1" applyBorder="1" applyAlignment="1">
      <alignment horizontal="center" vertical="center"/>
    </xf>
    <xf numFmtId="0" fontId="22" fillId="6" borderId="27" xfId="0" applyFont="1" applyFill="1" applyBorder="1" applyAlignment="1">
      <alignment horizontal="center" vertical="center"/>
    </xf>
    <xf numFmtId="176" fontId="22" fillId="6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/>
    </xf>
    <xf numFmtId="4" fontId="17" fillId="12" borderId="1" xfId="0" applyNumberFormat="1" applyFont="1" applyFill="1" applyBorder="1" applyAlignment="1">
      <alignment horizontal="center" vertical="center"/>
    </xf>
    <xf numFmtId="0" fontId="17" fillId="25" borderId="2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0" fontId="6" fillId="6" borderId="1" xfId="1" applyNumberFormat="1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7" fillId="29" borderId="0" xfId="0" applyFont="1" applyFill="1" applyAlignment="1">
      <alignment horizontal="center" vertical="center"/>
    </xf>
    <xf numFmtId="0" fontId="17" fillId="29" borderId="1" xfId="0" applyFont="1" applyFill="1" applyBorder="1" applyAlignment="1">
      <alignment horizontal="center" vertical="center"/>
    </xf>
    <xf numFmtId="0" fontId="22" fillId="29" borderId="1" xfId="0" applyFont="1" applyFill="1" applyBorder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0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1" borderId="1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27" fillId="0" borderId="0" xfId="0" applyFont="1" applyAlignment="1"/>
    <xf numFmtId="0" fontId="0" fillId="0" borderId="1" xfId="0" applyBorder="1">
      <alignment vertical="center"/>
    </xf>
    <xf numFmtId="0" fontId="17" fillId="2" borderId="28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2" borderId="27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3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1" fillId="38" borderId="0" xfId="3" applyAlignment="1">
      <alignment horizontal="left" vertical="center"/>
    </xf>
    <xf numFmtId="0" fontId="30" fillId="37" borderId="0" xfId="2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16" xfId="1" applyFont="1" applyBorder="1" applyAlignment="1" applyProtection="1">
      <alignment horizontal="center" vertical="center" shrinkToFit="1"/>
      <protection hidden="1"/>
    </xf>
    <xf numFmtId="0" fontId="7" fillId="0" borderId="17" xfId="1" applyFont="1" applyBorder="1" applyAlignment="1" applyProtection="1">
      <alignment horizontal="center" vertical="center" shrinkToFit="1"/>
      <protection hidden="1"/>
    </xf>
    <xf numFmtId="0" fontId="7" fillId="0" borderId="3" xfId="1" applyFont="1" applyBorder="1" applyAlignment="1" applyProtection="1">
      <alignment horizontal="center" vertical="center" shrinkToFit="1"/>
      <protection hidden="1"/>
    </xf>
    <xf numFmtId="0" fontId="7" fillId="0" borderId="18" xfId="1" applyFont="1" applyBorder="1" applyAlignment="1" applyProtection="1">
      <alignment horizontal="center" vertical="center" shrinkToFit="1"/>
      <protection hidden="1"/>
    </xf>
    <xf numFmtId="0" fontId="8" fillId="0" borderId="19" xfId="1" applyFont="1" applyBorder="1" applyAlignment="1" applyProtection="1">
      <alignment horizontal="left" shrinkToFit="1"/>
      <protection hidden="1"/>
    </xf>
    <xf numFmtId="0" fontId="8" fillId="0" borderId="20" xfId="1" applyFont="1" applyBorder="1" applyAlignment="1" applyProtection="1">
      <alignment horizontal="left" shrinkToFit="1"/>
      <protection hidden="1"/>
    </xf>
    <xf numFmtId="0" fontId="21" fillId="0" borderId="1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/>
    </xf>
    <xf numFmtId="0" fontId="17" fillId="11" borderId="22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6" borderId="0" xfId="0" applyFont="1" applyFill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7" fillId="13" borderId="23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 vertical="center"/>
    </xf>
    <xf numFmtId="0" fontId="17" fillId="11" borderId="27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7" fillId="1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9" borderId="24" xfId="0" applyFont="1" applyFill="1" applyBorder="1" applyAlignment="1">
      <alignment horizontal="center" vertical="center"/>
    </xf>
    <xf numFmtId="0" fontId="17" fillId="9" borderId="23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 wrapText="1"/>
    </xf>
    <xf numFmtId="0" fontId="28" fillId="34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7" fillId="27" borderId="24" xfId="0" applyFont="1" applyFill="1" applyBorder="1" applyAlignment="1">
      <alignment horizontal="center" vertical="center"/>
    </xf>
    <xf numFmtId="0" fontId="17" fillId="27" borderId="22" xfId="0" applyFont="1" applyFill="1" applyBorder="1" applyAlignment="1">
      <alignment horizontal="center" vertical="center"/>
    </xf>
    <xf numFmtId="0" fontId="17" fillId="27" borderId="23" xfId="0" applyFont="1" applyFill="1" applyBorder="1" applyAlignment="1">
      <alignment horizontal="center" vertical="center"/>
    </xf>
    <xf numFmtId="0" fontId="17" fillId="13" borderId="22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9" borderId="27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0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34" xfId="0" applyFont="1" applyFill="1" applyBorder="1" applyAlignment="1">
      <alignment horizontal="center" vertical="center"/>
    </xf>
    <xf numFmtId="0" fontId="17" fillId="14" borderId="24" xfId="0" applyFont="1" applyFill="1" applyBorder="1" applyAlignment="1">
      <alignment horizontal="center" vertical="center"/>
    </xf>
    <xf numFmtId="0" fontId="17" fillId="14" borderId="22" xfId="0" applyFont="1" applyFill="1" applyBorder="1" applyAlignment="1">
      <alignment horizontal="center" vertical="center"/>
    </xf>
    <xf numFmtId="0" fontId="17" fillId="14" borderId="23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7" fillId="32" borderId="2" xfId="0" applyFont="1" applyFill="1" applyBorder="1" applyAlignment="1">
      <alignment horizontal="center" vertical="center"/>
    </xf>
    <xf numFmtId="0" fontId="17" fillId="32" borderId="30" xfId="0" applyFont="1" applyFill="1" applyBorder="1" applyAlignment="1">
      <alignment horizontal="center" vertical="center"/>
    </xf>
    <xf numFmtId="0" fontId="17" fillId="32" borderId="27" xfId="0" applyFont="1" applyFill="1" applyBorder="1" applyAlignment="1">
      <alignment horizontal="center" vertical="center"/>
    </xf>
  </cellXfs>
  <cellStyles count="4">
    <cellStyle name="差" xfId="3" builtinId="27"/>
    <cellStyle name="常规" xfId="0" builtinId="0"/>
    <cellStyle name="常规 2" xfId="1" xr:uid="{1D184C0B-7D82-4329-85E1-CB314FEDC9E4}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F389-23E0-4742-9763-F00EB896B026}">
  <dimension ref="A1:M172"/>
  <sheetViews>
    <sheetView topLeftCell="A31" zoomScale="98" zoomScaleNormal="100" workbookViewId="0">
      <selection activeCell="A37" sqref="A37"/>
    </sheetView>
  </sheetViews>
  <sheetFormatPr defaultColWidth="8.875" defaultRowHeight="13.5"/>
  <cols>
    <col min="1" max="1" width="32.5" style="72" customWidth="1"/>
    <col min="2" max="2" width="25" style="72" customWidth="1"/>
    <col min="3" max="3" width="98.625" style="72" customWidth="1"/>
    <col min="4" max="4" width="8.875" style="72"/>
    <col min="5" max="5" width="19.125" style="72" customWidth="1"/>
    <col min="6" max="6" width="13.125" style="72" customWidth="1"/>
    <col min="7" max="7" width="19.25" style="72" customWidth="1"/>
    <col min="8" max="8" width="9" style="72" customWidth="1"/>
    <col min="9" max="9" width="19.125" style="72" customWidth="1"/>
    <col min="10" max="10" width="8.875" style="72"/>
    <col min="11" max="11" width="11" style="72" customWidth="1"/>
    <col min="12" max="16384" width="8.875" style="72"/>
  </cols>
  <sheetData>
    <row r="1" spans="1:13" ht="16.149999999999999" customHeight="1">
      <c r="A1" s="3" t="s">
        <v>0</v>
      </c>
      <c r="B1" s="4">
        <v>600000</v>
      </c>
      <c r="C1" s="3" t="s">
        <v>1</v>
      </c>
      <c r="D1" s="69"/>
      <c r="E1" s="70" t="s">
        <v>2</v>
      </c>
      <c r="F1" s="70" t="s">
        <v>3</v>
      </c>
      <c r="G1" s="71" t="s">
        <v>4</v>
      </c>
      <c r="H1" s="69"/>
      <c r="I1" s="69"/>
      <c r="J1" s="69"/>
      <c r="K1" s="69"/>
      <c r="L1" s="69"/>
      <c r="M1" s="69"/>
    </row>
    <row r="2" spans="1:13" ht="16.149999999999999" customHeight="1">
      <c r="A2" s="3" t="s">
        <v>5</v>
      </c>
      <c r="B2" s="4">
        <v>3000</v>
      </c>
      <c r="C2" s="3" t="s">
        <v>6</v>
      </c>
      <c r="D2" s="69"/>
      <c r="E2" s="70" t="s">
        <v>7</v>
      </c>
      <c r="F2" s="64">
        <v>0</v>
      </c>
      <c r="G2" s="64">
        <v>0</v>
      </c>
      <c r="H2" s="69"/>
      <c r="I2" s="69"/>
      <c r="J2" s="69"/>
      <c r="K2" s="69"/>
      <c r="L2" s="69"/>
      <c r="M2" s="69"/>
    </row>
    <row r="3" spans="1:13" ht="16.149999999999999" customHeight="1">
      <c r="A3" s="3" t="s">
        <v>8</v>
      </c>
      <c r="B3" s="4">
        <v>10000</v>
      </c>
      <c r="C3" s="3" t="s">
        <v>9</v>
      </c>
      <c r="D3" s="69"/>
      <c r="E3" s="70" t="s">
        <v>10</v>
      </c>
      <c r="F3" s="64">
        <v>20000</v>
      </c>
      <c r="G3" s="64">
        <v>1</v>
      </c>
      <c r="H3" s="69"/>
      <c r="I3" s="69"/>
      <c r="J3" s="69"/>
      <c r="K3" s="69"/>
      <c r="L3" s="69"/>
      <c r="M3" s="69"/>
    </row>
    <row r="4" spans="1:13" ht="16.149999999999999" customHeight="1">
      <c r="A4" s="3" t="s">
        <v>11</v>
      </c>
      <c r="B4" s="5">
        <v>0.25</v>
      </c>
      <c r="C4" s="3" t="s">
        <v>12</v>
      </c>
      <c r="D4" s="69"/>
      <c r="E4" s="70" t="s">
        <v>13</v>
      </c>
      <c r="F4" s="64">
        <v>20000</v>
      </c>
      <c r="G4" s="64">
        <v>2</v>
      </c>
      <c r="H4" s="69"/>
      <c r="I4" s="69"/>
      <c r="J4" s="69"/>
      <c r="K4" s="69"/>
      <c r="L4" s="69"/>
      <c r="M4" s="69"/>
    </row>
    <row r="5" spans="1:13" ht="16.149999999999999" customHeight="1">
      <c r="A5" s="3" t="s">
        <v>14</v>
      </c>
      <c r="B5" s="5">
        <v>0</v>
      </c>
      <c r="C5" s="3" t="s">
        <v>15</v>
      </c>
      <c r="D5" s="69"/>
      <c r="E5" s="70" t="s">
        <v>16</v>
      </c>
      <c r="F5" s="64">
        <v>20000</v>
      </c>
      <c r="G5" s="64">
        <v>2</v>
      </c>
      <c r="H5" s="69"/>
      <c r="I5" s="69"/>
      <c r="J5" s="69"/>
      <c r="K5" s="69"/>
      <c r="L5" s="69"/>
      <c r="M5" s="69"/>
    </row>
    <row r="6" spans="1:13" ht="16.149999999999999" customHeight="1">
      <c r="A6" s="3" t="s">
        <v>17</v>
      </c>
      <c r="B6" s="127">
        <v>0.17</v>
      </c>
      <c r="C6" s="3" t="s">
        <v>18</v>
      </c>
      <c r="D6" s="69"/>
      <c r="E6" s="70" t="s">
        <v>19</v>
      </c>
      <c r="F6" s="64">
        <v>20000</v>
      </c>
      <c r="G6" s="64">
        <v>2</v>
      </c>
      <c r="H6" s="69"/>
      <c r="I6" s="69"/>
      <c r="J6" s="69"/>
      <c r="K6" s="69"/>
      <c r="L6" s="69"/>
      <c r="M6" s="69"/>
    </row>
    <row r="7" spans="1:13" ht="16.149999999999999" customHeight="1">
      <c r="A7" s="3" t="s">
        <v>20</v>
      </c>
      <c r="B7" s="5">
        <v>7.0000000000000007E-2</v>
      </c>
      <c r="C7" s="3" t="s">
        <v>21</v>
      </c>
      <c r="D7" s="69"/>
      <c r="E7" s="70" t="s">
        <v>22</v>
      </c>
      <c r="F7" s="64">
        <v>20000</v>
      </c>
      <c r="G7" s="59">
        <v>3</v>
      </c>
      <c r="H7" s="69"/>
      <c r="I7" s="69"/>
      <c r="J7" s="69"/>
      <c r="K7" s="69"/>
      <c r="L7" s="69"/>
      <c r="M7" s="69"/>
    </row>
    <row r="8" spans="1:13" ht="16.149999999999999" customHeight="1">
      <c r="A8" s="3" t="s">
        <v>23</v>
      </c>
      <c r="B8" s="5">
        <v>0.03</v>
      </c>
      <c r="C8" s="3" t="s">
        <v>24</v>
      </c>
      <c r="D8" s="69"/>
      <c r="E8" s="70" t="s">
        <v>25</v>
      </c>
      <c r="F8" s="64">
        <v>20000</v>
      </c>
      <c r="G8" s="59">
        <v>3</v>
      </c>
      <c r="H8" s="69"/>
      <c r="I8" s="69"/>
      <c r="J8" s="69"/>
      <c r="K8" s="69"/>
      <c r="L8" s="69"/>
      <c r="M8" s="69"/>
    </row>
    <row r="9" spans="1:13" ht="16.149999999999999" customHeight="1" thickBot="1">
      <c r="A9" s="3" t="s">
        <v>26</v>
      </c>
      <c r="B9" s="5">
        <v>0.02</v>
      </c>
      <c r="C9" s="3" t="s">
        <v>27</v>
      </c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3" ht="16.149999999999999" customHeight="1">
      <c r="A10" s="3" t="s">
        <v>28</v>
      </c>
      <c r="B10" s="6">
        <v>1000</v>
      </c>
      <c r="C10" s="3" t="s">
        <v>29</v>
      </c>
      <c r="D10" s="69"/>
      <c r="E10" s="7" t="s">
        <v>30</v>
      </c>
      <c r="F10" s="8" t="s">
        <v>31</v>
      </c>
      <c r="G10" s="9" t="s">
        <v>32</v>
      </c>
      <c r="H10" s="9" t="s">
        <v>33</v>
      </c>
      <c r="I10" s="10" t="s">
        <v>34</v>
      </c>
      <c r="J10" s="10" t="s">
        <v>35</v>
      </c>
      <c r="K10" s="9" t="s">
        <v>36</v>
      </c>
      <c r="L10" s="11" t="s">
        <v>37</v>
      </c>
      <c r="M10" s="69"/>
    </row>
    <row r="11" spans="1:13" ht="16.149999999999999" customHeight="1">
      <c r="A11" s="3" t="s">
        <v>38</v>
      </c>
      <c r="B11" s="4">
        <v>10000</v>
      </c>
      <c r="C11" s="3" t="s">
        <v>39</v>
      </c>
      <c r="D11" s="69"/>
      <c r="E11" s="12" t="s">
        <v>40</v>
      </c>
      <c r="F11" s="13">
        <v>1000</v>
      </c>
      <c r="G11" s="14">
        <v>10</v>
      </c>
      <c r="H11" s="14">
        <v>15</v>
      </c>
      <c r="I11" s="14">
        <v>60</v>
      </c>
      <c r="J11" s="14">
        <v>10</v>
      </c>
      <c r="K11" s="14">
        <v>5</v>
      </c>
      <c r="L11" s="15">
        <f>SUM(G11:K11)</f>
        <v>100</v>
      </c>
      <c r="M11" s="69"/>
    </row>
    <row r="12" spans="1:13" ht="16.149999999999999" customHeight="1">
      <c r="A12" s="3" t="s">
        <v>41</v>
      </c>
      <c r="B12" s="5">
        <v>0.2</v>
      </c>
      <c r="C12" s="3" t="s">
        <v>42</v>
      </c>
      <c r="D12" s="69"/>
      <c r="E12" s="16" t="s">
        <v>43</v>
      </c>
      <c r="F12" s="13">
        <v>800</v>
      </c>
      <c r="G12" s="14">
        <v>15</v>
      </c>
      <c r="H12" s="14">
        <v>25</v>
      </c>
      <c r="I12" s="14">
        <v>50</v>
      </c>
      <c r="J12" s="14">
        <v>5</v>
      </c>
      <c r="K12" s="14">
        <v>5</v>
      </c>
      <c r="L12" s="17">
        <f>SUM(G12:K12)</f>
        <v>100</v>
      </c>
      <c r="M12" s="69"/>
    </row>
    <row r="13" spans="1:13" ht="16.149999999999999" customHeight="1">
      <c r="A13" s="3" t="s">
        <v>44</v>
      </c>
      <c r="B13" s="5">
        <v>0.02</v>
      </c>
      <c r="C13" s="3" t="s">
        <v>45</v>
      </c>
      <c r="D13" s="69"/>
      <c r="E13" s="18" t="s">
        <v>46</v>
      </c>
      <c r="F13" s="13">
        <v>600</v>
      </c>
      <c r="G13" s="14">
        <v>25</v>
      </c>
      <c r="H13" s="14">
        <v>15</v>
      </c>
      <c r="I13" s="14">
        <v>40</v>
      </c>
      <c r="J13" s="14">
        <v>5</v>
      </c>
      <c r="K13" s="14">
        <v>15</v>
      </c>
      <c r="L13" s="19">
        <f>SUM(G13:K13)</f>
        <v>100</v>
      </c>
      <c r="M13" s="69"/>
    </row>
    <row r="14" spans="1:13" ht="16.149999999999999" customHeight="1" thickBot="1">
      <c r="A14" s="3" t="s">
        <v>47</v>
      </c>
      <c r="B14" s="5">
        <v>5.0000000000000001E-3</v>
      </c>
      <c r="C14" s="3" t="s">
        <v>48</v>
      </c>
      <c r="D14" s="69"/>
      <c r="E14" s="20" t="s">
        <v>49</v>
      </c>
      <c r="F14" s="21">
        <v>400</v>
      </c>
      <c r="G14" s="22">
        <v>50</v>
      </c>
      <c r="H14" s="22">
        <v>5</v>
      </c>
      <c r="I14" s="22">
        <v>30</v>
      </c>
      <c r="J14" s="22">
        <v>10</v>
      </c>
      <c r="K14" s="14">
        <v>5</v>
      </c>
      <c r="L14" s="23">
        <f>SUM(G14:K14)</f>
        <v>100</v>
      </c>
      <c r="M14" s="69"/>
    </row>
    <row r="15" spans="1:13" ht="16.149999999999999" customHeight="1" thickBot="1">
      <c r="A15" s="3" t="s">
        <v>50</v>
      </c>
      <c r="B15" s="5">
        <v>6.0000000000000001E-3</v>
      </c>
      <c r="C15" s="3" t="s">
        <v>51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spans="1:13" ht="16.149999999999999" customHeight="1">
      <c r="A16" s="3" t="s">
        <v>52</v>
      </c>
      <c r="B16" s="5">
        <v>0.115</v>
      </c>
      <c r="C16" s="3" t="s">
        <v>53</v>
      </c>
      <c r="D16" s="69"/>
      <c r="E16" s="24" t="s">
        <v>54</v>
      </c>
      <c r="F16" s="25" t="s">
        <v>55</v>
      </c>
      <c r="G16" s="25" t="s">
        <v>56</v>
      </c>
      <c r="H16" s="25" t="s">
        <v>57</v>
      </c>
      <c r="I16" s="25" t="s">
        <v>58</v>
      </c>
      <c r="J16" s="25" t="s">
        <v>59</v>
      </c>
      <c r="K16" s="25" t="s">
        <v>60</v>
      </c>
      <c r="L16" s="26" t="s">
        <v>61</v>
      </c>
      <c r="M16" s="69"/>
    </row>
    <row r="17" spans="1:13" ht="16.149999999999999" customHeight="1">
      <c r="A17" s="3" t="s">
        <v>62</v>
      </c>
      <c r="B17" s="4">
        <v>2000</v>
      </c>
      <c r="C17" s="3" t="s">
        <v>63</v>
      </c>
      <c r="D17" s="69"/>
      <c r="E17" s="27" t="s">
        <v>64</v>
      </c>
      <c r="F17" s="28">
        <v>500</v>
      </c>
      <c r="G17" s="28">
        <v>100</v>
      </c>
      <c r="H17" s="29">
        <v>500</v>
      </c>
      <c r="I17" s="29">
        <v>0.05</v>
      </c>
      <c r="J17" s="30">
        <v>4000</v>
      </c>
      <c r="K17" s="28">
        <v>1</v>
      </c>
      <c r="L17" s="31">
        <v>4000</v>
      </c>
      <c r="M17" s="69"/>
    </row>
    <row r="18" spans="1:13" ht="16.149999999999999" customHeight="1" thickBot="1">
      <c r="A18" s="3" t="s">
        <v>65</v>
      </c>
      <c r="B18" s="5">
        <v>0.05</v>
      </c>
      <c r="C18" s="3" t="s">
        <v>66</v>
      </c>
      <c r="D18" s="69"/>
      <c r="E18" s="32" t="s">
        <v>67</v>
      </c>
      <c r="F18" s="33">
        <v>300</v>
      </c>
      <c r="G18" s="33">
        <v>90</v>
      </c>
      <c r="H18" s="34">
        <v>300</v>
      </c>
      <c r="I18" s="34">
        <v>0.03</v>
      </c>
      <c r="J18" s="35">
        <v>3600</v>
      </c>
      <c r="K18" s="33">
        <v>1</v>
      </c>
      <c r="L18" s="31">
        <v>2000</v>
      </c>
      <c r="M18" s="69"/>
    </row>
    <row r="19" spans="1:13" ht="16.149999999999999" customHeight="1">
      <c r="A19" s="3" t="s">
        <v>68</v>
      </c>
      <c r="B19" s="36">
        <v>3</v>
      </c>
      <c r="C19" s="3" t="s">
        <v>69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ht="16.149999999999999" customHeight="1" thickBot="1">
      <c r="A20" s="3" t="s">
        <v>70</v>
      </c>
      <c r="B20" s="5">
        <v>0.2</v>
      </c>
      <c r="C20" s="3" t="s">
        <v>71</v>
      </c>
      <c r="D20" s="69"/>
      <c r="E20" s="77" t="s">
        <v>72</v>
      </c>
      <c r="F20" s="37"/>
      <c r="G20" s="37"/>
      <c r="H20" s="37"/>
      <c r="I20" s="37"/>
      <c r="J20" s="37"/>
      <c r="K20" s="56"/>
      <c r="L20" s="69"/>
      <c r="M20" s="69"/>
    </row>
    <row r="21" spans="1:13" ht="16.149999999999999" customHeight="1">
      <c r="A21" s="3" t="s">
        <v>73</v>
      </c>
      <c r="B21" s="36">
        <v>3</v>
      </c>
      <c r="C21" s="3" t="s">
        <v>74</v>
      </c>
      <c r="D21" s="69"/>
      <c r="E21" s="171" t="s">
        <v>75</v>
      </c>
      <c r="F21" s="172"/>
      <c r="G21" s="173" t="s">
        <v>76</v>
      </c>
      <c r="H21" s="172"/>
      <c r="I21" s="173" t="s">
        <v>77</v>
      </c>
      <c r="J21" s="174"/>
      <c r="K21" s="56"/>
      <c r="L21" s="69"/>
      <c r="M21" s="69"/>
    </row>
    <row r="22" spans="1:13" ht="16.149999999999999" customHeight="1">
      <c r="A22" s="3" t="s">
        <v>78</v>
      </c>
      <c r="B22" s="4">
        <v>200000</v>
      </c>
      <c r="C22" s="3" t="s">
        <v>79</v>
      </c>
      <c r="D22" s="69"/>
      <c r="E22" s="27" t="s">
        <v>80</v>
      </c>
      <c r="F22" s="28">
        <v>6</v>
      </c>
      <c r="G22" s="29" t="s">
        <v>80</v>
      </c>
      <c r="H22" s="28">
        <v>4</v>
      </c>
      <c r="I22" s="29" t="s">
        <v>80</v>
      </c>
      <c r="J22" s="30">
        <v>2</v>
      </c>
      <c r="K22" s="56"/>
      <c r="L22" s="69"/>
      <c r="M22" s="69"/>
    </row>
    <row r="23" spans="1:13" ht="16.149999999999999" customHeight="1">
      <c r="A23" s="3" t="s">
        <v>81</v>
      </c>
      <c r="B23" s="5">
        <v>0.03</v>
      </c>
      <c r="C23" s="3" t="s">
        <v>82</v>
      </c>
      <c r="D23" s="69"/>
      <c r="E23" s="27" t="s">
        <v>83</v>
      </c>
      <c r="F23" s="38">
        <v>120000</v>
      </c>
      <c r="G23" s="29" t="s">
        <v>84</v>
      </c>
      <c r="H23" s="38">
        <v>80000</v>
      </c>
      <c r="I23" s="29" t="s">
        <v>84</v>
      </c>
      <c r="J23" s="39">
        <v>50000</v>
      </c>
      <c r="K23" s="56"/>
      <c r="L23" s="69"/>
      <c r="M23" s="69"/>
    </row>
    <row r="24" spans="1:13" ht="16.149999999999999" customHeight="1">
      <c r="A24" s="3" t="s">
        <v>85</v>
      </c>
      <c r="B24" s="5">
        <v>0.06</v>
      </c>
      <c r="C24" s="3" t="s">
        <v>86</v>
      </c>
      <c r="D24" s="69"/>
      <c r="E24" s="40" t="s">
        <v>87</v>
      </c>
      <c r="F24" s="38">
        <v>11000</v>
      </c>
      <c r="G24" s="29" t="s">
        <v>87</v>
      </c>
      <c r="H24" s="38">
        <v>8000</v>
      </c>
      <c r="I24" s="29" t="s">
        <v>87</v>
      </c>
      <c r="J24" s="39">
        <v>5000</v>
      </c>
      <c r="K24" s="56"/>
      <c r="L24" s="69"/>
      <c r="M24" s="69"/>
    </row>
    <row r="25" spans="1:13" ht="16.149999999999999" customHeight="1" thickBot="1">
      <c r="A25" s="3" t="s">
        <v>88</v>
      </c>
      <c r="B25" s="5">
        <v>0.08</v>
      </c>
      <c r="C25" s="3" t="s">
        <v>89</v>
      </c>
      <c r="D25" s="69"/>
      <c r="E25" s="41" t="s">
        <v>90</v>
      </c>
      <c r="F25" s="42">
        <v>0.02</v>
      </c>
      <c r="G25" s="34" t="s">
        <v>90</v>
      </c>
      <c r="H25" s="42">
        <v>0.02</v>
      </c>
      <c r="I25" s="34" t="s">
        <v>90</v>
      </c>
      <c r="J25" s="43">
        <v>0.02</v>
      </c>
      <c r="K25" s="56"/>
      <c r="L25" s="69"/>
      <c r="M25" s="69"/>
    </row>
    <row r="26" spans="1:13" ht="16.149999999999999" customHeight="1">
      <c r="A26" s="3" t="s">
        <v>91</v>
      </c>
      <c r="B26" s="5">
        <v>0.1</v>
      </c>
      <c r="C26" s="3" t="s">
        <v>92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ht="16.149999999999999" customHeight="1" thickBot="1">
      <c r="A27" s="3" t="s">
        <v>93</v>
      </c>
      <c r="B27" s="36" t="s">
        <v>94</v>
      </c>
      <c r="C27" s="3" t="s">
        <v>95</v>
      </c>
      <c r="D27" s="69"/>
      <c r="E27" s="175" t="s">
        <v>96</v>
      </c>
      <c r="F27" s="176"/>
      <c r="G27" s="176"/>
      <c r="H27" s="176"/>
      <c r="I27" s="56"/>
      <c r="J27" s="69"/>
      <c r="K27" s="69"/>
      <c r="L27" s="69"/>
      <c r="M27" s="69"/>
    </row>
    <row r="28" spans="1:13" ht="16.149999999999999" customHeight="1">
      <c r="A28" s="3" t="s">
        <v>97</v>
      </c>
      <c r="B28" s="5">
        <v>0.02</v>
      </c>
      <c r="C28" s="3" t="s">
        <v>98</v>
      </c>
      <c r="D28" s="69"/>
      <c r="E28" s="24"/>
      <c r="F28" s="44" t="s">
        <v>99</v>
      </c>
      <c r="G28" s="44" t="s">
        <v>100</v>
      </c>
      <c r="H28" s="44" t="s">
        <v>101</v>
      </c>
      <c r="I28" s="45" t="s">
        <v>102</v>
      </c>
      <c r="J28" s="69"/>
      <c r="K28" s="69"/>
      <c r="L28" s="69"/>
      <c r="M28" s="69"/>
    </row>
    <row r="29" spans="1:13" ht="16.149999999999999" customHeight="1">
      <c r="A29" s="3" t="s">
        <v>103</v>
      </c>
      <c r="B29" s="5">
        <v>0.05</v>
      </c>
      <c r="C29" s="3" t="s">
        <v>104</v>
      </c>
      <c r="D29" s="69"/>
      <c r="E29" s="27" t="s">
        <v>105</v>
      </c>
      <c r="F29" s="38">
        <v>120000</v>
      </c>
      <c r="G29" s="38">
        <v>100000</v>
      </c>
      <c r="H29" s="38">
        <v>70000</v>
      </c>
      <c r="I29" s="39">
        <v>50000</v>
      </c>
      <c r="J29" s="69"/>
      <c r="K29" s="69"/>
      <c r="L29" s="69"/>
      <c r="M29" s="69"/>
    </row>
    <row r="30" spans="1:13" ht="16.149999999999999" customHeight="1">
      <c r="A30" s="3" t="s">
        <v>106</v>
      </c>
      <c r="B30" s="5">
        <v>0.3</v>
      </c>
      <c r="C30" s="3" t="s">
        <v>166</v>
      </c>
      <c r="D30" s="69"/>
      <c r="E30" s="27" t="s">
        <v>107</v>
      </c>
      <c r="F30" s="46">
        <v>0.9</v>
      </c>
      <c r="G30" s="46">
        <v>0.85</v>
      </c>
      <c r="H30" s="46">
        <v>0.8</v>
      </c>
      <c r="I30" s="47">
        <v>0.75</v>
      </c>
      <c r="J30" s="69"/>
      <c r="K30" s="69"/>
      <c r="L30" s="69"/>
      <c r="M30" s="69"/>
    </row>
    <row r="31" spans="1:13" ht="16.149999999999999" customHeight="1">
      <c r="A31" s="3" t="s">
        <v>108</v>
      </c>
      <c r="B31" s="4">
        <v>30000</v>
      </c>
      <c r="C31" s="3" t="s">
        <v>109</v>
      </c>
      <c r="D31" s="69"/>
      <c r="E31" s="27" t="s">
        <v>110</v>
      </c>
      <c r="F31" s="28">
        <v>1</v>
      </c>
      <c r="G31" s="28">
        <v>1</v>
      </c>
      <c r="H31" s="28">
        <v>1</v>
      </c>
      <c r="I31" s="30">
        <v>0</v>
      </c>
      <c r="J31" s="69"/>
      <c r="K31" s="69"/>
      <c r="L31" s="69"/>
      <c r="M31" s="69"/>
    </row>
    <row r="32" spans="1:13" ht="16.149999999999999" customHeight="1">
      <c r="A32" s="3" t="s">
        <v>111</v>
      </c>
      <c r="B32" s="4">
        <v>20000</v>
      </c>
      <c r="C32" s="3" t="s">
        <v>112</v>
      </c>
      <c r="D32" s="69"/>
      <c r="E32" s="27" t="s">
        <v>113</v>
      </c>
      <c r="F32" s="28">
        <v>10</v>
      </c>
      <c r="G32" s="28">
        <v>20</v>
      </c>
      <c r="H32" s="28">
        <v>25</v>
      </c>
      <c r="I32" s="30">
        <v>30</v>
      </c>
      <c r="J32" s="69"/>
      <c r="K32" s="69"/>
      <c r="L32" s="69"/>
      <c r="M32" s="69"/>
    </row>
    <row r="33" spans="1:13" ht="16.149999999999999" customHeight="1">
      <c r="A33" s="3" t="s">
        <v>114</v>
      </c>
      <c r="B33" s="36">
        <v>3</v>
      </c>
      <c r="C33" s="3" t="s">
        <v>115</v>
      </c>
      <c r="D33" s="69"/>
      <c r="E33" s="27" t="s">
        <v>116</v>
      </c>
      <c r="F33" s="38">
        <v>3000</v>
      </c>
      <c r="G33" s="38">
        <v>2500</v>
      </c>
      <c r="H33" s="38">
        <v>2000</v>
      </c>
      <c r="I33" s="39">
        <v>1500</v>
      </c>
      <c r="J33" s="69"/>
      <c r="K33" s="69"/>
      <c r="L33" s="69"/>
      <c r="M33" s="69"/>
    </row>
    <row r="34" spans="1:13" ht="16.149999999999999" customHeight="1">
      <c r="A34" s="3" t="s">
        <v>117</v>
      </c>
      <c r="B34" s="36">
        <v>5</v>
      </c>
      <c r="C34" s="3" t="s">
        <v>118</v>
      </c>
      <c r="D34" s="69"/>
      <c r="E34" s="27" t="s">
        <v>119</v>
      </c>
      <c r="F34" s="48">
        <v>1</v>
      </c>
      <c r="G34" s="48">
        <v>1</v>
      </c>
      <c r="H34" s="48">
        <v>1</v>
      </c>
      <c r="I34" s="49">
        <v>1</v>
      </c>
      <c r="J34" s="69"/>
      <c r="K34" s="69"/>
      <c r="L34" s="69"/>
      <c r="M34" s="69"/>
    </row>
    <row r="35" spans="1:13" ht="16.149999999999999" customHeight="1">
      <c r="A35" s="3" t="s">
        <v>120</v>
      </c>
      <c r="B35" s="4">
        <v>1000</v>
      </c>
      <c r="C35" s="3" t="s">
        <v>121</v>
      </c>
      <c r="D35" s="69"/>
      <c r="E35" s="27" t="s">
        <v>122</v>
      </c>
      <c r="F35" s="48">
        <v>1</v>
      </c>
      <c r="G35" s="48">
        <v>1</v>
      </c>
      <c r="H35" s="48">
        <v>0</v>
      </c>
      <c r="I35" s="49">
        <v>0</v>
      </c>
      <c r="J35" s="69"/>
      <c r="K35" s="69"/>
      <c r="L35" s="69"/>
      <c r="M35" s="69"/>
    </row>
    <row r="36" spans="1:13" ht="16.149999999999999" customHeight="1">
      <c r="A36" s="3" t="s">
        <v>123</v>
      </c>
      <c r="B36" s="5">
        <v>0.6</v>
      </c>
      <c r="C36" s="3" t="s">
        <v>124</v>
      </c>
      <c r="D36" s="69"/>
      <c r="E36" s="27" t="s">
        <v>125</v>
      </c>
      <c r="F36" s="28">
        <v>500</v>
      </c>
      <c r="G36" s="28">
        <v>400</v>
      </c>
      <c r="H36" s="28">
        <v>300</v>
      </c>
      <c r="I36" s="30">
        <v>200</v>
      </c>
      <c r="J36" s="69"/>
      <c r="K36" s="69"/>
      <c r="L36" s="69"/>
      <c r="M36" s="69"/>
    </row>
    <row r="37" spans="1:13" ht="14.25">
      <c r="A37" s="69"/>
      <c r="B37" s="69"/>
      <c r="C37" s="69"/>
      <c r="D37" s="69"/>
      <c r="E37" s="27" t="s">
        <v>126</v>
      </c>
      <c r="F37" s="28" t="s">
        <v>127</v>
      </c>
      <c r="G37" s="28" t="s">
        <v>127</v>
      </c>
      <c r="H37" s="28" t="s">
        <v>128</v>
      </c>
      <c r="I37" s="30" t="s">
        <v>128</v>
      </c>
      <c r="J37" s="69"/>
      <c r="K37" s="69"/>
      <c r="L37" s="69"/>
      <c r="M37" s="69"/>
    </row>
    <row r="38" spans="1:13" ht="15" thickBot="1">
      <c r="A38" s="69"/>
      <c r="B38" s="69"/>
      <c r="C38" s="69"/>
      <c r="D38" s="69"/>
      <c r="E38" s="27" t="s">
        <v>129</v>
      </c>
      <c r="F38" s="48">
        <v>0</v>
      </c>
      <c r="G38" s="48">
        <v>0</v>
      </c>
      <c r="H38" s="48">
        <v>0</v>
      </c>
      <c r="I38" s="49">
        <v>0</v>
      </c>
      <c r="J38" s="69"/>
      <c r="K38" s="69"/>
      <c r="L38" s="69"/>
      <c r="M38" s="69"/>
    </row>
    <row r="39" spans="1:13" ht="14.25">
      <c r="A39" s="24" t="s">
        <v>130</v>
      </c>
      <c r="B39" s="25" t="s">
        <v>131</v>
      </c>
      <c r="C39" s="26" t="s">
        <v>132</v>
      </c>
      <c r="D39" s="69"/>
      <c r="E39" s="27" t="s">
        <v>133</v>
      </c>
      <c r="F39" s="50">
        <v>5</v>
      </c>
      <c r="G39" s="50">
        <v>4</v>
      </c>
      <c r="H39" s="50">
        <v>3</v>
      </c>
      <c r="I39" s="51">
        <v>2</v>
      </c>
      <c r="J39" s="69"/>
      <c r="K39" s="69"/>
      <c r="L39" s="69"/>
      <c r="M39" s="69"/>
    </row>
    <row r="40" spans="1:13" ht="14.25">
      <c r="A40" s="27" t="s">
        <v>134</v>
      </c>
      <c r="B40" s="29">
        <v>2</v>
      </c>
      <c r="C40" s="30">
        <v>30000</v>
      </c>
      <c r="D40" s="69"/>
      <c r="E40" s="27" t="s">
        <v>135</v>
      </c>
      <c r="F40" s="52">
        <v>1000</v>
      </c>
      <c r="G40" s="52">
        <v>1000</v>
      </c>
      <c r="H40" s="52">
        <v>1000</v>
      </c>
      <c r="I40" s="53">
        <v>1000</v>
      </c>
      <c r="J40" s="69"/>
      <c r="K40" s="69"/>
      <c r="L40" s="69"/>
      <c r="M40" s="69"/>
    </row>
    <row r="41" spans="1:13" ht="15" thickBot="1">
      <c r="A41" s="41" t="s">
        <v>136</v>
      </c>
      <c r="B41" s="34">
        <v>3</v>
      </c>
      <c r="C41" s="35">
        <v>30000</v>
      </c>
      <c r="D41" s="69"/>
      <c r="E41" s="27" t="s">
        <v>137</v>
      </c>
      <c r="F41" s="54">
        <v>0.01</v>
      </c>
      <c r="G41" s="54">
        <v>0.02</v>
      </c>
      <c r="H41" s="54">
        <v>0.03</v>
      </c>
      <c r="I41" s="55">
        <v>0.04</v>
      </c>
      <c r="J41" s="69"/>
      <c r="K41" s="69"/>
      <c r="L41" s="69"/>
      <c r="M41" s="69"/>
    </row>
    <row r="42" spans="1:13" ht="14.25">
      <c r="A42" s="69"/>
      <c r="B42" s="69"/>
      <c r="C42" s="69"/>
      <c r="D42" s="69"/>
      <c r="E42" s="27" t="s">
        <v>138</v>
      </c>
      <c r="F42" s="52">
        <v>4000</v>
      </c>
      <c r="G42" s="52">
        <v>3000</v>
      </c>
      <c r="H42" s="52">
        <v>2000</v>
      </c>
      <c r="I42" s="53">
        <v>1000</v>
      </c>
      <c r="J42" s="69"/>
      <c r="K42" s="69"/>
      <c r="L42" s="69"/>
      <c r="M42" s="69"/>
    </row>
    <row r="43" spans="1:13" ht="15" thickBot="1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ht="15.75">
      <c r="A44" s="73" t="s">
        <v>139</v>
      </c>
      <c r="B44" s="74" t="s">
        <v>140</v>
      </c>
      <c r="C44" s="74" t="s">
        <v>141</v>
      </c>
      <c r="D44" s="74" t="s">
        <v>142</v>
      </c>
      <c r="E44" s="74" t="s">
        <v>143</v>
      </c>
      <c r="F44" s="75" t="s">
        <v>144</v>
      </c>
      <c r="G44" s="62" t="s">
        <v>145</v>
      </c>
      <c r="H44" s="76" t="s">
        <v>146</v>
      </c>
      <c r="I44" s="69"/>
      <c r="J44" s="56"/>
      <c r="K44" s="56"/>
      <c r="L44" s="57" t="s">
        <v>147</v>
      </c>
      <c r="M44" s="69"/>
    </row>
    <row r="45" spans="1:13" ht="15.75">
      <c r="A45" s="58" t="s">
        <v>148</v>
      </c>
      <c r="B45" s="59">
        <v>40</v>
      </c>
      <c r="C45" s="59">
        <v>42</v>
      </c>
      <c r="D45" s="59">
        <v>38</v>
      </c>
      <c r="E45" s="59">
        <v>36</v>
      </c>
      <c r="F45" s="59">
        <v>0</v>
      </c>
      <c r="G45" s="59">
        <v>1</v>
      </c>
      <c r="H45" s="60">
        <v>0.1</v>
      </c>
      <c r="I45" s="69"/>
      <c r="J45" s="61" t="s">
        <v>149</v>
      </c>
      <c r="K45" s="62" t="s">
        <v>150</v>
      </c>
      <c r="L45" s="63">
        <v>1.5</v>
      </c>
      <c r="M45" s="69"/>
    </row>
    <row r="46" spans="1:13" ht="14.25">
      <c r="A46" s="58" t="s">
        <v>151</v>
      </c>
      <c r="B46" s="59">
        <v>80</v>
      </c>
      <c r="C46" s="59">
        <v>82</v>
      </c>
      <c r="D46" s="59">
        <v>75</v>
      </c>
      <c r="E46" s="59">
        <v>78</v>
      </c>
      <c r="F46" s="59">
        <v>0</v>
      </c>
      <c r="G46" s="59">
        <v>1</v>
      </c>
      <c r="H46" s="60">
        <v>0.2</v>
      </c>
      <c r="I46" s="69"/>
      <c r="J46" s="64">
        <v>0</v>
      </c>
      <c r="K46" s="64">
        <v>200</v>
      </c>
      <c r="L46" s="65">
        <v>1</v>
      </c>
      <c r="M46" s="69"/>
    </row>
    <row r="47" spans="1:13" ht="14.25">
      <c r="A47" s="58" t="s">
        <v>152</v>
      </c>
      <c r="B47" s="59">
        <v>110</v>
      </c>
      <c r="C47" s="59">
        <v>108</v>
      </c>
      <c r="D47" s="59">
        <v>106</v>
      </c>
      <c r="E47" s="59">
        <v>112</v>
      </c>
      <c r="F47" s="59">
        <v>1</v>
      </c>
      <c r="G47" s="59">
        <v>1</v>
      </c>
      <c r="H47" s="60">
        <v>0.3</v>
      </c>
      <c r="I47" s="69"/>
      <c r="J47" s="64">
        <v>201</v>
      </c>
      <c r="K47" s="64">
        <v>500</v>
      </c>
      <c r="L47" s="65">
        <v>0.95</v>
      </c>
      <c r="M47" s="69"/>
    </row>
    <row r="48" spans="1:13" ht="14.25">
      <c r="A48" s="66" t="s">
        <v>153</v>
      </c>
      <c r="B48" s="59">
        <v>10</v>
      </c>
      <c r="C48" s="59">
        <v>13</v>
      </c>
      <c r="D48" s="59">
        <v>14</v>
      </c>
      <c r="E48" s="59">
        <v>12</v>
      </c>
      <c r="F48" s="59">
        <v>0</v>
      </c>
      <c r="G48" s="59">
        <v>0</v>
      </c>
      <c r="H48" s="60">
        <v>0.1</v>
      </c>
      <c r="I48" s="69"/>
      <c r="J48" s="64">
        <v>501</v>
      </c>
      <c r="K48" s="64">
        <v>1000</v>
      </c>
      <c r="L48" s="65">
        <v>0.9</v>
      </c>
      <c r="M48" s="69"/>
    </row>
    <row r="49" spans="1:13" ht="14.25">
      <c r="A49" s="66" t="s">
        <v>154</v>
      </c>
      <c r="B49" s="59">
        <v>20</v>
      </c>
      <c r="C49" s="59">
        <v>18</v>
      </c>
      <c r="D49" s="59">
        <v>22</v>
      </c>
      <c r="E49" s="59">
        <v>25</v>
      </c>
      <c r="F49" s="59">
        <v>0</v>
      </c>
      <c r="G49" s="59">
        <v>1</v>
      </c>
      <c r="H49" s="60">
        <v>0.2</v>
      </c>
      <c r="I49" s="69"/>
      <c r="J49" s="64">
        <v>1001</v>
      </c>
      <c r="K49" s="64">
        <v>1500</v>
      </c>
      <c r="L49" s="65">
        <v>0.85</v>
      </c>
      <c r="M49" s="69"/>
    </row>
    <row r="50" spans="1:13" ht="14.25">
      <c r="A50" s="66" t="s">
        <v>155</v>
      </c>
      <c r="B50" s="59">
        <v>35</v>
      </c>
      <c r="C50" s="59">
        <v>30</v>
      </c>
      <c r="D50" s="59">
        <v>32</v>
      </c>
      <c r="E50" s="59">
        <v>37</v>
      </c>
      <c r="F50" s="59">
        <v>0</v>
      </c>
      <c r="G50" s="59">
        <v>1</v>
      </c>
      <c r="H50" s="60">
        <v>0.3</v>
      </c>
      <c r="I50" s="69"/>
      <c r="J50" s="64">
        <v>1501</v>
      </c>
      <c r="K50" s="64">
        <v>2000</v>
      </c>
      <c r="L50" s="65">
        <v>0.8</v>
      </c>
      <c r="M50" s="69"/>
    </row>
    <row r="51" spans="1:13" ht="14.25">
      <c r="A51" s="67" t="s">
        <v>156</v>
      </c>
      <c r="B51" s="59">
        <v>50</v>
      </c>
      <c r="C51" s="59">
        <v>51</v>
      </c>
      <c r="D51" s="59">
        <v>53</v>
      </c>
      <c r="E51" s="59">
        <v>50</v>
      </c>
      <c r="F51" s="59">
        <v>0</v>
      </c>
      <c r="G51" s="59">
        <v>0</v>
      </c>
      <c r="H51" s="60">
        <v>0.1</v>
      </c>
      <c r="I51" s="69"/>
      <c r="J51" s="64">
        <v>2001</v>
      </c>
      <c r="K51" s="64">
        <v>9999</v>
      </c>
      <c r="L51" s="65">
        <v>0.75</v>
      </c>
      <c r="M51" s="69"/>
    </row>
    <row r="52" spans="1:13" ht="14.25">
      <c r="A52" s="67" t="s">
        <v>157</v>
      </c>
      <c r="B52" s="59">
        <v>80</v>
      </c>
      <c r="C52" s="59">
        <v>75</v>
      </c>
      <c r="D52" s="59">
        <v>73</v>
      </c>
      <c r="E52" s="59">
        <v>72</v>
      </c>
      <c r="F52" s="59">
        <v>0</v>
      </c>
      <c r="G52" s="59">
        <v>1</v>
      </c>
      <c r="H52" s="60">
        <v>0.15</v>
      </c>
      <c r="I52" s="69"/>
      <c r="J52" s="69"/>
      <c r="K52" s="69"/>
      <c r="L52" s="69"/>
      <c r="M52" s="69"/>
    </row>
    <row r="53" spans="1:13" ht="14.25">
      <c r="A53" s="67" t="s">
        <v>158</v>
      </c>
      <c r="B53" s="59">
        <v>110</v>
      </c>
      <c r="C53" s="59">
        <v>115</v>
      </c>
      <c r="D53" s="59">
        <v>115</v>
      </c>
      <c r="E53" s="59">
        <v>118</v>
      </c>
      <c r="F53" s="59">
        <v>0</v>
      </c>
      <c r="G53" s="59">
        <v>0</v>
      </c>
      <c r="H53" s="60">
        <v>0.2</v>
      </c>
      <c r="I53" s="69"/>
      <c r="J53" s="69"/>
      <c r="K53" s="69"/>
      <c r="L53" s="69"/>
      <c r="M53" s="69"/>
    </row>
    <row r="54" spans="1:13" ht="14.25">
      <c r="A54" s="67" t="s">
        <v>159</v>
      </c>
      <c r="B54" s="59">
        <v>160</v>
      </c>
      <c r="C54" s="59">
        <v>155</v>
      </c>
      <c r="D54" s="59">
        <v>150</v>
      </c>
      <c r="E54" s="59">
        <v>150</v>
      </c>
      <c r="F54" s="59">
        <v>0</v>
      </c>
      <c r="G54" s="59">
        <v>1</v>
      </c>
      <c r="H54" s="60">
        <v>0.3</v>
      </c>
      <c r="I54" s="69"/>
      <c r="J54" s="69"/>
      <c r="K54" s="69"/>
      <c r="L54" s="69"/>
      <c r="M54" s="69"/>
    </row>
    <row r="55" spans="1:13" ht="14.25">
      <c r="A55" s="68" t="s">
        <v>160</v>
      </c>
      <c r="B55" s="59">
        <v>50</v>
      </c>
      <c r="C55" s="59">
        <v>48</v>
      </c>
      <c r="D55" s="59">
        <v>46</v>
      </c>
      <c r="E55" s="59">
        <v>44</v>
      </c>
      <c r="F55" s="59">
        <v>1</v>
      </c>
      <c r="G55" s="59">
        <v>1</v>
      </c>
      <c r="H55" s="60">
        <v>0.1</v>
      </c>
      <c r="I55" s="69"/>
      <c r="J55" s="69"/>
      <c r="K55" s="69"/>
      <c r="L55" s="69"/>
      <c r="M55" s="69"/>
    </row>
    <row r="56" spans="1:13" ht="14.25">
      <c r="A56" s="68" t="s">
        <v>161</v>
      </c>
      <c r="B56" s="59">
        <v>50</v>
      </c>
      <c r="C56" s="59">
        <v>48</v>
      </c>
      <c r="D56" s="59">
        <v>50</v>
      </c>
      <c r="E56" s="59">
        <v>52</v>
      </c>
      <c r="F56" s="59">
        <v>1</v>
      </c>
      <c r="G56" s="59">
        <v>1</v>
      </c>
      <c r="H56" s="60">
        <v>0.1</v>
      </c>
      <c r="I56" s="69"/>
      <c r="J56" s="69"/>
      <c r="K56" s="69"/>
      <c r="L56" s="69"/>
      <c r="M56" s="69"/>
    </row>
    <row r="57" spans="1:13" ht="14.25">
      <c r="A57" s="68" t="s">
        <v>162</v>
      </c>
      <c r="B57" s="59">
        <v>80</v>
      </c>
      <c r="C57" s="59">
        <v>75</v>
      </c>
      <c r="D57" s="59">
        <v>78</v>
      </c>
      <c r="E57" s="59">
        <v>75</v>
      </c>
      <c r="F57" s="59">
        <v>1</v>
      </c>
      <c r="G57" s="59">
        <v>1</v>
      </c>
      <c r="H57" s="60">
        <v>0.2</v>
      </c>
      <c r="I57" s="69"/>
      <c r="J57" s="69"/>
      <c r="K57" s="69"/>
      <c r="L57" s="69"/>
      <c r="M57" s="69"/>
    </row>
    <row r="58" spans="1:13" ht="14.25">
      <c r="A58" s="68" t="s">
        <v>163</v>
      </c>
      <c r="B58" s="59">
        <v>90</v>
      </c>
      <c r="C58" s="59">
        <v>82</v>
      </c>
      <c r="D58" s="59">
        <v>83</v>
      </c>
      <c r="E58" s="59">
        <v>85</v>
      </c>
      <c r="F58" s="59">
        <v>1</v>
      </c>
      <c r="G58" s="59">
        <v>1</v>
      </c>
      <c r="H58" s="60">
        <v>0.3</v>
      </c>
      <c r="I58" s="69"/>
      <c r="J58" s="69"/>
      <c r="K58" s="69"/>
      <c r="L58" s="69"/>
      <c r="M58" s="69"/>
    </row>
    <row r="59" spans="1:13" ht="14.25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</row>
    <row r="60" spans="1:13" ht="14.25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</row>
    <row r="61" spans="1:13" ht="15.75">
      <c r="A61" s="170" t="str">
        <f>A45</f>
        <v>高亮LED</v>
      </c>
      <c r="B61" s="56"/>
      <c r="C61" s="56"/>
      <c r="D61" s="57" t="s">
        <v>147</v>
      </c>
      <c r="E61" s="69"/>
      <c r="F61" s="69"/>
      <c r="G61" s="69"/>
      <c r="H61" s="69"/>
      <c r="I61" s="69"/>
      <c r="J61" s="69"/>
      <c r="K61" s="69"/>
      <c r="L61" s="69"/>
      <c r="M61" s="69"/>
    </row>
    <row r="62" spans="1:13" ht="15.75">
      <c r="A62" s="170"/>
      <c r="B62" s="61" t="s">
        <v>149</v>
      </c>
      <c r="C62" s="62" t="s">
        <v>150</v>
      </c>
      <c r="D62" s="63">
        <v>1.5</v>
      </c>
      <c r="E62" s="69"/>
      <c r="F62" s="69"/>
      <c r="G62" s="69"/>
      <c r="H62" s="69"/>
      <c r="I62" s="69"/>
      <c r="J62" s="69"/>
      <c r="K62" s="69"/>
      <c r="L62" s="69"/>
      <c r="M62" s="69"/>
    </row>
    <row r="63" spans="1:13" ht="14.25">
      <c r="A63" s="170"/>
      <c r="B63" s="64">
        <v>0</v>
      </c>
      <c r="C63" s="64">
        <v>200</v>
      </c>
      <c r="D63" s="65">
        <v>1</v>
      </c>
      <c r="E63" s="69"/>
      <c r="F63" s="69"/>
      <c r="G63" s="69"/>
      <c r="H63" s="69"/>
      <c r="I63" s="69"/>
      <c r="J63" s="69"/>
      <c r="K63" s="69"/>
      <c r="L63" s="69"/>
      <c r="M63" s="69"/>
    </row>
    <row r="64" spans="1:13" ht="14.25">
      <c r="A64" s="170"/>
      <c r="B64" s="64">
        <v>201</v>
      </c>
      <c r="C64" s="64">
        <v>500</v>
      </c>
      <c r="D64" s="65">
        <v>0.95</v>
      </c>
      <c r="E64" s="69"/>
      <c r="F64" s="69"/>
      <c r="G64" s="69"/>
      <c r="H64" s="69"/>
      <c r="I64" s="69"/>
      <c r="J64" s="69"/>
      <c r="K64" s="69"/>
      <c r="L64" s="69"/>
      <c r="M64" s="69"/>
    </row>
    <row r="65" spans="1:13" ht="14.25">
      <c r="A65" s="170"/>
      <c r="B65" s="64">
        <v>501</v>
      </c>
      <c r="C65" s="64">
        <v>1000</v>
      </c>
      <c r="D65" s="65">
        <v>0.9</v>
      </c>
      <c r="E65" s="69"/>
      <c r="F65" s="69"/>
      <c r="G65" s="69"/>
      <c r="H65" s="69"/>
      <c r="I65" s="69"/>
      <c r="J65" s="69"/>
      <c r="K65" s="69"/>
      <c r="L65" s="69"/>
      <c r="M65" s="69"/>
    </row>
    <row r="66" spans="1:13" ht="14.25">
      <c r="A66" s="170"/>
      <c r="B66" s="64">
        <v>1001</v>
      </c>
      <c r="C66" s="64">
        <v>1500</v>
      </c>
      <c r="D66" s="65">
        <v>0.85</v>
      </c>
      <c r="E66" s="69"/>
      <c r="F66" s="69"/>
      <c r="G66" s="69"/>
      <c r="H66" s="69"/>
      <c r="I66" s="69"/>
      <c r="J66" s="69"/>
      <c r="K66" s="69"/>
      <c r="L66" s="69"/>
      <c r="M66" s="69"/>
    </row>
    <row r="67" spans="1:13" ht="14.25">
      <c r="A67" s="170"/>
      <c r="B67" s="64">
        <v>1501</v>
      </c>
      <c r="C67" s="64">
        <v>2000</v>
      </c>
      <c r="D67" s="65">
        <v>0.8</v>
      </c>
      <c r="E67" s="69"/>
      <c r="F67" s="69"/>
      <c r="G67" s="69"/>
      <c r="H67" s="69"/>
      <c r="I67" s="69"/>
      <c r="J67" s="69"/>
      <c r="K67" s="69"/>
      <c r="L67" s="69"/>
      <c r="M67" s="69"/>
    </row>
    <row r="68" spans="1:13" ht="14.25">
      <c r="A68" s="170"/>
      <c r="B68" s="64">
        <v>2001</v>
      </c>
      <c r="C68" s="64">
        <v>9999</v>
      </c>
      <c r="D68" s="65">
        <v>0.75</v>
      </c>
      <c r="E68" s="69"/>
      <c r="F68" s="69"/>
      <c r="G68" s="69"/>
      <c r="H68" s="69"/>
      <c r="I68" s="69"/>
      <c r="J68" s="69"/>
      <c r="K68" s="69"/>
      <c r="L68" s="69"/>
      <c r="M68" s="69"/>
    </row>
    <row r="69" spans="1:13" ht="15.75">
      <c r="A69" s="170" t="s">
        <v>151</v>
      </c>
      <c r="B69" s="56"/>
      <c r="C69" s="56"/>
      <c r="D69" s="57" t="s">
        <v>147</v>
      </c>
      <c r="E69" s="69"/>
      <c r="F69" s="69"/>
      <c r="G69" s="69"/>
      <c r="H69" s="69"/>
      <c r="I69" s="69"/>
      <c r="J69" s="69"/>
      <c r="K69" s="69"/>
      <c r="L69" s="69"/>
      <c r="M69" s="69"/>
    </row>
    <row r="70" spans="1:13" ht="15.75">
      <c r="A70" s="170"/>
      <c r="B70" s="61" t="s">
        <v>149</v>
      </c>
      <c r="C70" s="62" t="s">
        <v>150</v>
      </c>
      <c r="D70" s="63">
        <v>1.5</v>
      </c>
      <c r="E70" s="69"/>
      <c r="F70" s="69"/>
      <c r="G70" s="69"/>
      <c r="H70" s="69"/>
      <c r="I70" s="69"/>
      <c r="J70" s="69"/>
      <c r="K70" s="69"/>
      <c r="L70" s="69"/>
      <c r="M70" s="69"/>
    </row>
    <row r="71" spans="1:13" ht="14.25">
      <c r="A71" s="170"/>
      <c r="B71" s="64">
        <v>0</v>
      </c>
      <c r="C71" s="64">
        <v>200</v>
      </c>
      <c r="D71" s="65">
        <v>1</v>
      </c>
      <c r="E71" s="69"/>
      <c r="F71" s="69"/>
      <c r="G71" s="69"/>
      <c r="H71" s="69"/>
      <c r="I71" s="69"/>
      <c r="J71" s="69"/>
      <c r="K71" s="69"/>
      <c r="L71" s="69"/>
      <c r="M71" s="69"/>
    </row>
    <row r="72" spans="1:13" ht="14.25">
      <c r="A72" s="170"/>
      <c r="B72" s="64">
        <v>201</v>
      </c>
      <c r="C72" s="64">
        <v>500</v>
      </c>
      <c r="D72" s="65">
        <v>0.95</v>
      </c>
      <c r="E72" s="69"/>
      <c r="F72" s="69"/>
      <c r="G72" s="69"/>
      <c r="H72" s="69"/>
      <c r="I72" s="69"/>
      <c r="J72" s="69"/>
      <c r="K72" s="69"/>
      <c r="L72" s="69"/>
      <c r="M72" s="69"/>
    </row>
    <row r="73" spans="1:13" ht="14.25">
      <c r="A73" s="170"/>
      <c r="B73" s="64">
        <v>501</v>
      </c>
      <c r="C73" s="64">
        <v>1000</v>
      </c>
      <c r="D73" s="65">
        <v>0.9</v>
      </c>
      <c r="E73" s="69"/>
      <c r="F73" s="69"/>
      <c r="G73" s="69"/>
      <c r="H73" s="69"/>
      <c r="I73" s="69"/>
      <c r="J73" s="69"/>
      <c r="K73" s="69"/>
      <c r="L73" s="69"/>
      <c r="M73" s="69"/>
    </row>
    <row r="74" spans="1:13" ht="14.25">
      <c r="A74" s="170"/>
      <c r="B74" s="64">
        <v>1001</v>
      </c>
      <c r="C74" s="64">
        <v>1500</v>
      </c>
      <c r="D74" s="65">
        <v>0.85</v>
      </c>
      <c r="E74" s="69"/>
      <c r="F74" s="69"/>
      <c r="G74" s="69"/>
      <c r="H74" s="69"/>
      <c r="I74" s="69"/>
      <c r="J74" s="69"/>
      <c r="K74" s="69"/>
      <c r="L74" s="69"/>
      <c r="M74" s="69"/>
    </row>
    <row r="75" spans="1:13" ht="14.25">
      <c r="A75" s="170"/>
      <c r="B75" s="64">
        <v>1501</v>
      </c>
      <c r="C75" s="64">
        <v>2000</v>
      </c>
      <c r="D75" s="65">
        <v>0.8</v>
      </c>
      <c r="E75" s="69"/>
      <c r="F75" s="69"/>
      <c r="G75" s="69"/>
      <c r="H75" s="69"/>
      <c r="I75" s="69"/>
      <c r="J75" s="69"/>
      <c r="K75" s="69"/>
      <c r="L75" s="69"/>
      <c r="M75" s="69"/>
    </row>
    <row r="76" spans="1:13" ht="14.25">
      <c r="A76" s="170"/>
      <c r="B76" s="64">
        <v>2001</v>
      </c>
      <c r="C76" s="64">
        <v>9999</v>
      </c>
      <c r="D76" s="65">
        <v>0.75</v>
      </c>
      <c r="E76" s="69"/>
      <c r="F76" s="69"/>
      <c r="G76" s="69"/>
      <c r="H76" s="69"/>
      <c r="I76" s="69"/>
      <c r="J76" s="69"/>
      <c r="K76" s="69"/>
      <c r="L76" s="69"/>
      <c r="M76" s="69"/>
    </row>
    <row r="77" spans="1:13" ht="15.75">
      <c r="A77" s="170" t="s">
        <v>152</v>
      </c>
      <c r="B77" s="56"/>
      <c r="C77" s="56"/>
      <c r="D77" s="57" t="s">
        <v>147</v>
      </c>
      <c r="E77" s="69"/>
      <c r="F77" s="69"/>
      <c r="G77" s="69"/>
      <c r="H77" s="69"/>
      <c r="I77" s="69"/>
      <c r="J77" s="69"/>
      <c r="K77" s="69"/>
      <c r="L77" s="69"/>
      <c r="M77" s="69"/>
    </row>
    <row r="78" spans="1:13" ht="15.75">
      <c r="A78" s="170"/>
      <c r="B78" s="61" t="s">
        <v>149</v>
      </c>
      <c r="C78" s="62" t="s">
        <v>150</v>
      </c>
      <c r="D78" s="63">
        <v>1.5</v>
      </c>
      <c r="E78" s="69"/>
      <c r="F78" s="69"/>
      <c r="G78" s="69"/>
      <c r="H78" s="69"/>
      <c r="I78" s="69"/>
      <c r="J78" s="69"/>
      <c r="K78" s="69"/>
      <c r="L78" s="69"/>
      <c r="M78" s="69"/>
    </row>
    <row r="79" spans="1:13" ht="14.25">
      <c r="A79" s="170"/>
      <c r="B79" s="64">
        <v>0</v>
      </c>
      <c r="C79" s="64">
        <v>200</v>
      </c>
      <c r="D79" s="65">
        <v>1</v>
      </c>
      <c r="E79" s="69"/>
      <c r="F79" s="69"/>
      <c r="G79" s="69"/>
      <c r="H79" s="69"/>
      <c r="I79" s="69"/>
      <c r="J79" s="69"/>
      <c r="K79" s="69"/>
      <c r="L79" s="69"/>
      <c r="M79" s="69"/>
    </row>
    <row r="80" spans="1:13" ht="14.25">
      <c r="A80" s="170"/>
      <c r="B80" s="64">
        <v>201</v>
      </c>
      <c r="C80" s="64">
        <v>500</v>
      </c>
      <c r="D80" s="65">
        <v>0.95</v>
      </c>
      <c r="E80" s="69"/>
      <c r="F80" s="69"/>
      <c r="G80" s="69"/>
      <c r="H80" s="69"/>
      <c r="I80" s="69"/>
      <c r="J80" s="69"/>
      <c r="K80" s="69"/>
      <c r="L80" s="69"/>
      <c r="M80" s="69"/>
    </row>
    <row r="81" spans="1:13" ht="14.25">
      <c r="A81" s="170"/>
      <c r="B81" s="64">
        <v>501</v>
      </c>
      <c r="C81" s="64">
        <v>1000</v>
      </c>
      <c r="D81" s="65">
        <v>0.9</v>
      </c>
      <c r="E81" s="69"/>
      <c r="F81" s="69"/>
      <c r="G81" s="69"/>
      <c r="H81" s="69"/>
      <c r="I81" s="69"/>
      <c r="J81" s="69"/>
      <c r="K81" s="69"/>
      <c r="L81" s="69"/>
      <c r="M81" s="69"/>
    </row>
    <row r="82" spans="1:13" ht="14.25">
      <c r="A82" s="170"/>
      <c r="B82" s="64">
        <v>1001</v>
      </c>
      <c r="C82" s="64">
        <v>1500</v>
      </c>
      <c r="D82" s="65">
        <v>0.85</v>
      </c>
      <c r="E82" s="69"/>
      <c r="F82" s="69"/>
      <c r="G82" s="69"/>
      <c r="H82" s="69"/>
      <c r="I82" s="69"/>
      <c r="J82" s="69"/>
      <c r="K82" s="69"/>
      <c r="L82" s="69"/>
      <c r="M82" s="69"/>
    </row>
    <row r="83" spans="1:13" ht="14.25">
      <c r="A83" s="170"/>
      <c r="B83" s="64">
        <v>1501</v>
      </c>
      <c r="C83" s="64">
        <v>2000</v>
      </c>
      <c r="D83" s="65">
        <v>0.8</v>
      </c>
      <c r="E83" s="69"/>
      <c r="F83" s="69"/>
      <c r="G83" s="69"/>
      <c r="H83" s="69"/>
      <c r="I83" s="69"/>
      <c r="J83" s="69"/>
      <c r="K83" s="69"/>
      <c r="L83" s="69"/>
      <c r="M83" s="69"/>
    </row>
    <row r="84" spans="1:13" ht="14.25">
      <c r="A84" s="170"/>
      <c r="B84" s="64">
        <v>2001</v>
      </c>
      <c r="C84" s="64">
        <v>9999</v>
      </c>
      <c r="D84" s="65">
        <v>0.75</v>
      </c>
      <c r="E84" s="69"/>
      <c r="F84" s="69"/>
      <c r="G84" s="69"/>
      <c r="H84" s="69"/>
      <c r="I84" s="69"/>
      <c r="J84" s="69"/>
      <c r="K84" s="69"/>
      <c r="L84" s="69"/>
      <c r="M84" s="69"/>
    </row>
    <row r="85" spans="1:13" ht="15.75">
      <c r="A85" s="170" t="s">
        <v>164</v>
      </c>
      <c r="B85" s="56"/>
      <c r="C85" s="56"/>
      <c r="D85" s="57" t="s">
        <v>147</v>
      </c>
      <c r="E85" s="69"/>
      <c r="F85" s="69"/>
      <c r="G85" s="69"/>
      <c r="H85" s="69"/>
      <c r="I85" s="69"/>
      <c r="J85" s="69"/>
      <c r="K85" s="69"/>
      <c r="L85" s="69"/>
      <c r="M85" s="69"/>
    </row>
    <row r="86" spans="1:13" ht="15.75">
      <c r="A86" s="170"/>
      <c r="B86" s="61" t="s">
        <v>149</v>
      </c>
      <c r="C86" s="62" t="s">
        <v>150</v>
      </c>
      <c r="D86" s="63">
        <v>1.5</v>
      </c>
      <c r="E86" s="69"/>
      <c r="F86" s="69"/>
      <c r="G86" s="69"/>
      <c r="H86" s="69"/>
      <c r="I86" s="69"/>
      <c r="J86" s="69"/>
      <c r="K86" s="69"/>
      <c r="L86" s="69"/>
      <c r="M86" s="69"/>
    </row>
    <row r="87" spans="1:13" ht="14.25">
      <c r="A87" s="170"/>
      <c r="B87" s="64">
        <v>0</v>
      </c>
      <c r="C87" s="64">
        <v>200</v>
      </c>
      <c r="D87" s="65">
        <v>1</v>
      </c>
      <c r="E87" s="69"/>
      <c r="F87" s="69"/>
      <c r="G87" s="69"/>
      <c r="H87" s="69"/>
      <c r="I87" s="69"/>
      <c r="J87" s="69"/>
      <c r="K87" s="69"/>
      <c r="L87" s="69"/>
      <c r="M87" s="69"/>
    </row>
    <row r="88" spans="1:13" ht="14.25">
      <c r="A88" s="170"/>
      <c r="B88" s="64">
        <v>201</v>
      </c>
      <c r="C88" s="64">
        <v>500</v>
      </c>
      <c r="D88" s="65">
        <v>0.95</v>
      </c>
      <c r="E88" s="69"/>
      <c r="F88" s="69"/>
      <c r="G88" s="69"/>
      <c r="H88" s="69"/>
      <c r="I88" s="69"/>
      <c r="J88" s="69"/>
      <c r="K88" s="69"/>
      <c r="L88" s="69"/>
      <c r="M88" s="69"/>
    </row>
    <row r="89" spans="1:13" ht="14.25">
      <c r="A89" s="170"/>
      <c r="B89" s="64">
        <v>501</v>
      </c>
      <c r="C89" s="64">
        <v>1000</v>
      </c>
      <c r="D89" s="65">
        <v>0.9</v>
      </c>
      <c r="E89" s="69"/>
      <c r="F89" s="69"/>
      <c r="G89" s="69"/>
      <c r="H89" s="69"/>
      <c r="I89" s="69"/>
      <c r="J89" s="69"/>
      <c r="K89" s="69"/>
      <c r="L89" s="69"/>
      <c r="M89" s="69"/>
    </row>
    <row r="90" spans="1:13" ht="14.25">
      <c r="A90" s="170"/>
      <c r="B90" s="64">
        <v>1001</v>
      </c>
      <c r="C90" s="64">
        <v>1500</v>
      </c>
      <c r="D90" s="65">
        <v>0.85</v>
      </c>
      <c r="E90" s="69"/>
      <c r="F90" s="69"/>
      <c r="G90" s="69"/>
      <c r="H90" s="69"/>
      <c r="I90" s="69"/>
      <c r="J90" s="69"/>
      <c r="K90" s="69"/>
      <c r="L90" s="69"/>
      <c r="M90" s="69"/>
    </row>
    <row r="91" spans="1:13" ht="14.25">
      <c r="A91" s="170"/>
      <c r="B91" s="64">
        <v>1501</v>
      </c>
      <c r="C91" s="64">
        <v>2000</v>
      </c>
      <c r="D91" s="65">
        <v>0.8</v>
      </c>
      <c r="E91" s="69"/>
      <c r="F91" s="69"/>
      <c r="G91" s="69"/>
      <c r="H91" s="69"/>
      <c r="I91" s="69"/>
      <c r="J91" s="69"/>
      <c r="K91" s="69"/>
      <c r="L91" s="69"/>
      <c r="M91" s="69"/>
    </row>
    <row r="92" spans="1:13" ht="14.25">
      <c r="A92" s="170"/>
      <c r="B92" s="64">
        <v>2001</v>
      </c>
      <c r="C92" s="64">
        <v>9999</v>
      </c>
      <c r="D92" s="65">
        <v>0.75</v>
      </c>
      <c r="E92" s="69"/>
      <c r="F92" s="69"/>
      <c r="G92" s="69"/>
      <c r="H92" s="69"/>
      <c r="I92" s="69"/>
      <c r="J92" s="69"/>
      <c r="K92" s="69"/>
      <c r="L92" s="69"/>
      <c r="M92" s="69"/>
    </row>
    <row r="93" spans="1:13" ht="15.75">
      <c r="A93" s="170" t="s">
        <v>165</v>
      </c>
      <c r="B93" s="56"/>
      <c r="C93" s="56"/>
      <c r="D93" s="57" t="s">
        <v>147</v>
      </c>
      <c r="E93" s="69"/>
      <c r="F93" s="69"/>
      <c r="G93" s="69"/>
      <c r="H93" s="69"/>
      <c r="I93" s="69"/>
      <c r="J93" s="69"/>
      <c r="K93" s="69"/>
      <c r="L93" s="69"/>
      <c r="M93" s="69"/>
    </row>
    <row r="94" spans="1:13" ht="15.75">
      <c r="A94" s="170"/>
      <c r="B94" s="61" t="s">
        <v>149</v>
      </c>
      <c r="C94" s="62" t="s">
        <v>150</v>
      </c>
      <c r="D94" s="63">
        <v>1.5</v>
      </c>
      <c r="E94" s="69"/>
      <c r="F94" s="69"/>
      <c r="G94" s="69"/>
      <c r="H94" s="69"/>
      <c r="I94" s="69"/>
      <c r="J94" s="69"/>
      <c r="K94" s="69"/>
      <c r="L94" s="69"/>
      <c r="M94" s="69"/>
    </row>
    <row r="95" spans="1:13" ht="14.25">
      <c r="A95" s="170"/>
      <c r="B95" s="64">
        <v>0</v>
      </c>
      <c r="C95" s="64">
        <v>200</v>
      </c>
      <c r="D95" s="65">
        <v>1</v>
      </c>
      <c r="E95" s="69"/>
      <c r="F95" s="69"/>
      <c r="G95" s="69"/>
      <c r="H95" s="69"/>
      <c r="I95" s="69"/>
      <c r="J95" s="69"/>
      <c r="K95" s="69"/>
      <c r="L95" s="69"/>
      <c r="M95" s="69"/>
    </row>
    <row r="96" spans="1:13" ht="14.25">
      <c r="A96" s="170"/>
      <c r="B96" s="64">
        <v>201</v>
      </c>
      <c r="C96" s="64">
        <v>500</v>
      </c>
      <c r="D96" s="65">
        <v>0.95</v>
      </c>
      <c r="E96" s="69"/>
      <c r="F96" s="69"/>
      <c r="G96" s="69"/>
      <c r="H96" s="69"/>
      <c r="I96" s="69"/>
      <c r="J96" s="69"/>
      <c r="K96" s="69"/>
      <c r="L96" s="69"/>
      <c r="M96" s="69"/>
    </row>
    <row r="97" spans="1:13" ht="14.25">
      <c r="A97" s="170"/>
      <c r="B97" s="64">
        <v>501</v>
      </c>
      <c r="C97" s="64">
        <v>1000</v>
      </c>
      <c r="D97" s="65">
        <v>0.9</v>
      </c>
      <c r="E97" s="69"/>
      <c r="F97" s="69"/>
      <c r="G97" s="69"/>
      <c r="H97" s="69"/>
      <c r="I97" s="69"/>
      <c r="J97" s="69"/>
      <c r="K97" s="69"/>
      <c r="L97" s="69"/>
      <c r="M97" s="69"/>
    </row>
    <row r="98" spans="1:13" ht="14.25">
      <c r="A98" s="170"/>
      <c r="B98" s="64">
        <v>1001</v>
      </c>
      <c r="C98" s="64">
        <v>1500</v>
      </c>
      <c r="D98" s="65">
        <v>0.85</v>
      </c>
      <c r="E98" s="69"/>
      <c r="F98" s="69"/>
      <c r="G98" s="69"/>
      <c r="H98" s="69"/>
      <c r="I98" s="69"/>
      <c r="J98" s="69"/>
      <c r="K98" s="69"/>
      <c r="L98" s="69"/>
      <c r="M98" s="69"/>
    </row>
    <row r="99" spans="1:13" ht="14.25">
      <c r="A99" s="170"/>
      <c r="B99" s="64">
        <v>1501</v>
      </c>
      <c r="C99" s="64">
        <v>2000</v>
      </c>
      <c r="D99" s="65">
        <v>0.8</v>
      </c>
      <c r="E99" s="69"/>
      <c r="F99" s="69"/>
      <c r="G99" s="69"/>
      <c r="H99" s="69"/>
      <c r="I99" s="69"/>
      <c r="J99" s="69"/>
      <c r="K99" s="69"/>
      <c r="L99" s="69"/>
      <c r="M99" s="69"/>
    </row>
    <row r="100" spans="1:13" ht="14.25">
      <c r="A100" s="170"/>
      <c r="B100" s="64">
        <v>2001</v>
      </c>
      <c r="C100" s="64">
        <v>9999</v>
      </c>
      <c r="D100" s="65">
        <v>0.75</v>
      </c>
      <c r="E100" s="69"/>
      <c r="F100" s="69"/>
      <c r="G100" s="69"/>
      <c r="H100" s="69"/>
      <c r="I100" s="69"/>
      <c r="J100" s="69"/>
      <c r="K100" s="69"/>
      <c r="L100" s="69"/>
      <c r="M100" s="69"/>
    </row>
    <row r="101" spans="1:13" ht="15.75">
      <c r="A101" s="170" t="s">
        <v>155</v>
      </c>
      <c r="B101" s="56"/>
      <c r="C101" s="56"/>
      <c r="D101" s="57" t="s">
        <v>147</v>
      </c>
      <c r="E101" s="69"/>
      <c r="F101" s="69"/>
      <c r="G101" s="69"/>
      <c r="H101" s="69"/>
      <c r="I101" s="69"/>
      <c r="J101" s="69"/>
      <c r="K101" s="69"/>
      <c r="L101" s="69"/>
      <c r="M101" s="69"/>
    </row>
    <row r="102" spans="1:13" ht="15.75">
      <c r="A102" s="170"/>
      <c r="B102" s="61" t="s">
        <v>149</v>
      </c>
      <c r="C102" s="62" t="s">
        <v>150</v>
      </c>
      <c r="D102" s="63">
        <v>1.5</v>
      </c>
      <c r="E102" s="69"/>
      <c r="F102" s="69"/>
      <c r="G102" s="69"/>
      <c r="H102" s="69"/>
      <c r="I102" s="69"/>
      <c r="J102" s="69"/>
      <c r="K102" s="69"/>
      <c r="L102" s="69"/>
      <c r="M102" s="69"/>
    </row>
    <row r="103" spans="1:13" ht="14.25">
      <c r="A103" s="170"/>
      <c r="B103" s="64">
        <v>0</v>
      </c>
      <c r="C103" s="64">
        <v>200</v>
      </c>
      <c r="D103" s="65">
        <v>1</v>
      </c>
      <c r="E103" s="69"/>
      <c r="F103" s="69"/>
      <c r="G103" s="69"/>
      <c r="H103" s="69"/>
      <c r="I103" s="69"/>
      <c r="J103" s="69"/>
      <c r="K103" s="69"/>
      <c r="L103" s="69"/>
      <c r="M103" s="69"/>
    </row>
    <row r="104" spans="1:13" ht="14.25">
      <c r="A104" s="170"/>
      <c r="B104" s="64">
        <v>201</v>
      </c>
      <c r="C104" s="64">
        <v>500</v>
      </c>
      <c r="D104" s="65">
        <v>0.95</v>
      </c>
      <c r="E104" s="69"/>
      <c r="F104" s="69"/>
      <c r="G104" s="69"/>
      <c r="H104" s="69"/>
      <c r="I104" s="69"/>
      <c r="J104" s="69"/>
      <c r="K104" s="69"/>
      <c r="L104" s="69"/>
      <c r="M104" s="69"/>
    </row>
    <row r="105" spans="1:13" ht="14.25">
      <c r="A105" s="170"/>
      <c r="B105" s="64">
        <v>501</v>
      </c>
      <c r="C105" s="64">
        <v>1000</v>
      </c>
      <c r="D105" s="65">
        <v>0.9</v>
      </c>
      <c r="E105" s="69"/>
      <c r="F105" s="69"/>
      <c r="G105" s="69"/>
      <c r="H105" s="69"/>
      <c r="I105" s="69"/>
      <c r="J105" s="69"/>
      <c r="K105" s="69"/>
      <c r="L105" s="69"/>
      <c r="M105" s="69"/>
    </row>
    <row r="106" spans="1:13" ht="14.25">
      <c r="A106" s="170"/>
      <c r="B106" s="64">
        <v>1001</v>
      </c>
      <c r="C106" s="64">
        <v>1500</v>
      </c>
      <c r="D106" s="65">
        <v>0.85</v>
      </c>
      <c r="E106" s="69"/>
      <c r="F106" s="69"/>
      <c r="G106" s="69"/>
      <c r="H106" s="69"/>
      <c r="I106" s="69"/>
      <c r="J106" s="69"/>
      <c r="K106" s="69"/>
      <c r="L106" s="69"/>
      <c r="M106" s="69"/>
    </row>
    <row r="107" spans="1:13" ht="14.25">
      <c r="A107" s="170"/>
      <c r="B107" s="64">
        <v>1501</v>
      </c>
      <c r="C107" s="64">
        <v>2000</v>
      </c>
      <c r="D107" s="65">
        <v>0.8</v>
      </c>
      <c r="E107" s="69"/>
      <c r="F107" s="69"/>
      <c r="G107" s="69"/>
      <c r="H107" s="69"/>
      <c r="I107" s="69"/>
      <c r="J107" s="69"/>
      <c r="K107" s="69"/>
      <c r="L107" s="69"/>
      <c r="M107" s="69"/>
    </row>
    <row r="108" spans="1:13" ht="14.25">
      <c r="A108" s="170"/>
      <c r="B108" s="64">
        <v>2001</v>
      </c>
      <c r="C108" s="64">
        <v>9999</v>
      </c>
      <c r="D108" s="65">
        <v>0.75</v>
      </c>
      <c r="E108" s="69"/>
      <c r="F108" s="69"/>
      <c r="G108" s="69"/>
      <c r="H108" s="69"/>
      <c r="I108" s="69"/>
      <c r="J108" s="69"/>
      <c r="K108" s="69"/>
      <c r="L108" s="69"/>
      <c r="M108" s="69"/>
    </row>
    <row r="109" spans="1:13" ht="15.75">
      <c r="A109" s="170" t="s">
        <v>156</v>
      </c>
      <c r="B109" s="56"/>
      <c r="C109" s="56"/>
      <c r="D109" s="57" t="s">
        <v>147</v>
      </c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1:13" ht="15.75">
      <c r="A110" s="170"/>
      <c r="B110" s="61" t="s">
        <v>149</v>
      </c>
      <c r="C110" s="62" t="s">
        <v>150</v>
      </c>
      <c r="D110" s="63">
        <v>1.5</v>
      </c>
      <c r="E110" s="69"/>
      <c r="F110" s="69"/>
      <c r="G110" s="69"/>
      <c r="H110" s="69"/>
      <c r="I110" s="69"/>
      <c r="J110" s="69"/>
      <c r="K110" s="69"/>
      <c r="L110" s="69"/>
      <c r="M110" s="69"/>
    </row>
    <row r="111" spans="1:13" ht="14.25">
      <c r="A111" s="170"/>
      <c r="B111" s="64">
        <v>0</v>
      </c>
      <c r="C111" s="64">
        <v>200</v>
      </c>
      <c r="D111" s="65">
        <v>1</v>
      </c>
      <c r="E111" s="69"/>
      <c r="F111" s="69"/>
      <c r="G111" s="69"/>
      <c r="H111" s="69"/>
      <c r="I111" s="69"/>
      <c r="J111" s="69"/>
      <c r="K111" s="69"/>
      <c r="L111" s="69"/>
      <c r="M111" s="69"/>
    </row>
    <row r="112" spans="1:13" ht="14.25">
      <c r="A112" s="170"/>
      <c r="B112" s="64">
        <v>201</v>
      </c>
      <c r="C112" s="64">
        <v>500</v>
      </c>
      <c r="D112" s="65">
        <v>0.95</v>
      </c>
      <c r="E112" s="69"/>
      <c r="F112" s="69"/>
      <c r="G112" s="69"/>
      <c r="H112" s="69"/>
      <c r="I112" s="69"/>
      <c r="J112" s="69"/>
      <c r="K112" s="69"/>
      <c r="L112" s="69"/>
      <c r="M112" s="69"/>
    </row>
    <row r="113" spans="1:13" ht="14.25">
      <c r="A113" s="170"/>
      <c r="B113" s="64">
        <v>501</v>
      </c>
      <c r="C113" s="64">
        <v>1000</v>
      </c>
      <c r="D113" s="65">
        <v>0.9</v>
      </c>
      <c r="E113" s="69"/>
      <c r="F113" s="69"/>
      <c r="G113" s="69"/>
      <c r="H113" s="69"/>
      <c r="I113" s="69"/>
      <c r="J113" s="69"/>
      <c r="K113" s="69"/>
      <c r="L113" s="69"/>
      <c r="M113" s="69"/>
    </row>
    <row r="114" spans="1:13" ht="14.25">
      <c r="A114" s="170"/>
      <c r="B114" s="64">
        <v>1001</v>
      </c>
      <c r="C114" s="64">
        <v>1500</v>
      </c>
      <c r="D114" s="65">
        <v>0.85</v>
      </c>
      <c r="E114" s="69"/>
      <c r="F114" s="69"/>
      <c r="G114" s="69"/>
      <c r="H114" s="69"/>
      <c r="I114" s="69"/>
      <c r="J114" s="69"/>
      <c r="K114" s="69"/>
      <c r="L114" s="69"/>
      <c r="M114" s="69"/>
    </row>
    <row r="115" spans="1:13" ht="14.25">
      <c r="A115" s="170"/>
      <c r="B115" s="64">
        <v>1501</v>
      </c>
      <c r="C115" s="64">
        <v>2000</v>
      </c>
      <c r="D115" s="65">
        <v>0.8</v>
      </c>
      <c r="E115" s="69"/>
      <c r="F115" s="69"/>
      <c r="G115" s="69"/>
      <c r="H115" s="69"/>
      <c r="I115" s="69"/>
      <c r="J115" s="69"/>
      <c r="K115" s="69"/>
      <c r="L115" s="69"/>
      <c r="M115" s="69"/>
    </row>
    <row r="116" spans="1:13" ht="14.25">
      <c r="A116" s="170"/>
      <c r="B116" s="64">
        <v>2001</v>
      </c>
      <c r="C116" s="64">
        <v>9999</v>
      </c>
      <c r="D116" s="65">
        <v>0.75</v>
      </c>
      <c r="E116" s="69"/>
      <c r="F116" s="69"/>
      <c r="G116" s="69"/>
      <c r="H116" s="69"/>
      <c r="I116" s="69"/>
      <c r="J116" s="69"/>
      <c r="K116" s="69"/>
      <c r="L116" s="69"/>
      <c r="M116" s="69"/>
    </row>
    <row r="117" spans="1:13" ht="15.75">
      <c r="A117" s="170" t="s">
        <v>157</v>
      </c>
      <c r="B117" s="56"/>
      <c r="C117" s="56"/>
      <c r="D117" s="57" t="s">
        <v>147</v>
      </c>
      <c r="E117" s="69"/>
      <c r="F117" s="69"/>
      <c r="G117" s="69"/>
      <c r="H117" s="69"/>
      <c r="I117" s="69"/>
      <c r="J117" s="69"/>
      <c r="K117" s="69"/>
      <c r="L117" s="69"/>
      <c r="M117" s="69"/>
    </row>
    <row r="118" spans="1:13" ht="15.75">
      <c r="A118" s="170"/>
      <c r="B118" s="61" t="s">
        <v>149</v>
      </c>
      <c r="C118" s="62" t="s">
        <v>150</v>
      </c>
      <c r="D118" s="63">
        <v>1.5</v>
      </c>
      <c r="E118" s="69"/>
      <c r="F118" s="69"/>
      <c r="G118" s="69"/>
      <c r="H118" s="69"/>
      <c r="I118" s="69"/>
      <c r="J118" s="69"/>
      <c r="K118" s="69"/>
      <c r="L118" s="69"/>
      <c r="M118" s="69"/>
    </row>
    <row r="119" spans="1:13" ht="14.25">
      <c r="A119" s="170"/>
      <c r="B119" s="64">
        <v>0</v>
      </c>
      <c r="C119" s="64">
        <v>200</v>
      </c>
      <c r="D119" s="65">
        <v>1</v>
      </c>
      <c r="E119" s="69"/>
      <c r="F119" s="69"/>
      <c r="G119" s="69"/>
      <c r="H119" s="69"/>
      <c r="I119" s="69"/>
      <c r="J119" s="69"/>
      <c r="K119" s="69"/>
      <c r="L119" s="69"/>
      <c r="M119" s="69"/>
    </row>
    <row r="120" spans="1:13" ht="14.25">
      <c r="A120" s="170"/>
      <c r="B120" s="64">
        <v>201</v>
      </c>
      <c r="C120" s="64">
        <v>500</v>
      </c>
      <c r="D120" s="65">
        <v>0.95</v>
      </c>
      <c r="E120" s="69"/>
      <c r="F120" s="69"/>
      <c r="G120" s="69"/>
      <c r="H120" s="69"/>
      <c r="I120" s="69"/>
      <c r="J120" s="69"/>
      <c r="K120" s="69"/>
      <c r="L120" s="69"/>
      <c r="M120" s="69"/>
    </row>
    <row r="121" spans="1:13" ht="14.25">
      <c r="A121" s="170"/>
      <c r="B121" s="64">
        <v>501</v>
      </c>
      <c r="C121" s="64">
        <v>1000</v>
      </c>
      <c r="D121" s="65">
        <v>0.9</v>
      </c>
      <c r="E121" s="69"/>
      <c r="F121" s="69"/>
      <c r="G121" s="69"/>
      <c r="H121" s="69"/>
      <c r="I121" s="69"/>
      <c r="J121" s="69"/>
      <c r="K121" s="69"/>
      <c r="L121" s="69"/>
      <c r="M121" s="69"/>
    </row>
    <row r="122" spans="1:13" ht="14.25">
      <c r="A122" s="170"/>
      <c r="B122" s="64">
        <v>1001</v>
      </c>
      <c r="C122" s="64">
        <v>1500</v>
      </c>
      <c r="D122" s="65">
        <v>0.85</v>
      </c>
      <c r="E122" s="69"/>
      <c r="F122" s="69"/>
      <c r="G122" s="69"/>
      <c r="H122" s="69"/>
      <c r="I122" s="69"/>
      <c r="J122" s="69"/>
      <c r="K122" s="69"/>
      <c r="L122" s="69"/>
      <c r="M122" s="69"/>
    </row>
    <row r="123" spans="1:13" ht="14.25">
      <c r="A123" s="170"/>
      <c r="B123" s="64">
        <v>1501</v>
      </c>
      <c r="C123" s="64">
        <v>2000</v>
      </c>
      <c r="D123" s="65">
        <v>0.8</v>
      </c>
      <c r="E123" s="69"/>
      <c r="F123" s="69"/>
      <c r="G123" s="69"/>
      <c r="H123" s="69"/>
      <c r="I123" s="69"/>
      <c r="J123" s="69"/>
      <c r="K123" s="69"/>
      <c r="L123" s="69"/>
      <c r="M123" s="69"/>
    </row>
    <row r="124" spans="1:13" ht="14.25">
      <c r="A124" s="170"/>
      <c r="B124" s="64">
        <v>2001</v>
      </c>
      <c r="C124" s="64">
        <v>9999</v>
      </c>
      <c r="D124" s="65">
        <v>0.75</v>
      </c>
      <c r="E124" s="69"/>
      <c r="F124" s="69"/>
      <c r="G124" s="69"/>
      <c r="H124" s="69"/>
      <c r="I124" s="69"/>
      <c r="J124" s="69"/>
      <c r="K124" s="69"/>
      <c r="L124" s="69"/>
      <c r="M124" s="69"/>
    </row>
    <row r="125" spans="1:13" ht="15.75">
      <c r="A125" s="170" t="s">
        <v>158</v>
      </c>
      <c r="B125" s="56"/>
      <c r="C125" s="56"/>
      <c r="D125" s="57" t="s">
        <v>147</v>
      </c>
      <c r="E125" s="69"/>
      <c r="F125" s="69"/>
      <c r="G125" s="69"/>
      <c r="H125" s="69"/>
      <c r="I125" s="69"/>
      <c r="J125" s="69"/>
      <c r="K125" s="69"/>
      <c r="L125" s="69"/>
      <c r="M125" s="69"/>
    </row>
    <row r="126" spans="1:13" ht="15.75">
      <c r="A126" s="170"/>
      <c r="B126" s="61" t="s">
        <v>149</v>
      </c>
      <c r="C126" s="62" t="s">
        <v>150</v>
      </c>
      <c r="D126" s="63">
        <v>1.5</v>
      </c>
      <c r="E126" s="69"/>
      <c r="F126" s="69"/>
      <c r="G126" s="69"/>
      <c r="H126" s="69"/>
      <c r="I126" s="69"/>
      <c r="J126" s="69"/>
      <c r="K126" s="69"/>
      <c r="L126" s="69"/>
      <c r="M126" s="69"/>
    </row>
    <row r="127" spans="1:13" ht="14.25">
      <c r="A127" s="170"/>
      <c r="B127" s="64">
        <v>0</v>
      </c>
      <c r="C127" s="64">
        <v>200</v>
      </c>
      <c r="D127" s="65">
        <v>1</v>
      </c>
      <c r="E127" s="69"/>
      <c r="F127" s="69"/>
      <c r="G127" s="69"/>
      <c r="H127" s="69"/>
      <c r="I127" s="69"/>
      <c r="J127" s="69"/>
      <c r="K127" s="69"/>
      <c r="L127" s="69"/>
      <c r="M127" s="69"/>
    </row>
    <row r="128" spans="1:13" ht="14.25">
      <c r="A128" s="170"/>
      <c r="B128" s="64">
        <v>201</v>
      </c>
      <c r="C128" s="64">
        <v>500</v>
      </c>
      <c r="D128" s="65">
        <v>0.95</v>
      </c>
      <c r="E128" s="69"/>
      <c r="F128" s="69"/>
      <c r="G128" s="69"/>
      <c r="H128" s="69"/>
      <c r="I128" s="69"/>
      <c r="J128" s="69"/>
      <c r="K128" s="69"/>
      <c r="L128" s="69"/>
      <c r="M128" s="69"/>
    </row>
    <row r="129" spans="1:13" ht="14.25">
      <c r="A129" s="170"/>
      <c r="B129" s="64">
        <v>501</v>
      </c>
      <c r="C129" s="64">
        <v>1000</v>
      </c>
      <c r="D129" s="65">
        <v>0.9</v>
      </c>
      <c r="E129" s="69"/>
      <c r="F129" s="69"/>
      <c r="G129" s="69"/>
      <c r="H129" s="69"/>
      <c r="I129" s="69"/>
      <c r="J129" s="69"/>
      <c r="K129" s="69"/>
      <c r="L129" s="69"/>
      <c r="M129" s="69"/>
    </row>
    <row r="130" spans="1:13" ht="14.25">
      <c r="A130" s="170"/>
      <c r="B130" s="64">
        <v>1001</v>
      </c>
      <c r="C130" s="64">
        <v>1500</v>
      </c>
      <c r="D130" s="65">
        <v>0.85</v>
      </c>
      <c r="E130" s="69"/>
      <c r="F130" s="69"/>
      <c r="G130" s="69"/>
      <c r="H130" s="69"/>
      <c r="I130" s="69"/>
      <c r="J130" s="69"/>
      <c r="K130" s="69"/>
      <c r="L130" s="69"/>
      <c r="M130" s="69"/>
    </row>
    <row r="131" spans="1:13" ht="14.25">
      <c r="A131" s="170"/>
      <c r="B131" s="64">
        <v>1501</v>
      </c>
      <c r="C131" s="64">
        <v>2000</v>
      </c>
      <c r="D131" s="65">
        <v>0.8</v>
      </c>
      <c r="E131" s="69"/>
      <c r="F131" s="69"/>
      <c r="G131" s="69"/>
      <c r="H131" s="69"/>
      <c r="I131" s="69"/>
      <c r="J131" s="69"/>
      <c r="K131" s="69"/>
      <c r="L131" s="69"/>
      <c r="M131" s="69"/>
    </row>
    <row r="132" spans="1:13" ht="14.25">
      <c r="A132" s="170"/>
      <c r="B132" s="64">
        <v>2001</v>
      </c>
      <c r="C132" s="64">
        <v>9999</v>
      </c>
      <c r="D132" s="65">
        <v>0.75</v>
      </c>
      <c r="E132" s="69"/>
      <c r="F132" s="69"/>
      <c r="G132" s="69"/>
      <c r="H132" s="69"/>
      <c r="I132" s="69"/>
      <c r="J132" s="69"/>
      <c r="K132" s="69"/>
      <c r="L132" s="69"/>
      <c r="M132" s="69"/>
    </row>
    <row r="133" spans="1:13" ht="15.75">
      <c r="A133" s="170" t="s">
        <v>159</v>
      </c>
      <c r="B133" s="56"/>
      <c r="C133" s="56"/>
      <c r="D133" s="57" t="s">
        <v>147</v>
      </c>
      <c r="E133" s="69"/>
      <c r="F133" s="69"/>
      <c r="G133" s="69"/>
      <c r="H133" s="69"/>
      <c r="I133" s="69"/>
      <c r="J133" s="69"/>
      <c r="K133" s="69"/>
      <c r="L133" s="69"/>
      <c r="M133" s="69"/>
    </row>
    <row r="134" spans="1:13" ht="15.75">
      <c r="A134" s="170"/>
      <c r="B134" s="61" t="s">
        <v>149</v>
      </c>
      <c r="C134" s="62" t="s">
        <v>150</v>
      </c>
      <c r="D134" s="63">
        <v>1.5</v>
      </c>
      <c r="E134" s="69"/>
      <c r="F134" s="69"/>
      <c r="G134" s="69"/>
      <c r="H134" s="69"/>
      <c r="I134" s="69"/>
      <c r="J134" s="69"/>
      <c r="K134" s="69"/>
      <c r="L134" s="69"/>
      <c r="M134" s="69"/>
    </row>
    <row r="135" spans="1:13" ht="14.25">
      <c r="A135" s="170"/>
      <c r="B135" s="64">
        <v>0</v>
      </c>
      <c r="C135" s="64">
        <v>200</v>
      </c>
      <c r="D135" s="65">
        <v>1</v>
      </c>
      <c r="E135" s="69"/>
      <c r="F135" s="69"/>
      <c r="G135" s="69"/>
      <c r="H135" s="69"/>
      <c r="I135" s="69"/>
      <c r="J135" s="69"/>
      <c r="K135" s="69"/>
      <c r="L135" s="69"/>
      <c r="M135" s="69"/>
    </row>
    <row r="136" spans="1:13" ht="14.25">
      <c r="A136" s="170"/>
      <c r="B136" s="64">
        <v>201</v>
      </c>
      <c r="C136" s="64">
        <v>500</v>
      </c>
      <c r="D136" s="65">
        <v>0.95</v>
      </c>
      <c r="E136" s="69"/>
      <c r="F136" s="69"/>
      <c r="G136" s="69"/>
      <c r="H136" s="69"/>
      <c r="I136" s="69"/>
      <c r="J136" s="69"/>
      <c r="K136" s="69"/>
      <c r="L136" s="69"/>
      <c r="M136" s="69"/>
    </row>
    <row r="137" spans="1:13" ht="14.25">
      <c r="A137" s="170"/>
      <c r="B137" s="64">
        <v>501</v>
      </c>
      <c r="C137" s="64">
        <v>1000</v>
      </c>
      <c r="D137" s="65">
        <v>0.9</v>
      </c>
      <c r="E137" s="69"/>
      <c r="F137" s="69"/>
      <c r="G137" s="69"/>
      <c r="H137" s="69"/>
      <c r="I137" s="69"/>
      <c r="J137" s="69"/>
      <c r="K137" s="69"/>
      <c r="L137" s="69"/>
      <c r="M137" s="69"/>
    </row>
    <row r="138" spans="1:13" ht="14.25">
      <c r="A138" s="170"/>
      <c r="B138" s="64">
        <v>1001</v>
      </c>
      <c r="C138" s="64">
        <v>1500</v>
      </c>
      <c r="D138" s="65">
        <v>0.85</v>
      </c>
      <c r="E138" s="69"/>
      <c r="F138" s="69"/>
      <c r="G138" s="69"/>
      <c r="H138" s="69"/>
      <c r="I138" s="69"/>
      <c r="J138" s="69"/>
      <c r="K138" s="69"/>
      <c r="L138" s="69"/>
      <c r="M138" s="69"/>
    </row>
    <row r="139" spans="1:13" ht="14.25">
      <c r="A139" s="170"/>
      <c r="B139" s="64">
        <v>1501</v>
      </c>
      <c r="C139" s="64">
        <v>2000</v>
      </c>
      <c r="D139" s="65">
        <v>0.8</v>
      </c>
      <c r="E139" s="69"/>
      <c r="F139" s="69"/>
      <c r="G139" s="69"/>
      <c r="H139" s="69"/>
      <c r="I139" s="69"/>
      <c r="J139" s="69"/>
      <c r="K139" s="69"/>
      <c r="L139" s="69"/>
      <c r="M139" s="69"/>
    </row>
    <row r="140" spans="1:13" ht="14.25">
      <c r="A140" s="170"/>
      <c r="B140" s="64">
        <v>2001</v>
      </c>
      <c r="C140" s="64">
        <v>9999</v>
      </c>
      <c r="D140" s="65">
        <v>0.75</v>
      </c>
      <c r="E140" s="69"/>
      <c r="F140" s="69"/>
      <c r="G140" s="69"/>
      <c r="H140" s="69"/>
      <c r="I140" s="69"/>
      <c r="J140" s="69"/>
      <c r="K140" s="69"/>
      <c r="L140" s="69"/>
      <c r="M140" s="69"/>
    </row>
    <row r="141" spans="1:13" ht="15.75">
      <c r="A141" s="170" t="s">
        <v>160</v>
      </c>
      <c r="B141" s="56"/>
      <c r="C141" s="56"/>
      <c r="D141" s="57" t="s">
        <v>147</v>
      </c>
      <c r="E141" s="69"/>
      <c r="F141" s="69"/>
      <c r="G141" s="69"/>
      <c r="H141" s="69"/>
      <c r="I141" s="69"/>
      <c r="J141" s="69"/>
      <c r="K141" s="69"/>
      <c r="L141" s="69"/>
      <c r="M141" s="69"/>
    </row>
    <row r="142" spans="1:13" ht="15.75">
      <c r="A142" s="170"/>
      <c r="B142" s="61" t="s">
        <v>149</v>
      </c>
      <c r="C142" s="62" t="s">
        <v>150</v>
      </c>
      <c r="D142" s="63">
        <v>1.5</v>
      </c>
      <c r="E142" s="69"/>
      <c r="F142" s="69"/>
      <c r="G142" s="69"/>
      <c r="H142" s="69"/>
      <c r="I142" s="69"/>
      <c r="J142" s="69"/>
      <c r="K142" s="69"/>
      <c r="L142" s="69"/>
      <c r="M142" s="69"/>
    </row>
    <row r="143" spans="1:13" ht="14.25">
      <c r="A143" s="170"/>
      <c r="B143" s="64">
        <v>0</v>
      </c>
      <c r="C143" s="64">
        <v>200</v>
      </c>
      <c r="D143" s="65">
        <v>1</v>
      </c>
      <c r="E143" s="69"/>
      <c r="F143" s="69"/>
      <c r="G143" s="69"/>
      <c r="H143" s="69"/>
      <c r="I143" s="69"/>
      <c r="J143" s="69"/>
      <c r="K143" s="69"/>
      <c r="L143" s="69"/>
      <c r="M143" s="69"/>
    </row>
    <row r="144" spans="1:13" ht="14.25">
      <c r="A144" s="170"/>
      <c r="B144" s="64">
        <v>201</v>
      </c>
      <c r="C144" s="64">
        <v>500</v>
      </c>
      <c r="D144" s="65">
        <v>0.95</v>
      </c>
      <c r="E144" s="69"/>
      <c r="F144" s="69"/>
      <c r="G144" s="69"/>
      <c r="H144" s="69"/>
      <c r="I144" s="69"/>
      <c r="J144" s="69"/>
      <c r="K144" s="69"/>
      <c r="L144" s="69"/>
      <c r="M144" s="69"/>
    </row>
    <row r="145" spans="1:13" ht="14.25">
      <c r="A145" s="170"/>
      <c r="B145" s="64">
        <v>501</v>
      </c>
      <c r="C145" s="64">
        <v>1000</v>
      </c>
      <c r="D145" s="65">
        <v>0.9</v>
      </c>
      <c r="E145" s="69"/>
      <c r="F145" s="69"/>
      <c r="G145" s="69"/>
      <c r="H145" s="69"/>
      <c r="I145" s="69"/>
      <c r="J145" s="69"/>
      <c r="K145" s="69"/>
      <c r="L145" s="69"/>
      <c r="M145" s="69"/>
    </row>
    <row r="146" spans="1:13" ht="14.25">
      <c r="A146" s="170"/>
      <c r="B146" s="64">
        <v>1001</v>
      </c>
      <c r="C146" s="64">
        <v>1500</v>
      </c>
      <c r="D146" s="65">
        <v>0.85</v>
      </c>
      <c r="E146" s="69"/>
      <c r="F146" s="69"/>
      <c r="G146" s="69"/>
      <c r="H146" s="69"/>
      <c r="I146" s="69"/>
      <c r="J146" s="69"/>
      <c r="K146" s="69"/>
      <c r="L146" s="69"/>
      <c r="M146" s="69"/>
    </row>
    <row r="147" spans="1:13" ht="14.25">
      <c r="A147" s="170"/>
      <c r="B147" s="64">
        <v>1501</v>
      </c>
      <c r="C147" s="64">
        <v>2000</v>
      </c>
      <c r="D147" s="65">
        <v>0.8</v>
      </c>
      <c r="E147" s="69"/>
      <c r="F147" s="69"/>
      <c r="G147" s="69"/>
      <c r="H147" s="69"/>
      <c r="I147" s="69"/>
      <c r="J147" s="69"/>
      <c r="K147" s="69"/>
      <c r="L147" s="69"/>
      <c r="M147" s="69"/>
    </row>
    <row r="148" spans="1:13" ht="14.25">
      <c r="A148" s="170"/>
      <c r="B148" s="64">
        <v>2001</v>
      </c>
      <c r="C148" s="64">
        <v>9999</v>
      </c>
      <c r="D148" s="65">
        <v>0.75</v>
      </c>
      <c r="E148" s="69"/>
      <c r="F148" s="69"/>
      <c r="G148" s="69"/>
      <c r="H148" s="69"/>
      <c r="I148" s="69"/>
      <c r="J148" s="69"/>
      <c r="K148" s="69"/>
      <c r="L148" s="69"/>
      <c r="M148" s="69"/>
    </row>
    <row r="149" spans="1:13" ht="15.75">
      <c r="A149" s="170" t="s">
        <v>161</v>
      </c>
      <c r="B149" s="56"/>
      <c r="C149" s="56"/>
      <c r="D149" s="57" t="s">
        <v>147</v>
      </c>
      <c r="E149" s="69"/>
      <c r="F149" s="69"/>
      <c r="G149" s="69"/>
      <c r="H149" s="69"/>
      <c r="I149" s="69"/>
      <c r="J149" s="69"/>
      <c r="K149" s="69"/>
      <c r="L149" s="69"/>
      <c r="M149" s="69"/>
    </row>
    <row r="150" spans="1:13" ht="15.75">
      <c r="A150" s="170"/>
      <c r="B150" s="61" t="s">
        <v>149</v>
      </c>
      <c r="C150" s="62" t="s">
        <v>150</v>
      </c>
      <c r="D150" s="63">
        <v>1.5</v>
      </c>
      <c r="E150" s="69"/>
      <c r="F150" s="69"/>
      <c r="G150" s="69"/>
      <c r="H150" s="69"/>
      <c r="I150" s="69"/>
      <c r="J150" s="69"/>
      <c r="K150" s="69"/>
      <c r="L150" s="69"/>
      <c r="M150" s="69"/>
    </row>
    <row r="151" spans="1:13" ht="14.25">
      <c r="A151" s="170"/>
      <c r="B151" s="64">
        <v>0</v>
      </c>
      <c r="C151" s="64">
        <v>200</v>
      </c>
      <c r="D151" s="65">
        <v>1</v>
      </c>
      <c r="E151" s="69"/>
      <c r="F151" s="69"/>
      <c r="G151" s="69"/>
      <c r="H151" s="69"/>
      <c r="I151" s="69"/>
      <c r="J151" s="69"/>
      <c r="K151" s="69"/>
      <c r="L151" s="69"/>
      <c r="M151" s="69"/>
    </row>
    <row r="152" spans="1:13" ht="14.25">
      <c r="A152" s="170"/>
      <c r="B152" s="64">
        <v>201</v>
      </c>
      <c r="C152" s="64">
        <v>500</v>
      </c>
      <c r="D152" s="65">
        <v>0.95</v>
      </c>
      <c r="E152" s="69"/>
      <c r="F152" s="69"/>
      <c r="G152" s="69"/>
      <c r="H152" s="69"/>
      <c r="I152" s="69"/>
      <c r="J152" s="69"/>
      <c r="K152" s="69"/>
      <c r="L152" s="69"/>
      <c r="M152" s="69"/>
    </row>
    <row r="153" spans="1:13" ht="14.25">
      <c r="A153" s="170"/>
      <c r="B153" s="64">
        <v>501</v>
      </c>
      <c r="C153" s="64">
        <v>1000</v>
      </c>
      <c r="D153" s="65">
        <v>0.9</v>
      </c>
      <c r="E153" s="69"/>
      <c r="F153" s="69"/>
      <c r="G153" s="69"/>
      <c r="H153" s="69"/>
      <c r="I153" s="69"/>
      <c r="J153" s="69"/>
      <c r="K153" s="69"/>
      <c r="L153" s="69"/>
      <c r="M153" s="69"/>
    </row>
    <row r="154" spans="1:13" ht="14.25">
      <c r="A154" s="170"/>
      <c r="B154" s="64">
        <v>1001</v>
      </c>
      <c r="C154" s="64">
        <v>1500</v>
      </c>
      <c r="D154" s="65">
        <v>0.85</v>
      </c>
      <c r="E154" s="69"/>
      <c r="F154" s="69"/>
      <c r="G154" s="69"/>
      <c r="H154" s="69"/>
      <c r="I154" s="69"/>
      <c r="J154" s="69"/>
      <c r="K154" s="69"/>
      <c r="L154" s="69"/>
      <c r="M154" s="69"/>
    </row>
    <row r="155" spans="1:13" ht="14.25">
      <c r="A155" s="170"/>
      <c r="B155" s="64">
        <v>1501</v>
      </c>
      <c r="C155" s="64">
        <v>2000</v>
      </c>
      <c r="D155" s="65">
        <v>0.8</v>
      </c>
      <c r="E155" s="69"/>
      <c r="F155" s="69"/>
      <c r="G155" s="69"/>
      <c r="H155" s="69"/>
      <c r="I155" s="69"/>
      <c r="J155" s="69"/>
      <c r="K155" s="69"/>
      <c r="L155" s="69"/>
      <c r="M155" s="69"/>
    </row>
    <row r="156" spans="1:13" ht="14.25">
      <c r="A156" s="170"/>
      <c r="B156" s="64">
        <v>2001</v>
      </c>
      <c r="C156" s="64">
        <v>9999</v>
      </c>
      <c r="D156" s="65">
        <v>0.75</v>
      </c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13" ht="15.75">
      <c r="A157" s="170" t="s">
        <v>162</v>
      </c>
      <c r="B157" s="56"/>
      <c r="C157" s="56"/>
      <c r="D157" s="57" t="s">
        <v>147</v>
      </c>
      <c r="E157" s="69"/>
      <c r="F157" s="69"/>
      <c r="G157" s="69"/>
      <c r="H157" s="69"/>
      <c r="I157" s="69"/>
      <c r="J157" s="69"/>
      <c r="K157" s="69"/>
      <c r="L157" s="69"/>
      <c r="M157" s="69"/>
    </row>
    <row r="158" spans="1:13" ht="15.75">
      <c r="A158" s="170"/>
      <c r="B158" s="61" t="s">
        <v>149</v>
      </c>
      <c r="C158" s="62" t="s">
        <v>150</v>
      </c>
      <c r="D158" s="63">
        <v>1.5</v>
      </c>
      <c r="E158" s="69"/>
      <c r="F158" s="69"/>
      <c r="G158" s="69"/>
      <c r="H158" s="69"/>
      <c r="I158" s="69"/>
      <c r="J158" s="69"/>
      <c r="K158" s="69"/>
      <c r="L158" s="69"/>
      <c r="M158" s="69"/>
    </row>
    <row r="159" spans="1:13" ht="14.25">
      <c r="A159" s="170"/>
      <c r="B159" s="64">
        <v>0</v>
      </c>
      <c r="C159" s="64">
        <v>200</v>
      </c>
      <c r="D159" s="65">
        <v>1</v>
      </c>
      <c r="E159" s="69"/>
      <c r="F159" s="69"/>
      <c r="G159" s="69"/>
      <c r="H159" s="69"/>
      <c r="I159" s="69"/>
      <c r="J159" s="69"/>
      <c r="K159" s="69"/>
      <c r="L159" s="69"/>
      <c r="M159" s="69"/>
    </row>
    <row r="160" spans="1:13" ht="14.25">
      <c r="A160" s="170"/>
      <c r="B160" s="64">
        <v>201</v>
      </c>
      <c r="C160" s="64">
        <v>500</v>
      </c>
      <c r="D160" s="65">
        <v>0.95</v>
      </c>
      <c r="E160" s="69"/>
      <c r="F160" s="69"/>
      <c r="G160" s="69"/>
      <c r="H160" s="69"/>
      <c r="I160" s="69"/>
      <c r="J160" s="69"/>
      <c r="K160" s="69"/>
      <c r="L160" s="69"/>
      <c r="M160" s="69"/>
    </row>
    <row r="161" spans="1:13" ht="14.25">
      <c r="A161" s="170"/>
      <c r="B161" s="64">
        <v>501</v>
      </c>
      <c r="C161" s="64">
        <v>1000</v>
      </c>
      <c r="D161" s="65">
        <v>0.9</v>
      </c>
      <c r="E161" s="69"/>
      <c r="F161" s="69"/>
      <c r="G161" s="69"/>
      <c r="H161" s="69"/>
      <c r="I161" s="69"/>
      <c r="J161" s="69"/>
      <c r="K161" s="69"/>
      <c r="L161" s="69"/>
      <c r="M161" s="69"/>
    </row>
    <row r="162" spans="1:13" ht="14.25">
      <c r="A162" s="170"/>
      <c r="B162" s="64">
        <v>1001</v>
      </c>
      <c r="C162" s="64">
        <v>1500</v>
      </c>
      <c r="D162" s="65">
        <v>0.85</v>
      </c>
      <c r="E162" s="69"/>
      <c r="F162" s="69"/>
      <c r="G162" s="69"/>
      <c r="H162" s="69"/>
      <c r="I162" s="69"/>
      <c r="J162" s="69"/>
      <c r="K162" s="69"/>
      <c r="L162" s="69"/>
      <c r="M162" s="69"/>
    </row>
    <row r="163" spans="1:13" ht="14.25">
      <c r="A163" s="170"/>
      <c r="B163" s="64">
        <v>1501</v>
      </c>
      <c r="C163" s="64">
        <v>2000</v>
      </c>
      <c r="D163" s="65">
        <v>0.8</v>
      </c>
      <c r="E163" s="69"/>
      <c r="F163" s="69"/>
      <c r="G163" s="69"/>
      <c r="H163" s="69"/>
      <c r="I163" s="69"/>
      <c r="J163" s="69"/>
      <c r="K163" s="69"/>
      <c r="L163" s="69"/>
      <c r="M163" s="69"/>
    </row>
    <row r="164" spans="1:13" ht="14.25">
      <c r="A164" s="170"/>
      <c r="B164" s="64">
        <v>2001</v>
      </c>
      <c r="C164" s="64">
        <v>9999</v>
      </c>
      <c r="D164" s="65">
        <v>0.75</v>
      </c>
      <c r="E164" s="69"/>
      <c r="F164" s="69"/>
      <c r="G164" s="69"/>
      <c r="H164" s="69"/>
      <c r="I164" s="69"/>
      <c r="J164" s="69"/>
      <c r="K164" s="69"/>
      <c r="L164" s="69"/>
      <c r="M164" s="69"/>
    </row>
    <row r="165" spans="1:13" ht="15.75">
      <c r="A165" s="170" t="s">
        <v>163</v>
      </c>
      <c r="B165" s="56"/>
      <c r="C165" s="56"/>
      <c r="D165" s="57" t="s">
        <v>147</v>
      </c>
      <c r="E165" s="69"/>
      <c r="F165" s="69"/>
      <c r="G165" s="69"/>
      <c r="H165" s="69"/>
      <c r="I165" s="69"/>
      <c r="J165" s="69"/>
      <c r="K165" s="69"/>
      <c r="L165" s="69"/>
      <c r="M165" s="69"/>
    </row>
    <row r="166" spans="1:13" ht="15.75">
      <c r="A166" s="170"/>
      <c r="B166" s="61" t="s">
        <v>149</v>
      </c>
      <c r="C166" s="62" t="s">
        <v>150</v>
      </c>
      <c r="D166" s="63">
        <v>1.5</v>
      </c>
      <c r="E166" s="69"/>
      <c r="F166" s="69"/>
      <c r="G166" s="69"/>
      <c r="H166" s="69"/>
      <c r="I166" s="69"/>
      <c r="J166" s="69"/>
      <c r="K166" s="69"/>
      <c r="L166" s="69"/>
      <c r="M166" s="69"/>
    </row>
    <row r="167" spans="1:13" ht="14.25">
      <c r="A167" s="170"/>
      <c r="B167" s="64">
        <v>0</v>
      </c>
      <c r="C167" s="64">
        <v>200</v>
      </c>
      <c r="D167" s="65">
        <v>1</v>
      </c>
      <c r="E167" s="69"/>
      <c r="F167" s="69"/>
      <c r="G167" s="69"/>
      <c r="H167" s="69"/>
      <c r="I167" s="69"/>
      <c r="J167" s="69"/>
      <c r="K167" s="69"/>
      <c r="L167" s="69"/>
      <c r="M167" s="69"/>
    </row>
    <row r="168" spans="1:13" ht="14.25">
      <c r="A168" s="170"/>
      <c r="B168" s="64">
        <v>201</v>
      </c>
      <c r="C168" s="64">
        <v>500</v>
      </c>
      <c r="D168" s="65">
        <v>0.95</v>
      </c>
      <c r="E168" s="69"/>
      <c r="F168" s="69"/>
      <c r="G168" s="69"/>
      <c r="H168" s="69"/>
      <c r="I168" s="69"/>
      <c r="J168" s="69"/>
      <c r="K168" s="69"/>
      <c r="L168" s="69"/>
      <c r="M168" s="69"/>
    </row>
    <row r="169" spans="1:13" ht="14.25">
      <c r="A169" s="170"/>
      <c r="B169" s="64">
        <v>501</v>
      </c>
      <c r="C169" s="64">
        <v>1000</v>
      </c>
      <c r="D169" s="65">
        <v>0.9</v>
      </c>
      <c r="E169" s="69"/>
      <c r="F169" s="69"/>
      <c r="G169" s="69"/>
      <c r="H169" s="69"/>
      <c r="I169" s="69"/>
      <c r="J169" s="69"/>
      <c r="K169" s="69"/>
      <c r="L169" s="69"/>
      <c r="M169" s="69"/>
    </row>
    <row r="170" spans="1:13" ht="14.25">
      <c r="A170" s="170"/>
      <c r="B170" s="64">
        <v>1001</v>
      </c>
      <c r="C170" s="64">
        <v>1500</v>
      </c>
      <c r="D170" s="65">
        <v>0.85</v>
      </c>
      <c r="E170" s="69"/>
      <c r="F170" s="69"/>
      <c r="G170" s="69"/>
      <c r="H170" s="69"/>
      <c r="I170" s="69"/>
      <c r="J170" s="69"/>
      <c r="K170" s="69"/>
      <c r="L170" s="69"/>
      <c r="M170" s="69"/>
    </row>
    <row r="171" spans="1:13" ht="14.25">
      <c r="A171" s="170"/>
      <c r="B171" s="64">
        <v>1501</v>
      </c>
      <c r="C171" s="64">
        <v>2000</v>
      </c>
      <c r="D171" s="65">
        <v>0.8</v>
      </c>
      <c r="E171" s="69"/>
      <c r="F171" s="69"/>
      <c r="G171" s="69"/>
      <c r="H171" s="69"/>
      <c r="I171" s="69"/>
      <c r="J171" s="69"/>
      <c r="K171" s="69"/>
      <c r="L171" s="69"/>
      <c r="M171" s="69"/>
    </row>
    <row r="172" spans="1:13" ht="14.25">
      <c r="A172" s="170"/>
      <c r="B172" s="64">
        <v>2001</v>
      </c>
      <c r="C172" s="64">
        <v>9999</v>
      </c>
      <c r="D172" s="65">
        <v>0.75</v>
      </c>
      <c r="E172" s="69"/>
      <c r="F172" s="69"/>
      <c r="G172" s="69"/>
      <c r="H172" s="69"/>
      <c r="I172" s="69"/>
      <c r="J172" s="69"/>
      <c r="K172" s="69"/>
      <c r="L172" s="69"/>
      <c r="M172" s="69"/>
    </row>
  </sheetData>
  <mergeCells count="18">
    <mergeCell ref="A165:A172"/>
    <mergeCell ref="A77:A84"/>
    <mergeCell ref="A85:A92"/>
    <mergeCell ref="A93:A100"/>
    <mergeCell ref="A101:A108"/>
    <mergeCell ref="A109:A116"/>
    <mergeCell ref="A117:A124"/>
    <mergeCell ref="A125:A132"/>
    <mergeCell ref="A133:A140"/>
    <mergeCell ref="A141:A148"/>
    <mergeCell ref="A149:A156"/>
    <mergeCell ref="A157:A164"/>
    <mergeCell ref="A69:A76"/>
    <mergeCell ref="E21:F21"/>
    <mergeCell ref="G21:H21"/>
    <mergeCell ref="I21:J21"/>
    <mergeCell ref="E27:H27"/>
    <mergeCell ref="A61:A6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982D-243A-42B0-8A45-05EECBBD1527}">
  <dimension ref="A1:AP73"/>
  <sheetViews>
    <sheetView tabSelected="1" zoomScale="115" zoomScaleNormal="115" workbookViewId="0">
      <selection activeCell="G24" sqref="G24"/>
    </sheetView>
  </sheetViews>
  <sheetFormatPr defaultRowHeight="14.25"/>
  <cols>
    <col min="1" max="2" width="13.875" customWidth="1"/>
    <col min="3" max="6" width="8.875" hidden="1" customWidth="1"/>
    <col min="12" max="14" width="8.875" hidden="1" customWidth="1"/>
    <col min="15" max="15" width="10.5" hidden="1" customWidth="1"/>
    <col min="16" max="16" width="12.5" hidden="1" customWidth="1"/>
    <col min="17" max="17" width="12.5" customWidth="1"/>
    <col min="18" max="18" width="12.625" customWidth="1"/>
    <col min="19" max="19" width="13.875" customWidth="1"/>
    <col min="23" max="23" width="12.875" customWidth="1"/>
    <col min="24" max="24" width="14.25" customWidth="1"/>
    <col min="25" max="25" width="15.125" customWidth="1"/>
    <col min="26" max="26" width="7.625" customWidth="1"/>
    <col min="30" max="30" width="11.125" customWidth="1"/>
    <col min="31" max="31" width="11.5" customWidth="1"/>
    <col min="32" max="32" width="14.5" customWidth="1"/>
    <col min="33" max="33" width="17.5" customWidth="1"/>
    <col min="34" max="34" width="16.375" customWidth="1"/>
    <col min="35" max="35" width="14.125" customWidth="1"/>
    <col min="36" max="36" width="19.5" customWidth="1"/>
    <col min="37" max="37" width="17.25" customWidth="1"/>
    <col min="40" max="40" width="12.125" customWidth="1"/>
    <col min="41" max="41" width="16.875" customWidth="1"/>
    <col min="42" max="42" width="25.5" customWidth="1"/>
  </cols>
  <sheetData>
    <row r="1" spans="1:42">
      <c r="A1" s="1"/>
      <c r="B1" s="182" t="s">
        <v>181</v>
      </c>
      <c r="C1" s="182" t="s">
        <v>182</v>
      </c>
      <c r="D1" s="190" t="s">
        <v>183</v>
      </c>
      <c r="E1" s="190" t="s">
        <v>184</v>
      </c>
      <c r="F1" s="1"/>
      <c r="G1" s="191" t="s">
        <v>185</v>
      </c>
      <c r="H1" s="190" t="s">
        <v>186</v>
      </c>
    </row>
    <row r="2" spans="1:42">
      <c r="A2" s="1"/>
      <c r="B2" s="188"/>
      <c r="C2" s="189"/>
      <c r="D2" s="190"/>
      <c r="E2" s="190"/>
      <c r="F2" s="1"/>
      <c r="G2" s="192"/>
      <c r="H2" s="190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169</v>
      </c>
      <c r="R2" s="78" t="s">
        <v>170</v>
      </c>
      <c r="S2" s="78" t="s">
        <v>171</v>
      </c>
      <c r="T2" s="78" t="s">
        <v>172</v>
      </c>
      <c r="U2" s="78" t="s">
        <v>173</v>
      </c>
      <c r="V2" s="78" t="s">
        <v>174</v>
      </c>
      <c r="W2" s="78" t="s">
        <v>175</v>
      </c>
      <c r="X2" s="80" t="s">
        <v>201</v>
      </c>
      <c r="Y2" s="78" t="s">
        <v>176</v>
      </c>
      <c r="AD2" s="179" t="s">
        <v>202</v>
      </c>
      <c r="AE2" s="180"/>
      <c r="AF2" s="180"/>
      <c r="AG2" s="181"/>
      <c r="AI2" s="211" t="s">
        <v>233</v>
      </c>
      <c r="AJ2" s="212"/>
      <c r="AK2" s="215">
        <v>0</v>
      </c>
      <c r="AL2" s="211" t="s">
        <v>234</v>
      </c>
      <c r="AM2" s="212"/>
      <c r="AN2" s="215">
        <v>88452</v>
      </c>
      <c r="AO2" s="103" t="s">
        <v>235</v>
      </c>
      <c r="AP2" s="103" t="s">
        <v>236</v>
      </c>
    </row>
    <row r="3" spans="1:42" ht="15" thickBot="1">
      <c r="A3" s="85" t="s">
        <v>187</v>
      </c>
      <c r="B3" s="86">
        <f>SUMIF($L$3:$L$14,1,$Q$3:$Q$14)+SUMIF($L$3:$L$14,1,$R$3:$R$14)+SUMIF($L$3:$L$14,1,$S$3:$S$14)+SUMIF($L$3:$L$14,1,$T$3:$T$14)</f>
        <v>152</v>
      </c>
      <c r="C3" s="87">
        <f>参数调整!B45</f>
        <v>40</v>
      </c>
      <c r="D3" s="8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40</v>
      </c>
      <c r="E3" s="87">
        <f>参数调整!G45</f>
        <v>1</v>
      </c>
      <c r="F3" s="1">
        <f>D3*G3*(参数调整!$B$6+1)</f>
        <v>7113.5999999999995</v>
      </c>
      <c r="G3" s="88">
        <f>IF(B3-E38&lt;=0,0,B3-E38)</f>
        <v>152</v>
      </c>
      <c r="H3" s="89"/>
      <c r="J3" s="79" t="s">
        <v>177</v>
      </c>
      <c r="K3" s="79">
        <v>122</v>
      </c>
      <c r="L3" s="80" t="str">
        <f>LEFT(K3,1)</f>
        <v>1</v>
      </c>
      <c r="M3" s="80" t="str">
        <f>MID(K3,2,1)</f>
        <v>2</v>
      </c>
      <c r="N3" s="80" t="str">
        <f>MID(K3,3,1)</f>
        <v>2</v>
      </c>
      <c r="O3" s="80" t="str">
        <f>MID(K3,4,1)</f>
        <v/>
      </c>
      <c r="P3" s="80" t="str">
        <f>MID(K3,5,1)</f>
        <v/>
      </c>
      <c r="Q3" s="79">
        <v>74</v>
      </c>
      <c r="R3" s="79">
        <v>0</v>
      </c>
      <c r="S3" s="79">
        <v>0</v>
      </c>
      <c r="T3" s="79">
        <v>0</v>
      </c>
      <c r="U3" s="81">
        <f>TRUNC(Q3*参数调整!$I$30)+TRUNC(R3*参数调整!$H$30)+TRUNC(S3*参数调整!$G$30)+TRUNC(T3*参数调整!$F$30)</f>
        <v>55</v>
      </c>
      <c r="V3" s="81">
        <f>IF(J3="S",$R$19/$S$19*(参数调整!$G$11+参数调整!$I$11+参数调整!$J$11+参数调整!$K$11)/100+W3*参数调整!$H$11/100*$R$19/($T$19*$J$18),IF(J3="B",$R$20/$S$20*(参数调整!$G$12+参数调整!$I$12+参数调整!$J$12+参数调整!$K$12)/100+W3*参数调整!$H$12/100*$R$20/($T$20*$J$18),IF(J3="Q",$R$21/$S$21*(参数调整!$G$13+参数调整!$I$13+参数调整!$J$13+参数调整!$K$13)/100+W3*参数调整!$H$13/100*$R$21/($T$21*$J$18),$R$22/$S$22*(参数调整!$G$14+参数调整!$I$14+参数调整!$J$14+参数调整!$K$14)/100+W3*参数调整!$H$14/100*$R$22/($T$22*$J$18))))</f>
        <v>32.695250000000001</v>
      </c>
      <c r="W3" s="79">
        <v>8000</v>
      </c>
      <c r="X3" s="80">
        <f>IF(J3="S",W3*参数调整!$H$11/($T$19*$J$18),IF(J3="B",W3*参数调整!$H$12/($T$20*$J$18),IF(J3="Q",W3*参数调整!$H$13/($T$21*$J$18),W3*参数调整!$H$14/($T$22*$J$18))))</f>
        <v>0.495</v>
      </c>
      <c r="Y3" s="79">
        <v>1000</v>
      </c>
      <c r="AD3" s="179" t="s">
        <v>203</v>
      </c>
      <c r="AE3" s="180"/>
      <c r="AF3" s="181"/>
      <c r="AG3" s="102">
        <f>参数调整!$B$1-参数调整!$B$2-参数调整!$B$3</f>
        <v>587000</v>
      </c>
      <c r="AI3" s="189"/>
      <c r="AJ3" s="213"/>
      <c r="AK3" s="216"/>
      <c r="AL3" s="189"/>
      <c r="AM3" s="213"/>
      <c r="AN3" s="216"/>
      <c r="AO3" s="79">
        <v>75816</v>
      </c>
      <c r="AP3" s="109"/>
    </row>
    <row r="4" spans="1:42" ht="27" customHeight="1" thickBot="1">
      <c r="A4" s="85" t="s">
        <v>188</v>
      </c>
      <c r="B4" s="86">
        <f>SUMIF($L$3:$L$14,2,$Q$3:$Q$14)+SUMIF($L$3:$L$14,2,$R$3:$R$14)+SUMIF($L$3:$L$14,2,$S$3:$S$14)+SUMIF($L$3:$L$14,2,$T$3:$T$14)</f>
        <v>0</v>
      </c>
      <c r="C4" s="87">
        <f>参数调整!B46</f>
        <v>80</v>
      </c>
      <c r="D4" s="8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80</v>
      </c>
      <c r="E4" s="87">
        <f>参数调整!G46</f>
        <v>1</v>
      </c>
      <c r="F4" s="1">
        <f>D4*G4*(参数调整!$B$6+1)</f>
        <v>0</v>
      </c>
      <c r="G4" s="88">
        <f>IF(B4-E39&lt;=0,0,B4-E39)</f>
        <v>0</v>
      </c>
      <c r="H4" s="89"/>
      <c r="J4" s="82" t="s">
        <v>178</v>
      </c>
      <c r="K4" s="79">
        <v>3334</v>
      </c>
      <c r="L4" s="80" t="str">
        <f>LEFT(K4,1)</f>
        <v>3</v>
      </c>
      <c r="M4" s="80" t="str">
        <f>MID(K4,2,1)</f>
        <v>3</v>
      </c>
      <c r="N4" s="80" t="str">
        <f>MID(K4,3,1)</f>
        <v>3</v>
      </c>
      <c r="O4" s="80" t="str">
        <f>MID(K4,4,1)</f>
        <v>4</v>
      </c>
      <c r="P4" s="80" t="str">
        <f t="shared" ref="P4:P10" si="0">MID(K4,5,1)</f>
        <v/>
      </c>
      <c r="Q4" s="79">
        <v>78</v>
      </c>
      <c r="R4" s="79">
        <v>0</v>
      </c>
      <c r="S4" s="79">
        <v>0</v>
      </c>
      <c r="T4" s="79"/>
      <c r="U4" s="81">
        <f>TRUNC(Q4*参数调整!$I$30)+TRUNC(R4*参数调整!$H$30)+TRUNC(S4*参数调整!$G$30)+TRUNC(T4*参数调整!$F$30)</f>
        <v>58</v>
      </c>
      <c r="V4" s="81">
        <f>IF(J4="S",$R$19/$S$19*(参数调整!$G$11+参数调整!$I$11+参数调整!$J$11+参数调整!$K$11)/100+W4*参数调整!$H$11/100*$R$19/($T$19*$J$18),IF(J4="B",$R$20/$S$20*(参数调整!$G$12+参数调整!$I$12+参数调整!$J$12+参数调整!$K$12)/100+W4*参数调整!$H$12/100*$R$20/($T$20*$J$18),IF(J4="Q",$R$21/$S$21*(参数调整!$G$13+参数调整!$I$13+参数调整!$J$13+参数调整!$K$13)/100+W4*参数调整!$H$13/100*$R$21/($T$21*$J$18),$R$22/$S$22*(参数调整!$G$14+参数调整!$I$14+参数调整!$J$14+参数调整!$K$14)/100+W4*参数调整!$H$14/100*$R$22/($T$22*$J$18))))</f>
        <v>33.431562499999998</v>
      </c>
      <c r="W4" s="79">
        <v>10000</v>
      </c>
      <c r="X4" s="80">
        <f>IF(J4="S",W4*参数调整!$H$11/($T$19*$J$18),IF(J4="B",W4*参数调整!$H$12/($T$20*$J$18),IF(J4="Q",W4*参数调整!$H$13/($T$21*$J$18),W4*参数调整!$H$14/($T$22*$J$18))))</f>
        <v>0.61875000000000002</v>
      </c>
      <c r="Y4" s="79">
        <v>2010</v>
      </c>
      <c r="AD4" s="182" t="s">
        <v>204</v>
      </c>
      <c r="AE4" s="103" t="s">
        <v>205</v>
      </c>
      <c r="AF4" s="79">
        <v>0</v>
      </c>
      <c r="AG4" s="78">
        <f>AF4*参数调整!$J$23</f>
        <v>0</v>
      </c>
      <c r="AI4" s="208" t="s">
        <v>237</v>
      </c>
      <c r="AJ4" s="179" t="s">
        <v>238</v>
      </c>
      <c r="AK4" s="180"/>
      <c r="AL4" s="181"/>
      <c r="AM4" s="103" t="s">
        <v>239</v>
      </c>
      <c r="AN4" s="103" t="s">
        <v>240</v>
      </c>
      <c r="AO4" s="197" t="s">
        <v>343</v>
      </c>
      <c r="AP4" s="197"/>
    </row>
    <row r="5" spans="1:42" ht="15" thickBot="1">
      <c r="A5" s="85" t="s">
        <v>152</v>
      </c>
      <c r="B5" s="90">
        <f>SUMIF($L$3:$L$14,3,$Q$3:$Q$14)+SUMIF($L$3:$L$14,3,$R$3:$R$14)+SUMIF($L$3:$L$14,3,$S$3:$S$14)+SUMIF($L$3:$L$14,3,$T$3:$T$14)</f>
        <v>78</v>
      </c>
      <c r="C5" s="87">
        <f>参数调整!B47</f>
        <v>110</v>
      </c>
      <c r="D5" s="8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110</v>
      </c>
      <c r="E5" s="87">
        <f>参数调整!G47</f>
        <v>1</v>
      </c>
      <c r="F5" s="1">
        <f>D5*G5*(参数调整!$B$6+1)</f>
        <v>10038.599999999999</v>
      </c>
      <c r="G5" s="88">
        <f t="shared" ref="G5:G16" si="1">IF(B5-E40&lt;=0,0,B5-E40)</f>
        <v>78</v>
      </c>
      <c r="H5" s="91">
        <v>90</v>
      </c>
      <c r="J5" s="79" t="s">
        <v>179</v>
      </c>
      <c r="K5" s="79">
        <v>1111</v>
      </c>
      <c r="L5" s="80" t="str">
        <f>LEFT(K5,1)</f>
        <v>1</v>
      </c>
      <c r="M5" s="80" t="str">
        <f>MID(K5,2,1)</f>
        <v>1</v>
      </c>
      <c r="N5" s="80" t="str">
        <f>MID(K5,3,1)</f>
        <v>1</v>
      </c>
      <c r="O5" s="80" t="str">
        <f>MID(K5,4,1)</f>
        <v>1</v>
      </c>
      <c r="P5" s="80" t="str">
        <f t="shared" si="0"/>
        <v/>
      </c>
      <c r="Q5" s="79"/>
      <c r="R5" s="79">
        <v>0</v>
      </c>
      <c r="S5" s="79">
        <v>0</v>
      </c>
      <c r="T5" s="79"/>
      <c r="U5" s="81">
        <f>TRUNC(Q5*参数调整!$I$30)+TRUNC(R5*参数调整!$H$30)+TRUNC(S5*参数调整!$G$30)+TRUNC(T5*参数调整!$F$30)</f>
        <v>0</v>
      </c>
      <c r="V5" s="81">
        <f>IF(J5="S",$R$19/$S$19*(参数调整!$G$11+参数调整!$I$11+参数调整!$J$11+参数调整!$K$11)/100+W5*参数调整!$H$11/100*$R$19/($T$19*$J$18),IF(J5="B",$R$20/$S$20*(参数调整!$G$12+参数调整!$I$12+参数调整!$J$12+参数调整!$K$12)/100+W5*参数调整!$H$12/100*$R$20/($T$20*$J$18),IF(J5="Q",$R$21/$S$21*(参数调整!$G$13+参数调整!$I$13+参数调整!$J$13+参数调整!$K$13)/100+W5*参数调整!$H$13/100*$R$21/($T$21*$J$18),$R$22/$S$22*(参数调整!$G$14+参数调整!$I$14+参数调整!$J$14+参数调整!$K$14)/100+W5*参数调整!$H$14/100*$R$22/($T$22*$J$18))))</f>
        <v>24</v>
      </c>
      <c r="W5" s="79"/>
      <c r="X5" s="80">
        <f>IF(J5="S",W5*参数调整!$H$11/($T$19*$J$18),IF(J5="B",W5*参数调整!$H$12/($T$20*$J$18),IF(J5="Q",W5*参数调整!$H$13/($T$21*$J$18),W5*参数调整!$H$14/($T$22*$J$18))))</f>
        <v>0</v>
      </c>
      <c r="Y5" s="79">
        <v>1900.7</v>
      </c>
      <c r="AD5" s="183"/>
      <c r="AE5" s="103" t="s">
        <v>206</v>
      </c>
      <c r="AF5" s="79">
        <v>1</v>
      </c>
      <c r="AG5" s="78">
        <f>AF5*参数调整!$H$23</f>
        <v>80000</v>
      </c>
      <c r="AI5" s="209"/>
      <c r="AJ5" s="182" t="s">
        <v>241</v>
      </c>
      <c r="AK5" s="182" t="s">
        <v>242</v>
      </c>
      <c r="AL5" s="103" t="s">
        <v>102</v>
      </c>
      <c r="AM5" s="80">
        <f>SUM(Q3:Q14)</f>
        <v>230</v>
      </c>
      <c r="AN5" s="103">
        <f>AM5*参数调整!$I$32</f>
        <v>6900</v>
      </c>
      <c r="AO5" s="219">
        <f>AN2+AO36*(1-参数调整!B23)+AP36*(1-参数调整!B24)</f>
        <v>88452</v>
      </c>
      <c r="AP5" s="219"/>
    </row>
    <row r="6" spans="1:42" ht="14.45" customHeight="1" thickBot="1">
      <c r="A6" s="85" t="s">
        <v>153</v>
      </c>
      <c r="B6" s="92">
        <f>SUMIF($M$3:$M$14,1,$Q$3:$Q$14)+SUMIF($M$3:$M$14,1,$R$3:$R$14)+SUMIF($M$3:$M$14,1,$S$3:$S$14)+SUMIF($M$3:$M$14,1,$T$3:$T$14)</f>
        <v>78</v>
      </c>
      <c r="C6" s="87">
        <f>参数调整!B48</f>
        <v>10</v>
      </c>
      <c r="D6" s="8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10</v>
      </c>
      <c r="E6" s="87">
        <f>参数调整!G48</f>
        <v>0</v>
      </c>
      <c r="F6" s="1">
        <f>D6*G6*(参数调整!$B$6+1)</f>
        <v>912.59999999999991</v>
      </c>
      <c r="G6" s="93">
        <f t="shared" si="1"/>
        <v>78</v>
      </c>
      <c r="H6" s="89"/>
      <c r="J6" s="79" t="s">
        <v>180</v>
      </c>
      <c r="K6" s="79">
        <v>212</v>
      </c>
      <c r="L6" s="80" t="str">
        <f>LEFT(K6,1)</f>
        <v>2</v>
      </c>
      <c r="M6" s="80" t="str">
        <f>MID(K6,2,1)</f>
        <v>1</v>
      </c>
      <c r="N6" s="80" t="str">
        <f>MID(K6,3,1)</f>
        <v>2</v>
      </c>
      <c r="O6" s="80" t="str">
        <f>MID(K6,4,1)</f>
        <v/>
      </c>
      <c r="P6" s="80" t="str">
        <f t="shared" si="0"/>
        <v/>
      </c>
      <c r="Q6" s="79"/>
      <c r="R6" s="79">
        <v>0</v>
      </c>
      <c r="S6" s="79">
        <v>0</v>
      </c>
      <c r="T6" s="79"/>
      <c r="U6" s="81">
        <f>TRUNC(Q6*参数调整!$I$30)+TRUNC(R6*参数调整!$H$30)+TRUNC(S6*参数调整!$G$30)+TRUNC(T6*参数调整!$F$30)</f>
        <v>0</v>
      </c>
      <c r="V6" s="81">
        <f>IF(J6="S",$R$19/$S$19*(参数调整!$G$11+参数调整!$I$11+参数调整!$J$11+参数调整!$K$11)/100+W6*参数调整!$H$11/100*$R$19/($T$19*$J$18),IF(J6="B",$R$20/$S$20*(参数调整!$G$12+参数调整!$I$12+参数调整!$J$12+参数调整!$K$12)/100+W6*参数调整!$H$12/100*$R$20/($T$20*$J$18),IF(J6="Q",$R$21/$S$21*(参数调整!$G$13+参数调整!$I$13+参数调整!$J$13+参数调整!$K$13)/100+W6*参数调整!$H$13/100*$R$21/($T$21*$J$18),$R$22/$S$22*(参数调整!$G$14+参数调整!$I$14+参数调整!$J$14+参数调整!$K$14)/100+W6*参数调整!$H$14/100*$R$22/($T$22*$J$18))))</f>
        <v>27.09375</v>
      </c>
      <c r="W6" s="79">
        <v>0</v>
      </c>
      <c r="X6" s="80">
        <f>IF(J6="S",W6*参数调整!$H$11/($T$19*$J$18),IF(J6="B",W6*参数调整!$H$12/($T$20*$J$18),IF(J6="Q",W6*参数调整!$H$13/($T$21*$J$18),W6*参数调整!$H$14/($T$22*$J$18))))</f>
        <v>0</v>
      </c>
      <c r="Y6" s="79"/>
      <c r="AD6" s="184"/>
      <c r="AE6" s="103" t="s">
        <v>207</v>
      </c>
      <c r="AF6" s="79">
        <v>0</v>
      </c>
      <c r="AG6" s="78">
        <f>AF6*参数调整!$F$23</f>
        <v>0</v>
      </c>
      <c r="AI6" s="209"/>
      <c r="AJ6" s="183"/>
      <c r="AK6" s="183"/>
      <c r="AL6" s="103" t="s">
        <v>272</v>
      </c>
      <c r="AM6" s="80">
        <f>SUM(T3:T14)</f>
        <v>0</v>
      </c>
      <c r="AN6" s="103">
        <f>AM6*参数调整!$F$32</f>
        <v>0</v>
      </c>
      <c r="AO6" s="219"/>
      <c r="AP6" s="219"/>
    </row>
    <row r="7" spans="1:42" ht="14.45" customHeight="1" thickBot="1">
      <c r="A7" s="85" t="s">
        <v>154</v>
      </c>
      <c r="B7" s="92">
        <f>SUMIF($M$3:$M$14,2,$Q$3:$Q$14)+SUMIF($M$3:$M$14,2,$R$3:$R$14)+SUMIF($M$3:$M$14,2,$S$3:$S$14)+SUMIF($M$3:$M$14,2,$T$3:$T$14)</f>
        <v>74</v>
      </c>
      <c r="C7" s="87">
        <f>参数调整!B49</f>
        <v>20</v>
      </c>
      <c r="D7" s="8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</v>
      </c>
      <c r="E7" s="87">
        <f>参数调整!G49</f>
        <v>1</v>
      </c>
      <c r="F7" s="1">
        <f>D7*G7*(参数调整!$B$6+1)</f>
        <v>1731.6</v>
      </c>
      <c r="G7" s="93">
        <f t="shared" si="1"/>
        <v>74</v>
      </c>
      <c r="H7" s="89"/>
      <c r="J7" s="79" t="s">
        <v>180</v>
      </c>
      <c r="K7" s="79">
        <v>1121</v>
      </c>
      <c r="L7" s="80" t="str">
        <f t="shared" ref="L7:L10" si="2">LEFT(K7,1)</f>
        <v>1</v>
      </c>
      <c r="M7" s="80" t="str">
        <f t="shared" ref="M7:M10" si="3">MID(K7,2,1)</f>
        <v>1</v>
      </c>
      <c r="N7" s="80" t="str">
        <f t="shared" ref="N7:N10" si="4">MID(K7,3,1)</f>
        <v>2</v>
      </c>
      <c r="O7" s="80" t="str">
        <f t="shared" ref="O7:O10" si="5">MID(K7,4,1)</f>
        <v>1</v>
      </c>
      <c r="P7" s="80" t="str">
        <f t="shared" si="0"/>
        <v/>
      </c>
      <c r="Q7" s="79">
        <v>78</v>
      </c>
      <c r="R7" s="79">
        <v>0</v>
      </c>
      <c r="S7" s="79">
        <v>0</v>
      </c>
      <c r="T7" s="79">
        <v>0</v>
      </c>
      <c r="U7" s="81">
        <f>TRUNC(Q7*参数调整!$I$30)+TRUNC(R7*参数调整!$H$30)+TRUNC(S7*参数调整!$G$30)+TRUNC(T7*参数调整!$F$30)</f>
        <v>58</v>
      </c>
      <c r="V7" s="81">
        <f>IF(J7="S",$R$19/$S$19*(参数调整!$G$11+参数调整!$I$11+参数调整!$J$11+参数调整!$K$11)/100+W7*参数调整!$H$11/100*$R$19/($T$19*$J$18),IF(J7="B",$R$20/$S$20*(参数调整!$G$12+参数调整!$I$12+参数调整!$J$12+参数调整!$K$12)/100+W7*参数调整!$H$12/100*$R$20/($T$20*$J$18),IF(J7="Q",$R$21/$S$21*(参数调整!$G$13+参数调整!$I$13+参数调整!$J$13+参数调整!$K$13)/100+W7*参数调整!$H$13/100*$R$21/($T$21*$J$18),$R$22/$S$22*(参数调整!$G$14+参数调整!$I$14+参数调整!$J$14+参数调整!$K$14)/100+W7*参数调整!$H$14/100*$R$22/($T$22*$J$18))))</f>
        <v>32.351188049139793</v>
      </c>
      <c r="W7" s="79">
        <v>10000</v>
      </c>
      <c r="X7" s="80">
        <f>IF(J7="S",W7*参数调整!$H$11/($T$19*$J$18),IF(J7="B",W7*参数调整!$H$12/($T$20*$J$18),IF(J7="Q",W7*参数调整!$H$13/($T$21*$J$18),W7*参数调整!$H$14/($T$22*$J$18))))</f>
        <v>0.68724680380912284</v>
      </c>
      <c r="AD7" s="182" t="s">
        <v>208</v>
      </c>
      <c r="AE7" s="103" t="s">
        <v>209</v>
      </c>
      <c r="AF7" s="79">
        <v>1</v>
      </c>
      <c r="AG7" s="185">
        <v>0</v>
      </c>
      <c r="AH7" s="1"/>
      <c r="AI7" s="209"/>
      <c r="AJ7" s="183"/>
      <c r="AK7" s="183"/>
      <c r="AL7" s="103" t="s">
        <v>101</v>
      </c>
      <c r="AM7" s="80">
        <f>SUM(R3:R14)</f>
        <v>0</v>
      </c>
      <c r="AN7" s="103">
        <f>AM7*参数调整!H32</f>
        <v>0</v>
      </c>
      <c r="AO7" s="2"/>
      <c r="AP7" s="2"/>
    </row>
    <row r="8" spans="1:42" ht="14.45" customHeight="1" thickBot="1">
      <c r="A8" s="85" t="s">
        <v>155</v>
      </c>
      <c r="B8" s="92">
        <f>SUMIF($M$3:$M$14,3,$Q$3:$Q$14)+SUMIF($M$3:$M$14,3,$R$3:$R$14)+SUMIF($M$3:$M$14,3,$S$3:$S$14)+SUMIF($M$3:$M$14,3,$T$3:$T$14)</f>
        <v>78</v>
      </c>
      <c r="C8" s="87">
        <f>参数调整!B50</f>
        <v>35</v>
      </c>
      <c r="D8" s="8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35</v>
      </c>
      <c r="E8" s="87">
        <f>参数调整!G50</f>
        <v>1</v>
      </c>
      <c r="F8" s="1">
        <f>D8*G8*(参数调整!$B$6+1)</f>
        <v>3194.1</v>
      </c>
      <c r="G8" s="93">
        <f t="shared" si="1"/>
        <v>78</v>
      </c>
      <c r="H8" s="89"/>
      <c r="J8" s="79" t="s">
        <v>180</v>
      </c>
      <c r="K8" s="79">
        <v>112</v>
      </c>
      <c r="L8" s="80" t="str">
        <f t="shared" si="2"/>
        <v>1</v>
      </c>
      <c r="M8" s="80" t="str">
        <f t="shared" si="3"/>
        <v>1</v>
      </c>
      <c r="N8" s="80" t="str">
        <f t="shared" si="4"/>
        <v>2</v>
      </c>
      <c r="O8" s="80" t="str">
        <f t="shared" si="5"/>
        <v/>
      </c>
      <c r="P8" s="80" t="str">
        <f t="shared" si="0"/>
        <v/>
      </c>
      <c r="Q8" s="79"/>
      <c r="R8" s="79">
        <v>0</v>
      </c>
      <c r="S8" s="79">
        <v>0</v>
      </c>
      <c r="T8" s="79"/>
      <c r="U8" s="81">
        <f>TRUNC(Q8*参数调整!$I$30)+TRUNC(R8*参数调整!$H$30)+TRUNC(S8*参数调整!$G$30)+TRUNC(T8*参数调整!$F$30)</f>
        <v>0</v>
      </c>
      <c r="V8" s="81">
        <f>IF(J8="S",$R$19/$S$19*(参数调整!$G$11+参数调整!$I$11+参数调整!$J$11+参数调整!$K$11)/100+W8*参数调整!$H$11/100*$R$19/($T$19*$J$18),IF(J8="B",$R$20/$S$20*(参数调整!$G$12+参数调整!$I$12+参数调整!$J$12+参数调整!$K$12)/100+W8*参数调整!$H$12/100*$R$20/($T$20*$J$18),IF(J8="Q",$R$21/$S$21*(参数调整!$G$13+参数调整!$I$13+参数调整!$J$13+参数调整!$K$13)/100+W8*参数调整!$H$13/100*$R$21/($T$21*$J$18),$R$22/$S$22*(参数调整!$G$14+参数调整!$I$14+参数调整!$J$14+参数调整!$K$14)/100+W8*参数调整!$H$14/100*$R$22/($T$22*$J$18))))</f>
        <v>27.09375</v>
      </c>
      <c r="W8" s="79">
        <v>0</v>
      </c>
      <c r="X8" s="80">
        <f>IF(J8="S",W8*参数调整!$H$11/($T$19*$J$18),IF(J8="B",W8*参数调整!$H$12/($T$20*$J$18),IF(J8="Q",W8*参数调整!$H$13/($T$21*$J$18),W8*参数调整!$H$14/($T$22*$J$18))))</f>
        <v>0</v>
      </c>
      <c r="AD8" s="183"/>
      <c r="AE8" s="103" t="s">
        <v>210</v>
      </c>
      <c r="AF8" s="79"/>
      <c r="AG8" s="186"/>
      <c r="AH8" s="1"/>
      <c r="AI8" s="209"/>
      <c r="AJ8" s="183"/>
      <c r="AK8" s="184"/>
      <c r="AL8" s="103" t="s">
        <v>273</v>
      </c>
      <c r="AM8" s="80">
        <f>SUM(S3:S14)</f>
        <v>0</v>
      </c>
      <c r="AN8" s="103">
        <f>AM8*参数调整!G32</f>
        <v>0</v>
      </c>
      <c r="AO8" s="2"/>
      <c r="AP8" s="2"/>
    </row>
    <row r="9" spans="1:42" ht="14.45" customHeight="1" thickBot="1">
      <c r="A9" s="85" t="s">
        <v>156</v>
      </c>
      <c r="B9" s="94">
        <f>SUMIF($N$3:$N$14,1,$Q$3:$Q$14)+SUMIF($N$3:$N$14,1,$R$3:$R$14)+SUMIF($N$3:$N$14,1,$S$3:$S$14)+SUMIF($N$3:$N$14,1,$T$3:$T$14)</f>
        <v>0</v>
      </c>
      <c r="C9" s="87">
        <f>参数调整!B51</f>
        <v>50</v>
      </c>
      <c r="D9" s="8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50</v>
      </c>
      <c r="E9" s="87">
        <f>参数调整!G51</f>
        <v>0</v>
      </c>
      <c r="F9" s="1">
        <f>D9*G9*(参数调整!$B$6+1)</f>
        <v>0</v>
      </c>
      <c r="G9" s="95">
        <f t="shared" si="1"/>
        <v>0</v>
      </c>
      <c r="H9" s="89"/>
      <c r="J9" s="82" t="s">
        <v>195</v>
      </c>
      <c r="K9" s="79">
        <v>121</v>
      </c>
      <c r="L9" s="80" t="str">
        <f t="shared" si="2"/>
        <v>1</v>
      </c>
      <c r="M9" s="80" t="str">
        <f t="shared" si="3"/>
        <v>2</v>
      </c>
      <c r="N9" s="80" t="str">
        <f t="shared" si="4"/>
        <v>1</v>
      </c>
      <c r="O9" s="80" t="str">
        <f t="shared" si="5"/>
        <v/>
      </c>
      <c r="P9" s="80" t="str">
        <f t="shared" si="0"/>
        <v/>
      </c>
      <c r="Q9" s="79"/>
      <c r="R9" s="79">
        <v>0</v>
      </c>
      <c r="S9" s="79">
        <v>0</v>
      </c>
      <c r="T9" s="79"/>
      <c r="U9" s="81">
        <f>TRUNC(Q9*参数调整!$I$30)+TRUNC(R9*参数调整!$H$30)+TRUNC(S9*参数调整!$G$30)+TRUNC(T9*参数调整!$F$30)</f>
        <v>0</v>
      </c>
      <c r="V9" s="81" t="e">
        <f>IF(J9="S",$R$19/$S$19*(参数调整!$G$11+参数调整!$I$11+参数调整!$J$11+参数调整!$K$11)/100+W9*参数调整!$H$11/100*$R$19/($T$19*$J$18),IF(J9="B",$R$20/$S$20*(参数调整!$G$12+参数调整!$I$12+参数调整!$J$12+参数调整!$K$12)/100+W9*参数调整!$H$12/100*$R$20/($T$20*$J$18),IF(J9="Q",$R$21/$S$21*(参数调整!$G$13+参数调整!$I$13+参数调整!$J$13+参数调整!$K$13)/100+W9*参数调整!$H$13/100*$R$21/($T$21*$J$18),$R$22/$S$22*(参数调整!$G$14+参数调整!$I$14+参数调整!$J$14+参数调整!$K$14)/100+W9*参数调整!$H$14/100*$R$22/($T$22*$J$18))))</f>
        <v>#DIV/0!</v>
      </c>
      <c r="W9" s="83"/>
      <c r="X9" s="80" t="e">
        <f>IF(J9="S",W9*参数调整!$H$11/($T$19*$J$18),IF(J9="B",W9*参数调整!$H$12/($T$20*$J$18),IF(J9="Q",W9*参数调整!$H$13/($T$21*$J$18),W9*参数调整!$H$14/($T$22*$J$18))))</f>
        <v>#DIV/0!</v>
      </c>
      <c r="AD9" s="184"/>
      <c r="AE9" s="103" t="s">
        <v>211</v>
      </c>
      <c r="AF9" s="79">
        <v>0</v>
      </c>
      <c r="AG9" s="187"/>
      <c r="AH9" s="1"/>
      <c r="AI9" s="209"/>
      <c r="AJ9" s="183"/>
      <c r="AK9" s="182" t="s">
        <v>243</v>
      </c>
      <c r="AL9" s="103" t="s">
        <v>244</v>
      </c>
      <c r="AM9" s="80">
        <f>AF7</f>
        <v>1</v>
      </c>
      <c r="AN9" s="103">
        <f>AM9*参数调整!$J$24</f>
        <v>5000</v>
      </c>
      <c r="AO9" s="2"/>
      <c r="AP9" s="2"/>
    </row>
    <row r="10" spans="1:42" ht="14.45" customHeight="1" thickBot="1">
      <c r="A10" s="85" t="s">
        <v>157</v>
      </c>
      <c r="B10" s="94">
        <f>SUMIF($N$3:$N$14,2,$Q$3:$Q$14)+SUMIF($N$3:$N$14,2,$R$3:$R$14)+SUMIF($N$3:$N$14,2,$S$3:$S$14)+SUMIF($N$3:$N$14,2,$T$3:$T$14)</f>
        <v>152</v>
      </c>
      <c r="C10" s="87">
        <f>参数调整!B52</f>
        <v>80</v>
      </c>
      <c r="D10" s="8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80</v>
      </c>
      <c r="E10" s="87">
        <f>参数调整!G52</f>
        <v>1</v>
      </c>
      <c r="F10" s="1">
        <f>D10*G10*(参数调整!$B$6+1)</f>
        <v>14227.199999999999</v>
      </c>
      <c r="G10" s="95">
        <f t="shared" si="1"/>
        <v>152</v>
      </c>
      <c r="H10" s="89"/>
      <c r="J10" s="82" t="s">
        <v>189</v>
      </c>
      <c r="K10" s="79">
        <v>122</v>
      </c>
      <c r="L10" s="80" t="str">
        <f t="shared" si="2"/>
        <v>1</v>
      </c>
      <c r="M10" s="80" t="str">
        <f t="shared" si="3"/>
        <v>2</v>
      </c>
      <c r="N10" s="80" t="str">
        <f t="shared" si="4"/>
        <v>2</v>
      </c>
      <c r="O10" s="80" t="str">
        <f t="shared" si="5"/>
        <v/>
      </c>
      <c r="P10" s="80" t="str">
        <f t="shared" si="0"/>
        <v/>
      </c>
      <c r="Q10" s="79"/>
      <c r="R10" s="79">
        <v>0</v>
      </c>
      <c r="S10" s="79">
        <v>0</v>
      </c>
      <c r="T10" s="79"/>
      <c r="U10" s="81">
        <f>TRUNC(Q10*参数调整!$I$30)+TRUNC(R10*参数调整!$H$30)+TRUNC(S10*参数调整!$G$30)+TRUNC(T10*参数调整!$F$30)</f>
        <v>0</v>
      </c>
      <c r="V10" s="81" t="e">
        <f>IF(J10="S",$R$19/$S$19*(参数调整!$G$11+参数调整!$I$11+参数调整!$J$11+参数调整!$K$11)/100+W10*参数调整!$H$11/100*$R$19/($T$19*$J$18),IF(J10="B",$R$20/$S$20*(参数调整!$G$12+参数调整!$I$12+参数调整!$J$12+参数调整!$K$12)/100+W10*参数调整!$H$12/100*$R$20/($T$20*$J$18),IF(J10="Q",$R$21/$S$21*(参数调整!$G$13+参数调整!$I$13+参数调整!$J$13+参数调整!$K$13)/100+W10*参数调整!$H$13/100*$R$21/($T$21*$J$18),$R$22/$S$22*(参数调整!$G$14+参数调整!$I$14+参数调整!$J$14+参数调整!$K$14)/100+W10*参数调整!$H$14/100*$R$22/($T$22*$J$18))))</f>
        <v>#DIV/0!</v>
      </c>
      <c r="W10" s="83">
        <v>0</v>
      </c>
      <c r="X10" s="80" t="e">
        <f>IF(J10="S",W10*参数调整!$H$11/($T$19*$J$18),IF(J10="B",W10*参数调整!$H$12/($T$20*$J$18),IF(J10="Q",W10*参数调整!$H$13/($T$21*$J$18),W10*参数调整!$H$14/($T$22*$J$18))))</f>
        <v>#DIV/0!</v>
      </c>
      <c r="AD10" s="182" t="s">
        <v>212</v>
      </c>
      <c r="AE10" s="103" t="s">
        <v>213</v>
      </c>
      <c r="AF10" s="79">
        <v>3</v>
      </c>
      <c r="AG10" s="78">
        <f>AF10*参数调整!$I$29</f>
        <v>150000</v>
      </c>
      <c r="AI10" s="209"/>
      <c r="AJ10" s="183"/>
      <c r="AK10" s="183"/>
      <c r="AL10" s="103" t="s">
        <v>245</v>
      </c>
      <c r="AM10" s="80">
        <f>AF8</f>
        <v>0</v>
      </c>
      <c r="AN10" s="103">
        <f>AM10*参数调整!$H$24</f>
        <v>0</v>
      </c>
      <c r="AO10" s="2"/>
      <c r="AP10" s="2"/>
    </row>
    <row r="11" spans="1:42" ht="14.45" customHeight="1" thickBot="1">
      <c r="A11" s="85" t="s">
        <v>158</v>
      </c>
      <c r="B11" s="94">
        <f>SUMIF($N$3:$N$14,3,$Q$3:$Q$14)+SUMIF($N$3:$N$14,3,$R$3:$R$14)+SUMIF($N$3:$N$14,3,$S$3:$S$14)+SUMIF($N$3:$N$14,3,$T$3:$T$14)</f>
        <v>78</v>
      </c>
      <c r="C11" s="87">
        <f>参数调整!B53</f>
        <v>110</v>
      </c>
      <c r="D11" s="8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110</v>
      </c>
      <c r="E11" s="87">
        <f>参数调整!G53</f>
        <v>0</v>
      </c>
      <c r="F11" s="1">
        <f>D11*G11*(参数调整!$B$6+1)</f>
        <v>10038.599999999999</v>
      </c>
      <c r="G11" s="95">
        <f t="shared" si="1"/>
        <v>78</v>
      </c>
      <c r="H11" s="89"/>
      <c r="J11" s="82"/>
      <c r="K11" s="79">
        <v>212</v>
      </c>
      <c r="L11" s="80" t="str">
        <f t="shared" ref="L11:L14" si="6">LEFT(K11,1)</f>
        <v>2</v>
      </c>
      <c r="M11" s="80" t="str">
        <f t="shared" ref="M11:M14" si="7">MID(K11,2,1)</f>
        <v>1</v>
      </c>
      <c r="N11" s="80" t="str">
        <f t="shared" ref="N11:N14" si="8">MID(K11,3,1)</f>
        <v>2</v>
      </c>
      <c r="O11" s="80" t="str">
        <f t="shared" ref="O11:O14" si="9">MID(K11,4,1)</f>
        <v/>
      </c>
      <c r="P11" s="80" t="str">
        <f t="shared" ref="P11:P14" si="10">MID(K11,5,1)</f>
        <v/>
      </c>
      <c r="Q11" s="79"/>
      <c r="R11" s="79">
        <v>0</v>
      </c>
      <c r="S11" s="79">
        <v>0</v>
      </c>
      <c r="T11" s="79"/>
      <c r="U11" s="81">
        <f>TRUNC(Q11*参数调整!$I$30)+TRUNC(R11*参数调整!$H$30)+TRUNC(S11*参数调整!$G$30)+TRUNC(T11*参数调整!$F$30)</f>
        <v>0</v>
      </c>
      <c r="V11" s="81" t="e">
        <f>IF(J11="S",$R$19/$S$19*(参数调整!$G$11+参数调整!$I$11+参数调整!$J$11+参数调整!$K$11)/100+W11*参数调整!$H$11/100*$R$19/($T$19*$J$18),IF(J11="B",$R$20/$S$20*(参数调整!$G$12+参数调整!$I$12+参数调整!$J$12+参数调整!$K$12)/100+W11*参数调整!$H$12/100*$R$20/($T$20*$J$18),IF(J11="Q",$R$21/$S$21*(参数调整!$G$13+参数调整!$I$13+参数调整!$J$13+参数调整!$K$13)/100+W11*参数调整!$H$13/100*$R$21/($T$21*$J$18),$R$22/$S$22*(参数调整!$G$14+参数调整!$I$14+参数调整!$J$14+参数调整!$K$14)/100+W11*参数调整!$H$14/100*$R$22/($T$22*$J$18))))</f>
        <v>#DIV/0!</v>
      </c>
      <c r="W11" s="79"/>
      <c r="X11" s="80" t="e">
        <f>IF(J11="S",W11*参数调整!$H$11/($T$19*$J$18),IF(J11="B",W11*参数调整!$H$12/($T$20*$J$18),IF(J11="Q",W11*参数调整!$H$13/($T$21*$J$18),W11*参数调整!$H$14/($T$22*$J$18))))</f>
        <v>#DIV/0!</v>
      </c>
      <c r="AD11" s="183"/>
      <c r="AE11" s="103" t="s">
        <v>214</v>
      </c>
      <c r="AF11" s="79">
        <v>0</v>
      </c>
      <c r="AG11" s="78">
        <f>AF11*参数调整!$H$29</f>
        <v>0</v>
      </c>
      <c r="AI11" s="209"/>
      <c r="AJ11" s="183"/>
      <c r="AK11" s="184"/>
      <c r="AL11" s="103" t="s">
        <v>246</v>
      </c>
      <c r="AM11" s="80">
        <f t="shared" ref="AM11" si="11">AF9</f>
        <v>0</v>
      </c>
      <c r="AN11" s="103">
        <f>AM11*参数调整!$F$24</f>
        <v>0</v>
      </c>
      <c r="AO11" s="2"/>
      <c r="AP11" s="2"/>
    </row>
    <row r="12" spans="1:42" ht="14.45" customHeight="1" thickBot="1">
      <c r="A12" s="85" t="s">
        <v>159</v>
      </c>
      <c r="B12" s="94">
        <f>SUMIF($N$3:$N$14,4,$Q$3:$Q$14)+SUMIF($N$3:$N$14,4,$R$3:$R$14)+SUMIF($N$3:$N$14,4,$S$3:$S$14)+SUMIF($N$3:$N$14,4,$T$3:$T$14)</f>
        <v>0</v>
      </c>
      <c r="C12" s="87">
        <f>参数调整!B54</f>
        <v>160</v>
      </c>
      <c r="D12" s="8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160</v>
      </c>
      <c r="E12" s="87">
        <f>参数调整!G54</f>
        <v>1</v>
      </c>
      <c r="F12" s="1">
        <f>D12*G12*(参数调整!$B$6+1)</f>
        <v>0</v>
      </c>
      <c r="G12" s="95">
        <f>IF(B12-E47&lt;=0,0,B12-E47)</f>
        <v>0</v>
      </c>
      <c r="H12" s="89"/>
      <c r="J12" s="82"/>
      <c r="K12" s="79">
        <v>1121</v>
      </c>
      <c r="L12" s="80" t="str">
        <f t="shared" si="6"/>
        <v>1</v>
      </c>
      <c r="M12" s="80" t="str">
        <f t="shared" si="7"/>
        <v>1</v>
      </c>
      <c r="N12" s="80" t="str">
        <f t="shared" si="8"/>
        <v>2</v>
      </c>
      <c r="O12" s="80" t="str">
        <f t="shared" si="9"/>
        <v>1</v>
      </c>
      <c r="P12" s="80" t="str">
        <f t="shared" si="10"/>
        <v/>
      </c>
      <c r="Q12" s="79"/>
      <c r="R12" s="79">
        <v>0</v>
      </c>
      <c r="S12" s="79">
        <v>0</v>
      </c>
      <c r="T12" s="79"/>
      <c r="U12" s="81">
        <f>TRUNC(Q12*参数调整!$I$30)+TRUNC(R12*参数调整!$H$30)+TRUNC(S12*参数调整!$G$30)+TRUNC(T12*参数调整!$F$30)</f>
        <v>0</v>
      </c>
      <c r="V12" s="81" t="e">
        <f>IF(J12="S",$R$19/$S$19*(参数调整!$G$11+参数调整!$I$11+参数调整!$J$11+参数调整!$K$11)/100+W12*参数调整!$H$11/100*$R$19/($T$19*$J$18),IF(J12="B",$R$20/$S$20*(参数调整!$G$12+参数调整!$I$12+参数调整!$J$12+参数调整!$K$12)/100+W12*参数调整!$H$12/100*$R$20/($T$20*$J$18),IF(J12="Q",$R$21/$S$21*(参数调整!$G$13+参数调整!$I$13+参数调整!$J$13+参数调整!$K$13)/100+W12*参数调整!$H$13/100*$R$21/($T$21*$J$18),$R$22/$S$22*(参数调整!$G$14+参数调整!$I$14+参数调整!$J$14+参数调整!$K$14)/100+W12*参数调整!$H$14/100*$R$22/($T$22*$J$18))))</f>
        <v>#DIV/0!</v>
      </c>
      <c r="W12" s="79">
        <v>0</v>
      </c>
      <c r="X12" s="80" t="e">
        <f>IF(J12="S",W12*参数调整!$H$11/($T$19*$J$18),IF(J12="B",W12*参数调整!$H$12/($T$20*$J$18),IF(J12="Q",W12*参数调整!$H$13/($T$21*$J$18),W12*参数调整!$H$14/($T$22*$J$18))))</f>
        <v>#DIV/0!</v>
      </c>
      <c r="AD12" s="183"/>
      <c r="AE12" s="103" t="s">
        <v>215</v>
      </c>
      <c r="AF12" s="79">
        <v>0</v>
      </c>
      <c r="AG12" s="78">
        <f>AF12*参数调整!$G$29</f>
        <v>0</v>
      </c>
      <c r="AI12" s="209"/>
      <c r="AJ12" s="183"/>
      <c r="AK12" s="202" t="s">
        <v>247</v>
      </c>
      <c r="AL12" s="203"/>
      <c r="AM12" s="80">
        <f>AF23</f>
        <v>3</v>
      </c>
      <c r="AN12" s="103">
        <f>AM12*参数调整!$J$18*(1+参数调整!$B$12+参数调整!$B$13+参数调整!$B$14+参数调整!$B$15+参数调整!$B$16)</f>
        <v>14536.8</v>
      </c>
      <c r="AO12" s="2"/>
      <c r="AP12" s="2"/>
    </row>
    <row r="13" spans="1:42" ht="14.45" customHeight="1" thickBot="1">
      <c r="A13" s="85" t="s">
        <v>160</v>
      </c>
      <c r="B13" s="96">
        <f>SUMIF($O$3:$O$14,1,$Q$3:$Q$14)+SUMIF($O$3:$O$14,1,$R$3:$R$14)+SUMIF($O$3:$O$14,1,$S$3:$S$14)+SUMIF($O$3:$O$14,1,$T$3:$T$14)+SUMIF($P$3:$P$14,1,$Q$3:$Q$14)+SUMIF($P$3:$P$14,1,$R$3:$R$14)+SUMIF($P$3:$P$14,1,$S$3:$S$14)+SUMIF($P$3:$P$14,1,$T$3:$T$14)</f>
        <v>78</v>
      </c>
      <c r="C13" s="87">
        <f>参数调整!B55</f>
        <v>50</v>
      </c>
      <c r="D13" s="8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50</v>
      </c>
      <c r="E13" s="87">
        <f>参数调整!G55</f>
        <v>1</v>
      </c>
      <c r="F13" s="1">
        <f>D13*G13*(参数调整!$B$6+1)</f>
        <v>4563</v>
      </c>
      <c r="G13" s="97">
        <f t="shared" si="1"/>
        <v>78</v>
      </c>
      <c r="H13" s="91">
        <v>136</v>
      </c>
      <c r="J13" s="82"/>
      <c r="K13" s="79">
        <v>121</v>
      </c>
      <c r="L13" s="80" t="str">
        <f t="shared" si="6"/>
        <v>1</v>
      </c>
      <c r="M13" s="80" t="str">
        <f t="shared" si="7"/>
        <v>2</v>
      </c>
      <c r="N13" s="80" t="str">
        <f t="shared" si="8"/>
        <v>1</v>
      </c>
      <c r="O13" s="80" t="str">
        <f t="shared" si="9"/>
        <v/>
      </c>
      <c r="P13" s="80" t="str">
        <f t="shared" si="10"/>
        <v/>
      </c>
      <c r="Q13" s="79"/>
      <c r="R13" s="79">
        <v>0</v>
      </c>
      <c r="S13" s="79">
        <v>0</v>
      </c>
      <c r="T13" s="79"/>
      <c r="U13" s="81">
        <f>TRUNC(Q13*参数调整!$I$30)+TRUNC(R13*参数调整!$H$30)+TRUNC(S13*参数调整!$G$30)+TRUNC(T13*参数调整!$F$30)</f>
        <v>0</v>
      </c>
      <c r="V13" s="81" t="e">
        <f>IF(J13="S",$R$19/$S$19*(参数调整!$G$11+参数调整!$I$11+参数调整!$J$11+参数调整!$K$11)/100+W13*参数调整!$H$11/100*$R$19/($T$19*$J$18),IF(J13="B",$R$20/$S$20*(参数调整!$G$12+参数调整!$I$12+参数调整!$J$12+参数调整!$K$12)/100+W13*参数调整!$H$12/100*$R$20/($T$20*$J$18),IF(J13="Q",$R$21/$S$21*(参数调整!$G$13+参数调整!$I$13+参数调整!$J$13+参数调整!$K$13)/100+W13*参数调整!$H$13/100*$R$21/($T$21*$J$18),$R$22/$S$22*(参数调整!$G$14+参数调整!$I$14+参数调整!$J$14+参数调整!$K$14)/100+W13*参数调整!$H$14/100*$R$22/($T$22*$J$18))))</f>
        <v>#DIV/0!</v>
      </c>
      <c r="W13" s="79">
        <v>0</v>
      </c>
      <c r="X13" s="80" t="e">
        <f>IF(J13="S",W13*参数调整!$H$11/($T$19*$J$18),IF(J13="B",W13*参数调整!$H$12/($T$20*$J$18),IF(J13="Q",W13*参数调整!$H$13/($T$21*$J$18),W13*参数调整!$H$14/($T$22*$J$18))))</f>
        <v>#DIV/0!</v>
      </c>
      <c r="AD13" s="184"/>
      <c r="AE13" s="103" t="s">
        <v>216</v>
      </c>
      <c r="AF13" s="79">
        <v>2</v>
      </c>
      <c r="AG13" s="78">
        <f>AF13*参数调整!$F$29</f>
        <v>240000</v>
      </c>
      <c r="AI13" s="209"/>
      <c r="AJ13" s="183"/>
      <c r="AK13" s="182" t="s">
        <v>248</v>
      </c>
      <c r="AL13" s="103" t="s">
        <v>102</v>
      </c>
      <c r="AM13" s="79">
        <v>4</v>
      </c>
      <c r="AN13" s="110">
        <f>AM13*参数调整!$I$33</f>
        <v>6000</v>
      </c>
      <c r="AO13" s="2"/>
      <c r="AP13" s="2"/>
    </row>
    <row r="14" spans="1:42" ht="14.45" customHeight="1" thickBot="1">
      <c r="A14" s="85" t="s">
        <v>161</v>
      </c>
      <c r="B14" s="96">
        <f>SUMIF($O$3:$O$14,2,$Q$3:$Q$14)+SUMIF($O$3:$O$14,2,$R$3:$R$14)+SUMIF($O$3:$O$14,2,$S$3:$S$14)+SUMIF($O$3:$O$14,2,$T$3:$T$14)+SUMIF($P$3:$P$14,2,$Q$3:$Q$14)+SUMIF($P$3:$P$14,2,$R$3:$R$14)+SUMIF($P$3:$P$14,2,$S$3:$S$14)+SUMIF($P$3:$P$14,2,$T$3:$T$14)</f>
        <v>0</v>
      </c>
      <c r="C14" s="87">
        <f>参数调整!B56</f>
        <v>50</v>
      </c>
      <c r="D14" s="8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87">
        <f>参数调整!G56</f>
        <v>1</v>
      </c>
      <c r="F14" s="1">
        <f>D14*G14*(参数调整!$B$6+1)</f>
        <v>0</v>
      </c>
      <c r="G14" s="97">
        <f t="shared" si="1"/>
        <v>0</v>
      </c>
      <c r="H14" s="91"/>
      <c r="J14" s="82"/>
      <c r="K14" s="79">
        <v>122</v>
      </c>
      <c r="L14" s="80" t="str">
        <f t="shared" si="6"/>
        <v>1</v>
      </c>
      <c r="M14" s="80" t="str">
        <f t="shared" si="7"/>
        <v>2</v>
      </c>
      <c r="N14" s="80" t="str">
        <f t="shared" si="8"/>
        <v>2</v>
      </c>
      <c r="O14" s="80" t="str">
        <f t="shared" si="9"/>
        <v/>
      </c>
      <c r="P14" s="80" t="str">
        <f t="shared" si="10"/>
        <v/>
      </c>
      <c r="Q14" s="79"/>
      <c r="R14" s="79">
        <v>0</v>
      </c>
      <c r="S14" s="79">
        <v>0</v>
      </c>
      <c r="T14" s="79"/>
      <c r="U14" s="81">
        <f>TRUNC(Q14*参数调整!$I$30)+TRUNC(R14*参数调整!$H$30)+TRUNC(S14*参数调整!$G$30)+TRUNC(T14*参数调整!$F$30)</f>
        <v>0</v>
      </c>
      <c r="V14" s="81" t="e">
        <f>IF(J14="S",$R$19/$S$19*(参数调整!$G$11+参数调整!$I$11+参数调整!$J$11+参数调整!$K$11)/100+W14*参数调整!$H$11/100*$R$19/($T$19*$J$18),IF(J14="B",$R$20/$S$20*(参数调整!$G$12+参数调整!$I$12+参数调整!$J$12+参数调整!$K$12)/100+W14*参数调整!$H$12/100*$R$20/($T$20*$J$18),IF(J14="Q",$R$21/$S$21*(参数调整!$G$13+参数调整!$I$13+参数调整!$J$13+参数调整!$K$13)/100+W14*参数调整!$H$13/100*$R$21/($T$21*$J$18),$R$22/$S$22*(参数调整!$G$14+参数调整!$I$14+参数调整!$J$14+参数调整!$K$14)/100+W14*参数调整!$H$14/100*$R$22/($T$22*$J$18))))</f>
        <v>#DIV/0!</v>
      </c>
      <c r="W14" s="79">
        <v>0</v>
      </c>
      <c r="X14" s="80" t="e">
        <f>IF(J14="S",W14*参数调整!$H$11/($T$19*$J$18),IF(J14="B",W14*参数调整!$H$12/($T$20*$J$18),IF(J14="Q",W14*参数调整!$H$13/($T$21*$J$18),W14*参数调整!$H$14/($T$22*$J$18))))</f>
        <v>#DIV/0!</v>
      </c>
      <c r="AD14" s="179" t="s">
        <v>217</v>
      </c>
      <c r="AE14" s="181"/>
      <c r="AF14" s="79">
        <v>3</v>
      </c>
      <c r="AG14" s="78">
        <f>AF14*参数调整!$B$31</f>
        <v>90000</v>
      </c>
      <c r="AI14" s="209"/>
      <c r="AJ14" s="183"/>
      <c r="AK14" s="183"/>
      <c r="AL14" s="103" t="s">
        <v>272</v>
      </c>
      <c r="AM14" s="79">
        <v>0</v>
      </c>
      <c r="AN14" s="103">
        <f>AM14*参数调整!$F$33</f>
        <v>0</v>
      </c>
      <c r="AO14" s="2"/>
      <c r="AP14" s="2"/>
    </row>
    <row r="15" spans="1:42" ht="14.45" customHeight="1" thickBot="1">
      <c r="A15" s="85" t="s">
        <v>162</v>
      </c>
      <c r="B15" s="96">
        <f>SUMIF($O$3:$O$14,3,$Q$3:$Q$14)+SUMIF($O$3:$O$14,3,$R$3:$R$14)+SUMIF($O$3:$O$14,3,$S$3:$S$14)+SUMIF($O$3:$O$14,3,$T$3:$T$14)+SUMIF($P$3:$P$14,3,$Q$3:$Q$14)+SUMIF($P$3:$P$14,3,$R$3:$R$14)+SUMIF($P$3:$P$14,3,$S$3:$S$14)+SUMIF($P$3:$P$14,3,$T$3:$T$14)</f>
        <v>0</v>
      </c>
      <c r="C15" s="87">
        <f>参数调整!B57</f>
        <v>80</v>
      </c>
      <c r="D15" s="8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80</v>
      </c>
      <c r="E15" s="87">
        <f>参数调整!G57</f>
        <v>1</v>
      </c>
      <c r="F15" s="1">
        <f>D15*G15*(参数调整!$B$6+1)</f>
        <v>0</v>
      </c>
      <c r="G15" s="97">
        <f t="shared" si="1"/>
        <v>0</v>
      </c>
      <c r="H15" s="91">
        <v>90</v>
      </c>
      <c r="Q15" s="80">
        <f>SUM(Q3:Q14)</f>
        <v>230</v>
      </c>
      <c r="R15" s="80">
        <f t="shared" ref="R15:T15" si="12">SUM(R3:R14)</f>
        <v>0</v>
      </c>
      <c r="S15" s="80">
        <f t="shared" si="12"/>
        <v>0</v>
      </c>
      <c r="T15" s="80">
        <f t="shared" si="12"/>
        <v>0</v>
      </c>
      <c r="AD15" s="179" t="s">
        <v>218</v>
      </c>
      <c r="AE15" s="181"/>
      <c r="AF15" s="79">
        <v>0</v>
      </c>
      <c r="AG15" s="78">
        <f>AF15*参数调整!$B$32</f>
        <v>0</v>
      </c>
      <c r="AI15" s="209"/>
      <c r="AJ15" s="183"/>
      <c r="AK15" s="183"/>
      <c r="AL15" s="103" t="s">
        <v>101</v>
      </c>
      <c r="AM15" s="79">
        <v>0</v>
      </c>
      <c r="AN15" s="103">
        <f>AM15*参数调整!$H$33</f>
        <v>0</v>
      </c>
      <c r="AO15" s="2"/>
      <c r="AP15" s="2"/>
    </row>
    <row r="16" spans="1:42" ht="14.45" customHeight="1" thickBot="1">
      <c r="A16" s="85" t="s">
        <v>163</v>
      </c>
      <c r="B16" s="96">
        <f>SUMIF($O$3:$O$14,4,$Q$3:$Q$14)+SUMIF($O$3:$O$14,4,$R$3:$R$14)+SUMIF($O$3:$O$14,4,$S$3:$S$14)+SUMIF($O$3:$O$14,4,$T$3:$T$14)+SUMIF($P$3:$P$14,4,$Q$3:$Q$14)+SUMIF($P$3:$P$14,4,$R$3:$R$14)+SUMIF($P$3:$P$14,4,$S$3:$S$14)+SUMIF($P$3:$P$14,4,$T$3:$T$14)</f>
        <v>78</v>
      </c>
      <c r="C16" s="87">
        <f>参数调整!B58</f>
        <v>90</v>
      </c>
      <c r="D16" s="8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90</v>
      </c>
      <c r="E16" s="87">
        <f>参数调整!G58</f>
        <v>1</v>
      </c>
      <c r="F16" s="1">
        <f>D16*G16*(参数调整!$B$6+1)</f>
        <v>8213.4</v>
      </c>
      <c r="G16" s="97">
        <f t="shared" si="1"/>
        <v>78</v>
      </c>
      <c r="H16" s="91"/>
      <c r="AD16" s="182" t="s">
        <v>219</v>
      </c>
      <c r="AE16" s="103" t="s">
        <v>220</v>
      </c>
      <c r="AF16" s="79">
        <v>1</v>
      </c>
      <c r="AG16" s="78">
        <f>AF16*参数调整!$F$3</f>
        <v>20000</v>
      </c>
      <c r="AI16" s="209"/>
      <c r="AJ16" s="184"/>
      <c r="AK16" s="184"/>
      <c r="AL16" s="103" t="s">
        <v>273</v>
      </c>
      <c r="AM16" s="79">
        <v>0</v>
      </c>
      <c r="AN16" s="103">
        <f>AM16*参数调整!$G$33</f>
        <v>0</v>
      </c>
      <c r="AO16" s="2"/>
      <c r="AP16" s="2"/>
    </row>
    <row r="17" spans="1:42" ht="13.9" customHeight="1">
      <c r="J17" s="193" t="s">
        <v>197</v>
      </c>
      <c r="K17" s="193"/>
      <c r="AD17" s="183"/>
      <c r="AE17" s="103" t="s">
        <v>221</v>
      </c>
      <c r="AF17" s="79">
        <v>1</v>
      </c>
      <c r="AG17" s="78">
        <f>AF17*参数调整!$F$4</f>
        <v>20000</v>
      </c>
      <c r="AH17" s="1"/>
      <c r="AI17" s="209"/>
      <c r="AJ17" s="179" t="s">
        <v>249</v>
      </c>
      <c r="AK17" s="180"/>
      <c r="AL17" s="181"/>
      <c r="AM17" s="80">
        <v>1</v>
      </c>
      <c r="AN17" s="103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9" customHeight="1">
      <c r="A18" s="177" t="s">
        <v>199</v>
      </c>
      <c r="B18" s="178"/>
      <c r="G18" s="84">
        <f>SUMIF(E3:E16,0,F3:F16)</f>
        <v>10951.199999999999</v>
      </c>
      <c r="J18" s="194">
        <v>32</v>
      </c>
      <c r="K18" s="195"/>
      <c r="Q18" s="78" t="s">
        <v>190</v>
      </c>
      <c r="R18" s="78" t="s">
        <v>191</v>
      </c>
      <c r="S18" s="78" t="s">
        <v>192</v>
      </c>
      <c r="T18" s="78" t="s">
        <v>193</v>
      </c>
      <c r="U18" s="78" t="s">
        <v>194</v>
      </c>
      <c r="V18" s="1"/>
      <c r="AD18" s="183"/>
      <c r="AE18" s="103" t="s">
        <v>222</v>
      </c>
      <c r="AF18" s="79">
        <v>1</v>
      </c>
      <c r="AG18" s="78">
        <f>AF18*参数调整!$F$5</f>
        <v>20000</v>
      </c>
      <c r="AH18" s="105"/>
      <c r="AI18" s="209"/>
      <c r="AJ18" s="211" t="s">
        <v>250</v>
      </c>
      <c r="AK18" s="212"/>
      <c r="AL18" s="103" t="s">
        <v>251</v>
      </c>
      <c r="AM18" s="80">
        <f>AF23</f>
        <v>3</v>
      </c>
      <c r="AN18" s="111">
        <f>AM18*参数调整!$B$10</f>
        <v>3000</v>
      </c>
      <c r="AO18" s="2"/>
      <c r="AP18" s="2"/>
    </row>
    <row r="19" spans="1:42" ht="13.9" customHeight="1">
      <c r="J19" s="194"/>
      <c r="K19" s="195"/>
      <c r="N19" s="1">
        <f>R19-(第二季度!R18-第二季度!W18)</f>
        <v>623</v>
      </c>
      <c r="Q19" s="78" t="s">
        <v>178</v>
      </c>
      <c r="R19" s="79">
        <v>595</v>
      </c>
      <c r="S19" s="79">
        <v>17</v>
      </c>
      <c r="T19" s="79">
        <v>7575.757575757576</v>
      </c>
      <c r="U19" s="80">
        <f>35*J22</f>
        <v>1120</v>
      </c>
      <c r="V19" s="98">
        <v>7575.757575757576</v>
      </c>
      <c r="AD19" s="183"/>
      <c r="AE19" s="103" t="s">
        <v>223</v>
      </c>
      <c r="AF19" s="79">
        <v>1</v>
      </c>
      <c r="AG19" s="78">
        <f>AF19*参数调整!$F$6</f>
        <v>20000</v>
      </c>
      <c r="AH19" s="1"/>
      <c r="AI19" s="209"/>
      <c r="AJ19" s="189"/>
      <c r="AK19" s="213"/>
      <c r="AL19" s="103" t="s">
        <v>252</v>
      </c>
      <c r="AM19" s="80">
        <f>AF24</f>
        <v>3</v>
      </c>
      <c r="AN19" s="103">
        <f>AM19*参数调整!$B$10</f>
        <v>3000</v>
      </c>
      <c r="AO19" s="2"/>
      <c r="AP19" s="2"/>
    </row>
    <row r="20" spans="1:42" ht="13.9" customHeight="1">
      <c r="A20" s="87"/>
      <c r="B20" s="78" t="s">
        <v>200</v>
      </c>
      <c r="C20" s="78"/>
      <c r="D20" s="78"/>
      <c r="E20" s="78"/>
      <c r="F20" s="78"/>
      <c r="G20" s="78" t="s">
        <v>193</v>
      </c>
      <c r="H20" s="1"/>
      <c r="J20" s="194"/>
      <c r="K20" s="195"/>
      <c r="N20" s="1">
        <f>R20-(第二季度!R19-第二季度!W19)</f>
        <v>566</v>
      </c>
      <c r="Q20" s="78" t="s">
        <v>179</v>
      </c>
      <c r="R20" s="79">
        <v>544</v>
      </c>
      <c r="S20" s="79">
        <v>17</v>
      </c>
      <c r="T20" s="79">
        <v>6921.4876033057844</v>
      </c>
      <c r="U20" s="80">
        <f>32*J22</f>
        <v>1024</v>
      </c>
      <c r="V20" s="98">
        <v>6921.4876033057844</v>
      </c>
      <c r="AD20" s="183"/>
      <c r="AE20" s="103" t="s">
        <v>224</v>
      </c>
      <c r="AF20" s="79">
        <v>1</v>
      </c>
      <c r="AG20" s="78">
        <f>AF20*参数调整!$F$7</f>
        <v>20000</v>
      </c>
      <c r="AH20" s="1"/>
      <c r="AI20" s="209"/>
      <c r="AJ20" s="211" t="s">
        <v>253</v>
      </c>
      <c r="AK20" s="212"/>
      <c r="AL20" s="103" t="s">
        <v>102</v>
      </c>
      <c r="AM20" s="79">
        <v>4</v>
      </c>
      <c r="AN20" s="103">
        <f>AM20*参数调整!$I$29</f>
        <v>200000</v>
      </c>
      <c r="AO20" s="2"/>
      <c r="AP20" s="2"/>
    </row>
    <row r="21" spans="1:42" ht="13.9" customHeight="1">
      <c r="A21" s="78" t="s">
        <v>178</v>
      </c>
      <c r="B21" s="79">
        <v>0.09</v>
      </c>
      <c r="C21" s="1"/>
      <c r="D21" s="1"/>
      <c r="E21" s="1"/>
      <c r="F21" s="1"/>
      <c r="G21" s="78">
        <f>Y3*参数调整!H11/(B21*$J$18)</f>
        <v>5208.3333333333339</v>
      </c>
      <c r="H21" s="1">
        <f>G21/3</f>
        <v>1736.1111111111113</v>
      </c>
      <c r="J21" s="193" t="s">
        <v>198</v>
      </c>
      <c r="K21" s="196"/>
      <c r="N21" s="1">
        <f>R21-(第二季度!R20-第二季度!W20)</f>
        <v>805</v>
      </c>
      <c r="Q21" s="78" t="s">
        <v>180</v>
      </c>
      <c r="R21" s="79">
        <v>765</v>
      </c>
      <c r="S21" s="79">
        <v>24</v>
      </c>
      <c r="T21" s="79">
        <v>6820.6937799043071</v>
      </c>
      <c r="U21" s="80">
        <f>45*J22</f>
        <v>1440</v>
      </c>
      <c r="V21" s="98">
        <v>6820.6937799043071</v>
      </c>
      <c r="AD21" s="184"/>
      <c r="AE21" s="103" t="s">
        <v>225</v>
      </c>
      <c r="AF21" s="79">
        <v>1</v>
      </c>
      <c r="AG21" s="78">
        <f>AF21*参数调整!$F$8</f>
        <v>20000</v>
      </c>
      <c r="AH21" s="1"/>
      <c r="AI21" s="209"/>
      <c r="AJ21" s="188"/>
      <c r="AK21" s="214"/>
      <c r="AL21" s="103" t="s">
        <v>272</v>
      </c>
      <c r="AM21" s="79">
        <v>0</v>
      </c>
      <c r="AN21" s="103">
        <f>AM21*参数调整!$F$29</f>
        <v>0</v>
      </c>
      <c r="AO21" s="2"/>
      <c r="AP21" s="2"/>
    </row>
    <row r="22" spans="1:42" ht="13.9" customHeight="1">
      <c r="A22" s="78" t="s">
        <v>179</v>
      </c>
      <c r="B22" s="79">
        <v>0.33</v>
      </c>
      <c r="C22" s="1"/>
      <c r="D22" s="1"/>
      <c r="E22" s="1"/>
      <c r="F22" s="1"/>
      <c r="G22" s="78">
        <f>Y4*参数调整!H12/(B22*$J$18)</f>
        <v>4758.522727272727</v>
      </c>
      <c r="H22" s="1">
        <f>G22/5</f>
        <v>951.70454545454538</v>
      </c>
      <c r="J22" s="194">
        <v>32</v>
      </c>
      <c r="K22" s="195"/>
      <c r="N22" s="1">
        <f>R22-(第二季度!R21-第二季度!W21)</f>
        <v>45</v>
      </c>
      <c r="Q22" s="78" t="s">
        <v>195</v>
      </c>
      <c r="R22" s="79"/>
      <c r="S22" s="79"/>
      <c r="T22" s="79"/>
      <c r="U22" s="80">
        <f>50*J22</f>
        <v>1600</v>
      </c>
      <c r="V22" s="98">
        <v>0</v>
      </c>
      <c r="AD22" s="197" t="s">
        <v>232</v>
      </c>
      <c r="AE22" s="198"/>
      <c r="AF22" s="79">
        <v>0</v>
      </c>
      <c r="AG22" s="78">
        <f>AF22*参数调整!$C$40</f>
        <v>0</v>
      </c>
      <c r="AI22" s="209"/>
      <c r="AJ22" s="188"/>
      <c r="AK22" s="214"/>
      <c r="AL22" s="103" t="s">
        <v>101</v>
      </c>
      <c r="AM22" s="79">
        <v>0</v>
      </c>
      <c r="AN22" s="103">
        <f>AM22*参数调整!$H$29</f>
        <v>0</v>
      </c>
      <c r="AO22" s="2"/>
      <c r="AP22" s="2"/>
    </row>
    <row r="23" spans="1:42" ht="13.9" customHeight="1">
      <c r="A23" s="78" t="s">
        <v>180</v>
      </c>
      <c r="B23" s="79">
        <v>0.19</v>
      </c>
      <c r="C23" s="1"/>
      <c r="D23" s="1"/>
      <c r="E23" s="1"/>
      <c r="F23" s="1"/>
      <c r="G23" s="78">
        <f>Y5*参数调整!H13/(B23*$J$18)</f>
        <v>4689.2269736842109</v>
      </c>
      <c r="H23" s="1">
        <f>G23/3</f>
        <v>1563.0756578947369</v>
      </c>
      <c r="J23" s="194"/>
      <c r="K23" s="195"/>
      <c r="Q23" s="99" t="s">
        <v>196</v>
      </c>
      <c r="R23" s="1"/>
      <c r="S23" s="1"/>
      <c r="T23" s="1"/>
      <c r="U23" s="1"/>
      <c r="V23" s="1"/>
      <c r="AD23" s="179" t="s">
        <v>226</v>
      </c>
      <c r="AE23" s="181"/>
      <c r="AF23" s="79">
        <v>3</v>
      </c>
      <c r="AG23" s="78">
        <f>AF23*参数调整!$F$18</f>
        <v>900</v>
      </c>
      <c r="AI23" s="209"/>
      <c r="AJ23" s="189"/>
      <c r="AK23" s="213"/>
      <c r="AL23" s="103" t="s">
        <v>273</v>
      </c>
      <c r="AM23" s="79">
        <v>0</v>
      </c>
      <c r="AN23" s="103">
        <f>AM23*参数调整!$G$29</f>
        <v>0</v>
      </c>
      <c r="AO23" s="2"/>
      <c r="AP23" s="2"/>
    </row>
    <row r="24" spans="1:42" ht="13.9" customHeight="1">
      <c r="A24" s="78" t="s">
        <v>195</v>
      </c>
      <c r="B24" s="79">
        <v>0</v>
      </c>
      <c r="C24" s="1"/>
      <c r="D24" s="1"/>
      <c r="E24" s="1"/>
      <c r="F24" s="1"/>
      <c r="G24" s="78">
        <v>0</v>
      </c>
      <c r="H24" s="1"/>
      <c r="J24" s="194"/>
      <c r="K24" s="195"/>
      <c r="Q24" s="100">
        <v>9</v>
      </c>
      <c r="R24" s="1"/>
      <c r="S24" s="1"/>
      <c r="T24" s="1"/>
      <c r="U24" s="1"/>
      <c r="V24" s="1"/>
      <c r="AD24" s="179" t="s">
        <v>227</v>
      </c>
      <c r="AE24" s="181"/>
      <c r="AF24" s="79">
        <v>3</v>
      </c>
      <c r="AG24" s="78">
        <f>AF24*参数调整!$F$17</f>
        <v>1500</v>
      </c>
      <c r="AI24" s="209"/>
      <c r="AJ24" s="211" t="s">
        <v>254</v>
      </c>
      <c r="AK24" s="212"/>
      <c r="AL24" s="103" t="s">
        <v>255</v>
      </c>
      <c r="AM24" s="79">
        <v>0</v>
      </c>
      <c r="AN24" s="103">
        <f>AM24*参数调整!$F$23</f>
        <v>0</v>
      </c>
      <c r="AO24" s="2"/>
      <c r="AP24" s="2"/>
    </row>
    <row r="25" spans="1:42" ht="13.9" customHeight="1">
      <c r="AD25" s="179" t="s">
        <v>228</v>
      </c>
      <c r="AE25" s="180"/>
      <c r="AF25" s="181"/>
      <c r="AG25" s="78">
        <f>SUM(W3:W14)</f>
        <v>28000</v>
      </c>
      <c r="AI25" s="209"/>
      <c r="AJ25" s="188"/>
      <c r="AK25" s="214"/>
      <c r="AL25" s="103" t="s">
        <v>256</v>
      </c>
      <c r="AM25" s="79">
        <v>0</v>
      </c>
      <c r="AN25" s="103">
        <f>AM25*参数调整!$H$23</f>
        <v>0</v>
      </c>
      <c r="AO25" s="2"/>
      <c r="AP25" s="2"/>
    </row>
    <row r="26" spans="1:42" ht="13.9" customHeight="1">
      <c r="AD26" s="179" t="s">
        <v>229</v>
      </c>
      <c r="AE26" s="180"/>
      <c r="AF26" s="181"/>
      <c r="AG26" s="78">
        <f>G18</f>
        <v>10951.199999999999</v>
      </c>
      <c r="AI26" s="209"/>
      <c r="AJ26" s="189"/>
      <c r="AK26" s="213"/>
      <c r="AL26" s="103" t="s">
        <v>257</v>
      </c>
      <c r="AM26" s="79">
        <v>0</v>
      </c>
      <c r="AN26" s="103">
        <f>AM26*参数调整!$J$23</f>
        <v>0</v>
      </c>
      <c r="AO26" s="2"/>
      <c r="AP26" s="2"/>
    </row>
    <row r="27" spans="1:42" ht="13.9" customHeight="1">
      <c r="AD27" s="179" t="s">
        <v>230</v>
      </c>
      <c r="AE27" s="180"/>
      <c r="AF27" s="181"/>
      <c r="AG27" s="108">
        <f>AG3-SUM(AG4:AG26)</f>
        <v>-134351.19999999995</v>
      </c>
      <c r="AH27" s="107">
        <f>AG27/(1-参数调整!B18)</f>
        <v>-141422.31578947365</v>
      </c>
      <c r="AI27" s="209"/>
      <c r="AJ27" s="179" t="s">
        <v>258</v>
      </c>
      <c r="AK27" s="180"/>
      <c r="AL27" s="181"/>
      <c r="AM27" s="80">
        <v>3</v>
      </c>
      <c r="AN27" s="103">
        <f>AM27*参数调整!$J$17*(1+参数调整!$B$12+参数调整!$B$13+参数调整!$B$14+参数调整!$B$15+参数调整!$B$16)</f>
        <v>16151.999999999998</v>
      </c>
      <c r="AO27" s="2"/>
      <c r="AP27" s="2"/>
    </row>
    <row r="28" spans="1:42" ht="13.9" customHeight="1">
      <c r="AD28" s="179" t="s">
        <v>231</v>
      </c>
      <c r="AE28" s="180"/>
      <c r="AF28" s="181"/>
      <c r="AG28" s="79">
        <v>150000</v>
      </c>
      <c r="AI28" s="209"/>
      <c r="AJ28" s="182" t="s">
        <v>259</v>
      </c>
      <c r="AK28" s="199" t="s">
        <v>260</v>
      </c>
      <c r="AL28" s="217" t="s">
        <v>178</v>
      </c>
      <c r="AM28" s="215">
        <v>0</v>
      </c>
      <c r="AN28" s="182">
        <f>AM28*参数调整!$B$30*参数调整!F11</f>
        <v>0</v>
      </c>
      <c r="AO28" s="2"/>
      <c r="AP28" s="2"/>
    </row>
    <row r="29" spans="1:42" ht="13.9" customHeight="1">
      <c r="AD29" s="197" t="s">
        <v>230</v>
      </c>
      <c r="AE29" s="197"/>
      <c r="AF29" s="197"/>
      <c r="AG29" s="106">
        <f>AG28*(1-参数调整!B18)+AG27</f>
        <v>8148.8000000000466</v>
      </c>
      <c r="AI29" s="209"/>
      <c r="AJ29" s="183"/>
      <c r="AK29" s="200"/>
      <c r="AL29" s="218"/>
      <c r="AM29" s="216"/>
      <c r="AN29" s="184"/>
      <c r="AO29" s="2"/>
      <c r="AP29" s="2"/>
    </row>
    <row r="30" spans="1:42" ht="13.9" customHeight="1">
      <c r="AI30" s="209"/>
      <c r="AJ30" s="183"/>
      <c r="AK30" s="200"/>
      <c r="AL30" s="217" t="s">
        <v>179</v>
      </c>
      <c r="AM30" s="215">
        <v>0</v>
      </c>
      <c r="AN30" s="182">
        <f>参数调整!F12*AM30*参数调整!$B$30</f>
        <v>0</v>
      </c>
      <c r="AO30" s="2"/>
      <c r="AP30" s="2"/>
    </row>
    <row r="31" spans="1:42" ht="13.9" customHeight="1">
      <c r="AI31" s="209"/>
      <c r="AJ31" s="183"/>
      <c r="AK31" s="200"/>
      <c r="AL31" s="218"/>
      <c r="AM31" s="216"/>
      <c r="AN31" s="184"/>
      <c r="AO31" s="2"/>
      <c r="AP31" s="2"/>
    </row>
    <row r="32" spans="1:42" ht="13.9" customHeight="1">
      <c r="AI32" s="209"/>
      <c r="AJ32" s="183"/>
      <c r="AK32" s="200"/>
      <c r="AL32" s="217" t="s">
        <v>180</v>
      </c>
      <c r="AM32" s="215">
        <v>0</v>
      </c>
      <c r="AN32" s="182">
        <f>参数调整!F13*AM32*参数调整!$B$30</f>
        <v>0</v>
      </c>
      <c r="AO32" s="2"/>
      <c r="AP32" s="2"/>
    </row>
    <row r="33" spans="4:42" ht="13.9" customHeight="1">
      <c r="AI33" s="209"/>
      <c r="AJ33" s="183"/>
      <c r="AK33" s="200"/>
      <c r="AL33" s="218"/>
      <c r="AM33" s="216"/>
      <c r="AN33" s="184"/>
      <c r="AO33" s="2"/>
      <c r="AP33" s="2"/>
    </row>
    <row r="34" spans="4:42" ht="13.9" customHeight="1">
      <c r="AI34" s="209"/>
      <c r="AJ34" s="183"/>
      <c r="AK34" s="200"/>
      <c r="AL34" s="217" t="s">
        <v>195</v>
      </c>
      <c r="AM34" s="215">
        <v>0</v>
      </c>
      <c r="AN34" s="182">
        <f>参数调整!F14*AM34*参数调整!$B$30</f>
        <v>0</v>
      </c>
      <c r="AO34" s="2"/>
      <c r="AP34" s="2"/>
    </row>
    <row r="35" spans="4:42" ht="13.9" customHeight="1">
      <c r="AI35" s="209"/>
      <c r="AJ35" s="184"/>
      <c r="AK35" s="201"/>
      <c r="AL35" s="218"/>
      <c r="AM35" s="216"/>
      <c r="AN35" s="184"/>
      <c r="AO35" s="103" t="s">
        <v>261</v>
      </c>
      <c r="AP35" s="103" t="s">
        <v>262</v>
      </c>
    </row>
    <row r="36" spans="4:42" ht="13.9" customHeight="1">
      <c r="D36" s="204" t="s">
        <v>306</v>
      </c>
      <c r="E36" s="204" t="s">
        <v>307</v>
      </c>
      <c r="AI36" s="210"/>
      <c r="AJ36" s="179" t="s">
        <v>263</v>
      </c>
      <c r="AK36" s="180"/>
      <c r="AL36" s="180"/>
      <c r="AM36" s="181"/>
      <c r="AN36" s="106">
        <f>AN2-SUM(AN5:AN19)+SUM(AN20:AN26)-SUM(AN27:AN35)+AO36*(1-参数调整!B23)+第一季度!AP36*(1-参数调整!B24)</f>
        <v>220403.20000000001</v>
      </c>
      <c r="AO36" s="79">
        <v>0</v>
      </c>
      <c r="AP36" s="79">
        <v>0</v>
      </c>
    </row>
    <row r="37" spans="4:42" ht="13.9" customHeight="1">
      <c r="D37" s="204"/>
      <c r="E37" s="204"/>
      <c r="AI37" s="205" t="s">
        <v>264</v>
      </c>
      <c r="AJ37" s="179" t="s">
        <v>265</v>
      </c>
      <c r="AK37" s="180"/>
      <c r="AL37" s="180"/>
      <c r="AM37" s="181"/>
      <c r="AN37" s="80">
        <f>AO3-AO36</f>
        <v>75816</v>
      </c>
      <c r="AO37" s="2"/>
      <c r="AP37" s="2"/>
    </row>
    <row r="38" spans="4:42" ht="13.9" customHeight="1">
      <c r="D38" s="87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40</v>
      </c>
      <c r="E38" s="2">
        <v>0</v>
      </c>
      <c r="AI38" s="206"/>
      <c r="AJ38" s="179" t="s">
        <v>266</v>
      </c>
      <c r="AK38" s="180"/>
      <c r="AL38" s="180"/>
      <c r="AM38" s="181"/>
      <c r="AN38" s="80">
        <f>F3*E3+F4*E4+F5*E5*1.5+F6*E6+F7*E7+F8*E8+F9*E9+F10*E10+F11*E11+F12*E12+F13*E13*1.5+F14*E14*1.5+F15*E15*1.5+F16*E16*1.5</f>
        <v>60488.999999999993</v>
      </c>
      <c r="AO38" s="2"/>
      <c r="AP38" s="2"/>
    </row>
    <row r="39" spans="4:42" ht="13.9" customHeight="1">
      <c r="D39" s="87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80</v>
      </c>
      <c r="E39" s="2">
        <v>0</v>
      </c>
      <c r="AI39" s="206"/>
      <c r="AJ39" s="179" t="s">
        <v>267</v>
      </c>
      <c r="AK39" s="180"/>
      <c r="AL39" s="180"/>
      <c r="AM39" s="181"/>
      <c r="AN39" s="80">
        <f>H5*D40*(1+参数调整!$B$6)+H13*D48*(1+参数调整!$B$6)+H14*D49*(1+参数调整!$B$6)+H15*D50*(1+参数调整!$B$6)+H16*D51*(1+参数调整!$B$6)</f>
        <v>27963</v>
      </c>
      <c r="AO39" s="2"/>
      <c r="AP39" s="2"/>
    </row>
    <row r="40" spans="4:42" ht="13.9" customHeight="1">
      <c r="D40" s="87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110</v>
      </c>
      <c r="E40" s="2">
        <v>0</v>
      </c>
      <c r="AI40" s="206"/>
      <c r="AJ40" s="179" t="s">
        <v>268</v>
      </c>
      <c r="AK40" s="180"/>
      <c r="AL40" s="180"/>
      <c r="AM40" s="181"/>
      <c r="AN40" s="80">
        <v>10000</v>
      </c>
      <c r="AO40" s="2"/>
      <c r="AP40" s="2"/>
    </row>
    <row r="41" spans="4:42" ht="13.9" customHeight="1">
      <c r="D41" s="87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10</v>
      </c>
      <c r="E41" s="2">
        <v>0</v>
      </c>
      <c r="AI41" s="206"/>
      <c r="AJ41" s="179" t="s">
        <v>269</v>
      </c>
      <c r="AK41" s="180"/>
      <c r="AL41" s="180"/>
      <c r="AM41" s="181"/>
      <c r="AN41" s="80">
        <f>(AN2+AO3-AK2)*参数调整!$B$6/(1+参数调整!$B$6)-(F3+F4+F5*1.5+F6+F7+F8+F9+F10+F11+F12+F13*1.5+F14*1.5+F15*1.5+F16*1.5)/(1+参数调整!$B$6)*参数调整!$B$6</f>
        <v>13487.800000000005</v>
      </c>
      <c r="AO41" s="2"/>
      <c r="AP41" s="2"/>
    </row>
    <row r="42" spans="4:42" ht="13.9" customHeight="1">
      <c r="D42" s="8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20</v>
      </c>
      <c r="E42" s="2">
        <v>0</v>
      </c>
      <c r="AI42" s="206"/>
      <c r="AJ42" s="179" t="s">
        <v>270</v>
      </c>
      <c r="AK42" s="180"/>
      <c r="AL42" s="180"/>
      <c r="AM42" s="181"/>
      <c r="AN42" s="80">
        <f>AN41*(参数调整!$B$7+参数调整!$B$8+参数调整!$B$9)</f>
        <v>1618.5360000000007</v>
      </c>
      <c r="AO42" s="2"/>
      <c r="AP42" s="2"/>
    </row>
    <row r="43" spans="4:42" ht="13.9" customHeight="1">
      <c r="D43" s="8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35</v>
      </c>
      <c r="E43" s="2">
        <v>0</v>
      </c>
      <c r="AI43" s="206"/>
      <c r="AJ43" s="179" t="s">
        <v>271</v>
      </c>
      <c r="AK43" s="180"/>
      <c r="AL43" s="180"/>
      <c r="AM43" s="181"/>
      <c r="AN43" s="80">
        <v>0</v>
      </c>
      <c r="AO43" s="2"/>
      <c r="AP43" s="2"/>
    </row>
    <row r="44" spans="4:42" ht="13.9" customHeight="1">
      <c r="D44" s="8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v>0</v>
      </c>
      <c r="AI44" s="207"/>
      <c r="AJ44" s="179" t="s">
        <v>263</v>
      </c>
      <c r="AK44" s="180"/>
      <c r="AL44" s="180"/>
      <c r="AM44" s="181"/>
      <c r="AN44" s="106">
        <f>AN36+AN37-SUM(AN38:AN43)</f>
        <v>182660.864</v>
      </c>
      <c r="AO44" s="2"/>
      <c r="AP44" s="2"/>
    </row>
    <row r="45" spans="4:42" ht="13.9" customHeight="1">
      <c r="D45" s="8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80</v>
      </c>
      <c r="E45" s="2">
        <v>0</v>
      </c>
    </row>
    <row r="46" spans="4:42" ht="13.9" customHeight="1">
      <c r="D46" s="8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110</v>
      </c>
      <c r="E46" s="2">
        <v>0</v>
      </c>
    </row>
    <row r="47" spans="4:42" ht="13.9" customHeight="1">
      <c r="D47" s="8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160</v>
      </c>
      <c r="E47" s="2">
        <v>0</v>
      </c>
    </row>
    <row r="48" spans="4:42" ht="13.9" customHeight="1">
      <c r="D48" s="8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50</v>
      </c>
      <c r="E48" s="2">
        <v>0</v>
      </c>
    </row>
    <row r="49" spans="4:5" ht="13.9" customHeight="1">
      <c r="D49" s="8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2">
        <v>0</v>
      </c>
    </row>
    <row r="50" spans="4:5" ht="13.9" customHeight="1">
      <c r="D50" s="8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80</v>
      </c>
      <c r="E50" s="2">
        <v>0</v>
      </c>
    </row>
    <row r="51" spans="4:5" ht="13.9" customHeight="1">
      <c r="D51" s="8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90</v>
      </c>
      <c r="E51" s="2">
        <v>0</v>
      </c>
    </row>
    <row r="52" spans="4:5" ht="13.9" customHeight="1"/>
    <row r="53" spans="4:5" ht="13.9" customHeight="1"/>
    <row r="54" spans="4:5" ht="13.9" customHeight="1"/>
    <row r="55" spans="4:5" ht="13.9" customHeight="1"/>
    <row r="56" spans="4:5" ht="13.9" customHeight="1"/>
    <row r="57" spans="4:5" ht="13.9" customHeight="1"/>
    <row r="58" spans="4:5" ht="13.9" customHeight="1"/>
    <row r="59" spans="4:5" ht="13.9" customHeight="1"/>
    <row r="60" spans="4:5" ht="13.9" customHeight="1"/>
    <row r="61" spans="4:5" ht="13.9" customHeight="1"/>
    <row r="62" spans="4:5" ht="13.9" customHeight="1"/>
    <row r="63" spans="4:5" ht="13.9" customHeight="1"/>
    <row r="64" spans="4:5" ht="13.9" customHeight="1"/>
    <row r="65" ht="13.9" customHeight="1"/>
    <row r="66" ht="13.9" customHeight="1"/>
    <row r="67" ht="13.9" customHeight="1"/>
    <row r="68" ht="20.45" customHeight="1"/>
    <row r="69" ht="20.45" customHeight="1"/>
    <row r="70" ht="20.45" customHeight="1"/>
    <row r="71" ht="20.45" customHeight="1"/>
    <row r="72" ht="20.45" customHeight="1"/>
    <row r="73" ht="20.45" customHeight="1"/>
  </sheetData>
  <mergeCells count="72">
    <mergeCell ref="AO4:AP4"/>
    <mergeCell ref="AO5:AP6"/>
    <mergeCell ref="AL28:AL29"/>
    <mergeCell ref="AM28:AM29"/>
    <mergeCell ref="AN28:AN29"/>
    <mergeCell ref="AJ4:AL4"/>
    <mergeCell ref="AN2:AN3"/>
    <mergeCell ref="AJ28:AJ35"/>
    <mergeCell ref="AI2:AJ3"/>
    <mergeCell ref="AK2:AK3"/>
    <mergeCell ref="AL2:AM3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D36:D37"/>
    <mergeCell ref="E36:E37"/>
    <mergeCell ref="AI37:AI44"/>
    <mergeCell ref="AJ39:AM39"/>
    <mergeCell ref="AJ40:AM40"/>
    <mergeCell ref="AJ41:AM41"/>
    <mergeCell ref="AJ42:AM42"/>
    <mergeCell ref="AJ43:AM43"/>
    <mergeCell ref="AJ44:AM44"/>
    <mergeCell ref="AI4:AI36"/>
    <mergeCell ref="AJ5:AJ16"/>
    <mergeCell ref="AK13:AK16"/>
    <mergeCell ref="AK9:AK11"/>
    <mergeCell ref="AJ18:AK19"/>
    <mergeCell ref="AJ20:AK23"/>
    <mergeCell ref="AJ24:AK26"/>
    <mergeCell ref="AJ37:AM37"/>
    <mergeCell ref="AJ38:AM38"/>
    <mergeCell ref="AK5:AK8"/>
    <mergeCell ref="AK28:AK35"/>
    <mergeCell ref="AK12:AL12"/>
    <mergeCell ref="AJ36:AM36"/>
    <mergeCell ref="AJ27:AL27"/>
    <mergeCell ref="AJ17:AL17"/>
    <mergeCell ref="AD25:AF25"/>
    <mergeCell ref="AD26:AF26"/>
    <mergeCell ref="AD27:AF27"/>
    <mergeCell ref="AD28:AF28"/>
    <mergeCell ref="AD29:AF29"/>
    <mergeCell ref="AD23:AE23"/>
    <mergeCell ref="AD24:AE24"/>
    <mergeCell ref="J17:K17"/>
    <mergeCell ref="J18:K20"/>
    <mergeCell ref="J21:K21"/>
    <mergeCell ref="J22:K24"/>
    <mergeCell ref="AD22:AE22"/>
    <mergeCell ref="AD16:AD21"/>
    <mergeCell ref="A18:B18"/>
    <mergeCell ref="AD2:AG2"/>
    <mergeCell ref="AD3:AF3"/>
    <mergeCell ref="AD4:AD6"/>
    <mergeCell ref="AD7:AD9"/>
    <mergeCell ref="AG7:AG9"/>
    <mergeCell ref="B1:B2"/>
    <mergeCell ref="C1:C2"/>
    <mergeCell ref="D1:D2"/>
    <mergeCell ref="E1:E2"/>
    <mergeCell ref="G1:G2"/>
    <mergeCell ref="H1:H2"/>
    <mergeCell ref="AD10:AD13"/>
    <mergeCell ref="AD14:AE14"/>
    <mergeCell ref="AD15:AE15"/>
  </mergeCells>
  <phoneticPr fontId="1" type="noConversion"/>
  <dataValidations count="4">
    <dataValidation type="list" allowBlank="1" showInputMessage="1" showErrorMessage="1" sqref="AF16:AF22" xr:uid="{467AAC36-B7B9-4DD5-8717-B279FBE2175E}">
      <formula1>"1,0"</formula1>
    </dataValidation>
    <dataValidation type="list" allowBlank="1" showInputMessage="1" showErrorMessage="1" sqref="AE7:AE9" xr:uid="{275D09CB-5770-45F1-ABCF-0C1A28C8FD31}">
      <formula1>"租用小厂房,租用中厂房,租用大厂房"</formula1>
    </dataValidation>
    <dataValidation type="list" allowBlank="1" showInputMessage="1" showErrorMessage="1" sqref="AE4:AE6" xr:uid="{AF405014-727B-42F5-ABCD-135F0EB53920}">
      <formula1>"购买小厂房,购买中厂房,购买大厂房"</formula1>
    </dataValidation>
    <dataValidation type="list" allowBlank="1" showInputMessage="1" showErrorMessage="1" sqref="AE10:AE13" xr:uid="{289B45B9-6188-40AB-8517-E18ACD21803F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20D5-7873-4158-BD5D-C504C96F7C26}">
  <dimension ref="A1:AP52"/>
  <sheetViews>
    <sheetView topLeftCell="B1" zoomScale="79" zoomScaleNormal="70" workbookViewId="0">
      <selection activeCell="Q1" sqref="Q1"/>
    </sheetView>
  </sheetViews>
  <sheetFormatPr defaultRowHeight="14.25"/>
  <cols>
    <col min="1" max="1" width="10.125" bestFit="1" customWidth="1"/>
    <col min="2" max="2" width="11.375" customWidth="1"/>
    <col min="3" max="3" width="11.375" hidden="1" customWidth="1"/>
    <col min="4" max="4" width="13.75" hidden="1" customWidth="1"/>
    <col min="5" max="5" width="15.875" hidden="1" customWidth="1"/>
    <col min="6" max="6" width="8.875" hidden="1" customWidth="1"/>
    <col min="8" max="8" width="13.5" customWidth="1"/>
    <col min="10" max="10" width="11.125" customWidth="1"/>
    <col min="11" max="11" width="12.875" customWidth="1"/>
    <col min="12" max="16" width="8.875" hidden="1" customWidth="1"/>
    <col min="17" max="17" width="13.5" customWidth="1"/>
    <col min="18" max="18" width="12.5" customWidth="1"/>
    <col min="19" max="19" width="11.75" customWidth="1"/>
    <col min="20" max="20" width="11.25" customWidth="1"/>
    <col min="21" max="22" width="9.5" bestFit="1" customWidth="1"/>
    <col min="24" max="24" width="11.125" customWidth="1"/>
    <col min="26" max="26" width="11.125" customWidth="1"/>
    <col min="27" max="27" width="12.625" customWidth="1"/>
    <col min="31" max="31" width="16.5" customWidth="1"/>
    <col min="33" max="33" width="12.5" customWidth="1"/>
    <col min="35" max="35" width="14.125" customWidth="1"/>
    <col min="36" max="36" width="19.5" customWidth="1"/>
    <col min="37" max="37" width="17.25" customWidth="1"/>
    <col min="40" max="40" width="24.375" customWidth="1"/>
    <col min="41" max="41" width="16.875" customWidth="1"/>
    <col min="42" max="42" width="25.5" customWidth="1"/>
  </cols>
  <sheetData>
    <row r="1" spans="1:42">
      <c r="A1" s="1"/>
      <c r="B1" s="182" t="s">
        <v>181</v>
      </c>
      <c r="C1" s="182" t="s">
        <v>182</v>
      </c>
      <c r="D1" s="190" t="s">
        <v>183</v>
      </c>
      <c r="E1" s="190" t="s">
        <v>184</v>
      </c>
      <c r="F1" s="1"/>
      <c r="G1" s="191" t="s">
        <v>185</v>
      </c>
      <c r="H1" s="190" t="s">
        <v>186</v>
      </c>
    </row>
    <row r="2" spans="1:42">
      <c r="A2" s="1"/>
      <c r="B2" s="188"/>
      <c r="C2" s="189"/>
      <c r="D2" s="190"/>
      <c r="E2" s="190"/>
      <c r="F2" s="1"/>
      <c r="G2" s="192"/>
      <c r="H2" s="190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274</v>
      </c>
      <c r="R2" s="78" t="s">
        <v>169</v>
      </c>
      <c r="S2" s="78" t="s">
        <v>170</v>
      </c>
      <c r="T2" s="78" t="s">
        <v>171</v>
      </c>
      <c r="U2" s="78" t="s">
        <v>172</v>
      </c>
      <c r="V2" s="78" t="s">
        <v>173</v>
      </c>
      <c r="W2" s="78" t="s">
        <v>174</v>
      </c>
      <c r="X2" s="78" t="s">
        <v>175</v>
      </c>
      <c r="Y2" s="78" t="s">
        <v>279</v>
      </c>
      <c r="Z2" s="80" t="s">
        <v>201</v>
      </c>
      <c r="AA2" s="78" t="s">
        <v>176</v>
      </c>
      <c r="AD2" s="197" t="s">
        <v>202</v>
      </c>
      <c r="AE2" s="197"/>
      <c r="AF2" s="197"/>
      <c r="AG2" s="197"/>
      <c r="AI2" s="211" t="s">
        <v>233</v>
      </c>
      <c r="AJ2" s="212"/>
      <c r="AK2" s="223">
        <v>919.92</v>
      </c>
      <c r="AL2" s="211" t="s">
        <v>234</v>
      </c>
      <c r="AM2" s="212"/>
      <c r="AN2" s="215">
        <v>269860.51</v>
      </c>
      <c r="AO2" s="103" t="s">
        <v>235</v>
      </c>
      <c r="AP2" s="103" t="s">
        <v>236</v>
      </c>
    </row>
    <row r="3" spans="1:42" ht="26.25" thickBot="1">
      <c r="A3" s="85" t="s">
        <v>187</v>
      </c>
      <c r="B3" s="86">
        <f>SUMIF($L$3:$L$14,1,$R$3:$R$14)+SUMIF($L$3:$L$14,1,$S$3:$S$14)+SUMIF($L$3:$L$14,1,$T$3:$T$14)+SUMIF($L$3:$L$14,1,$U$3:$U$14)</f>
        <v>475</v>
      </c>
      <c r="C3" s="87">
        <f>参数调整!C45</f>
        <v>42</v>
      </c>
      <c r="D3" s="8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39.9</v>
      </c>
      <c r="E3" s="87">
        <f>参数调整!G45</f>
        <v>1</v>
      </c>
      <c r="F3" s="1">
        <f>D3*G3*(参数调整!$B$6+1)</f>
        <v>22174.424999999999</v>
      </c>
      <c r="G3" s="88">
        <f t="shared" ref="G3:G16" si="0">IF(B3-E38&lt;=0,0,B3-E38)</f>
        <v>475</v>
      </c>
      <c r="H3" s="89"/>
      <c r="J3" s="79" t="str">
        <f>第一季度!J3</f>
        <v>S</v>
      </c>
      <c r="K3" s="79">
        <f>第一季度!K3</f>
        <v>122</v>
      </c>
      <c r="L3" s="80" t="str">
        <f>LEFT(K3,1)</f>
        <v>1</v>
      </c>
      <c r="M3" s="80" t="str">
        <f>MID(K3,2,1)</f>
        <v>2</v>
      </c>
      <c r="N3" s="80" t="str">
        <f>MID(K3,3,1)</f>
        <v>2</v>
      </c>
      <c r="O3" s="80" t="str">
        <f>MID(K3,4,1)</f>
        <v/>
      </c>
      <c r="P3" s="80" t="str">
        <f>MID(K3,5,1)</f>
        <v/>
      </c>
      <c r="Q3" s="79">
        <v>36</v>
      </c>
      <c r="R3" s="79">
        <v>0</v>
      </c>
      <c r="S3" s="79">
        <v>0</v>
      </c>
      <c r="T3" s="79">
        <v>0</v>
      </c>
      <c r="U3" s="79">
        <v>60</v>
      </c>
      <c r="V3" s="81">
        <f>TRUNC(R3*参数调整!$I$30)+TRUNC(S3*参数调整!$H$30)+TRUNC(T3*参数调整!$G$30)+TRUNC(U3*参数调整!$F$30)+Q3</f>
        <v>90</v>
      </c>
      <c r="W3" s="81">
        <f>IF(J3="S",IF(第一季度!$R$19=0,((第二季度!Y41+第二季度!Z41+第二季度!AA41+第二季度!AB41)*SUM(第二季度!$R$18:$T$18)+第二季度!S41*第二季度!$R$18+第二季度!T41*第二季度!$S$18+第二季度!U41*第二季度!$T$18)/(100-参数调整!$K$11),((第二季度!Y41+第二季度!Z41+第二季度!AA41+第二季度!AB41)*SUM(第二季度!$R$18:$T$18)+第二季度!S41*第二季度!$R$18+第二季度!T41*第二季度!$S$18+第二季度!U41*第二季度!$T$18)/100),IF(第二季度!J3="B",IF(第一季度!$R$20=0,((第二季度!Y41+第二季度!Z41+第二季度!AA41+第二季度!AB41)*SUM(第二季度!$R$19:$T$19)+第二季度!S41*第二季度!$R$19+第二季度!T41*第二季度!$S$19+第二季度!U41*第二季度!$T$19)/(100-参数调整!$K$12),((第二季度!Y41+第二季度!Z41+第二季度!AA41+第二季度!AB41)*SUM(第二季度!$R$19:$T$19)+第二季度!S41*第二季度!$R$19+第二季度!T41*第二季度!$S$19+第二季度!U41*第二季度!$T$19)/100),IF(第二季度!J3="Q",IF(第一季度!$R$21=0,((第二季度!Y41+第二季度!Z41+第二季度!AA41+第二季度!AB41)*SUM(第二季度!$R$20:$T$20)+第二季度!S41*第二季度!$R$20+第二季度!T41*第二季度!$S$20+第二季度!U41*第二季度!$T$20)/(100-参数调整!$K$13),((第二季度!Y41+第二季度!Z41+第二季度!AA41+第二季度!AB41)*SUM(第二季度!$R$20:$T$20)+第二季度!S41*第二季度!$R$20+第二季度!T41*第二季度!$S$20+第二季度!U41*第二季度!$T$20)/100),IF(第一季度!$R$22=0,((第二季度!Y41+第二季度!Z41+第二季度!AA41+第二季度!AB41)*SUM(第二季度!$R$21:$T$21)+第二季度!S41*第二季度!$R$21+第二季度!T41*第二季度!$S$21+第二季度!U41*第二季度!$T$21)/(100-参数调整!$K$14),((第二季度!Y41+第二季度!Z41+第二季度!AA41+第二季度!AB41)*SUM(第二季度!$R$21:$T$21)+第二季度!S41*第二季度!$R$21+第二季度!T41*第二季度!$S$21+第二季度!U41*第二季度!$T$21)/100))))</f>
        <v>79.102553549365581</v>
      </c>
      <c r="X3" s="79">
        <v>1000</v>
      </c>
      <c r="Y3" s="78">
        <f>X3+0.536537*第一季度!W3</f>
        <v>5292.2960000000003</v>
      </c>
      <c r="Z3" s="78">
        <f>IF(J3="S",Y3*参数调整!$H$11/($V$18*$J$18),IF(J3="B",Y3*参数调整!$H$12/($V$19*$J$18),IF(J3="Q",Y3*参数调整!$H$13/($V$20*$J$18),Y3*参数调整!$H$14/($V$21*$J$18))))</f>
        <v>0.27278150632457648</v>
      </c>
      <c r="AA3" s="79">
        <v>8536.5400000000009</v>
      </c>
      <c r="AD3" s="197" t="s">
        <v>203</v>
      </c>
      <c r="AE3" s="197"/>
      <c r="AF3" s="197"/>
      <c r="AG3" s="79">
        <v>127062.21</v>
      </c>
      <c r="AI3" s="189"/>
      <c r="AJ3" s="213"/>
      <c r="AK3" s="223"/>
      <c r="AL3" s="189"/>
      <c r="AM3" s="213"/>
      <c r="AN3" s="216"/>
      <c r="AO3" s="79">
        <v>99450</v>
      </c>
      <c r="AP3" s="79">
        <v>175207.5</v>
      </c>
    </row>
    <row r="4" spans="1:42" ht="26.25" thickBot="1">
      <c r="A4" s="85" t="s">
        <v>188</v>
      </c>
      <c r="B4" s="86">
        <f>SUMIF($L$3:$L$14,2,$R$3:$R$14)+SUMIF($L$3:$L$14,2,$S$3:$S$14)+SUMIF($L$3:$L$14,2,$T$3:$T$14)+SUMIF($L$3:$L$14,2,$U$3:$U$14)</f>
        <v>15</v>
      </c>
      <c r="C4" s="87">
        <f>参数调整!C46</f>
        <v>82</v>
      </c>
      <c r="D4" s="8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82</v>
      </c>
      <c r="E4" s="87">
        <f>参数调整!G46</f>
        <v>1</v>
      </c>
      <c r="F4" s="1">
        <f>D4*G4*(参数调整!$B$6+1)</f>
        <v>1439.1</v>
      </c>
      <c r="G4" s="88">
        <f t="shared" si="0"/>
        <v>15</v>
      </c>
      <c r="H4" s="89"/>
      <c r="J4" s="79" t="str">
        <f>第一季度!J4</f>
        <v>S</v>
      </c>
      <c r="K4" s="79">
        <v>3334</v>
      </c>
      <c r="L4" s="80" t="str">
        <f>LEFT(K4,1)</f>
        <v>3</v>
      </c>
      <c r="M4" s="80" t="str">
        <f>MID(K4,2,1)</f>
        <v>3</v>
      </c>
      <c r="N4" s="80" t="str">
        <f>MID(K4,3,1)</f>
        <v>3</v>
      </c>
      <c r="O4" s="80" t="str">
        <f>MID(K4,4,1)</f>
        <v>4</v>
      </c>
      <c r="P4" s="80" t="str">
        <f t="shared" ref="P4:P14" si="1">MID(K4,5,1)</f>
        <v/>
      </c>
      <c r="Q4" s="79">
        <v>0</v>
      </c>
      <c r="R4" s="79">
        <v>0</v>
      </c>
      <c r="S4" s="79">
        <v>0</v>
      </c>
      <c r="T4" s="79">
        <v>0</v>
      </c>
      <c r="U4" s="79">
        <v>100</v>
      </c>
      <c r="V4" s="81">
        <f>TRUNC(R4*参数调整!$I$30)+TRUNC(S4*参数调整!$H$30)+TRUNC(T4*参数调整!$G$30)+TRUNC(U4*参数调整!$F$30)+Q4</f>
        <v>90</v>
      </c>
      <c r="W4" s="81">
        <f>IF(J4="S",IF(第一季度!$R$19=0,((第二季度!Y42+第二季度!Z42+第二季度!AA42+第二季度!AB42)*SUM(第二季度!$R$18:$T$18)+第二季度!S42*第二季度!$R$18+第二季度!T42*第二季度!$S$18+第二季度!U42*第二季度!$T$18)/(100-参数调整!$K$11),((第二季度!Y42+第二季度!Z42+第二季度!AA42+第二季度!AB42)*SUM(第二季度!$R$18:$T$18)+第二季度!S42*第二季度!$R$18+第二季度!T42*第二季度!$S$18+第二季度!U42*第二季度!$T$18)/100),IF(第二季度!J4="B",IF(第一季度!$R$20=0,((第二季度!Y42+第二季度!Z42+第二季度!AA42+第二季度!AB42)*SUM(第二季度!$R$19:$T$19)+第二季度!S42*第二季度!$R$19+第二季度!T42*第二季度!$S$19+第二季度!U42*第二季度!$T$19)/(100-参数调整!$K$12),((第二季度!Y42+第二季度!Z42+第二季度!AA42+第二季度!AB42)*SUM(第二季度!$R$19:$T$19)+第二季度!S42*第二季度!$R$19+第二季度!T42*第二季度!$S$19+第二季度!U42*第二季度!$T$19)/100),IF(第二季度!J4="Q",IF(第一季度!$R$21=0,((第二季度!Y42+第二季度!Z42+第二季度!AA42+第二季度!AB42)*SUM(第二季度!$R$20:$T$20)+第二季度!S42*第二季度!$R$20+第二季度!T42*第二季度!$S$20+第二季度!U42*第二季度!$T$20)/(100-参数调整!$K$13),((第二季度!Y42+第二季度!Z42+第二季度!AA42+第二季度!AB42)*SUM(第二季度!$R$20:$T$20)+第二季度!S42*第二季度!$R$20+第二季度!T42*第二季度!$S$20+第二季度!U42*第二季度!$T$20)/100),IF(第一季度!$R$22=0,((第二季度!Y42+第二季度!Z42+第二季度!AA42+第二季度!AB42)*SUM(第二季度!$R$21:$T$21)+第二季度!S42*第二季度!$R$21+第二季度!T42*第二季度!$S$21+第二季度!U42*第二季度!$T$21)/(100-参数调整!$K$14),((第二季度!Y42+第二季度!Z42+第二季度!AA42+第二季度!AB42)*SUM(第二季度!$R$21:$T$21)+第二季度!S42*第二季度!$R$21+第二季度!T42*第二季度!$S$21+第二季度!U42*第二季度!$T$21)/100))))</f>
        <v>90.057832680733597</v>
      </c>
      <c r="X4" s="79">
        <v>7000</v>
      </c>
      <c r="Y4" s="78">
        <f>X4+0.536537*第一季度!W4</f>
        <v>12365.37</v>
      </c>
      <c r="Z4" s="78">
        <f>IF(J4="S",Y4*参数调整!$H$11/($V$18*$J$18),IF(J4="B",Y4*参数调整!$H$12/($V$19*$J$18),IF(J4="Q",Y4*参数调整!$H$13/($V$20*$J$18),Y4*参数调整!$H$14/($V$21*$J$18))))</f>
        <v>0.63734988648796831</v>
      </c>
      <c r="AA4" s="79">
        <v>14078.4</v>
      </c>
      <c r="AD4" s="197" t="s">
        <v>304</v>
      </c>
      <c r="AE4" s="197"/>
      <c r="AF4" s="197"/>
      <c r="AG4" s="79">
        <v>148674.03</v>
      </c>
      <c r="AI4" s="208" t="s">
        <v>336</v>
      </c>
      <c r="AJ4" s="179" t="s">
        <v>238</v>
      </c>
      <c r="AK4" s="180"/>
      <c r="AL4" s="181"/>
      <c r="AM4" s="103" t="s">
        <v>239</v>
      </c>
      <c r="AN4" s="103" t="s">
        <v>240</v>
      </c>
      <c r="AO4" s="197" t="s">
        <v>343</v>
      </c>
      <c r="AP4" s="197"/>
    </row>
    <row r="5" spans="1:42" ht="15" thickBot="1">
      <c r="A5" s="85" t="s">
        <v>152</v>
      </c>
      <c r="B5" s="90">
        <f>SUMIF($L$3:$L$14,3,$R$3:$R$14)+SUMIF($L$3:$L$14,3,$S$3:$S$14)+SUMIF($L$3:$L$14,3,$T$3:$T$14)+SUMIF($L$3:$L$14,3,$U$3:$U$14)</f>
        <v>100</v>
      </c>
      <c r="C5" s="87">
        <f>参数调整!C47</f>
        <v>108</v>
      </c>
      <c r="D5" s="8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108</v>
      </c>
      <c r="E5" s="87">
        <f>参数调整!G47</f>
        <v>1</v>
      </c>
      <c r="F5" s="1">
        <f>D5*G5*(参数调整!$B$6+1)</f>
        <v>1263.5999999999999</v>
      </c>
      <c r="G5" s="88">
        <f t="shared" si="0"/>
        <v>10</v>
      </c>
      <c r="H5" s="91">
        <v>120</v>
      </c>
      <c r="J5" s="79" t="str">
        <f>第一季度!J5</f>
        <v>B</v>
      </c>
      <c r="K5" s="79">
        <v>1111</v>
      </c>
      <c r="L5" s="80" t="str">
        <f>LEFT(K5,1)</f>
        <v>1</v>
      </c>
      <c r="M5" s="80" t="str">
        <f>MID(K5,2,1)</f>
        <v>1</v>
      </c>
      <c r="N5" s="80" t="str">
        <f>MID(K5,3,1)</f>
        <v>1</v>
      </c>
      <c r="O5" s="80" t="str">
        <f>MID(K5,4,1)</f>
        <v>1</v>
      </c>
      <c r="P5" s="80" t="str">
        <f t="shared" si="1"/>
        <v/>
      </c>
      <c r="Q5" s="79">
        <v>23</v>
      </c>
      <c r="R5" s="79">
        <v>0</v>
      </c>
      <c r="S5" s="79">
        <v>0</v>
      </c>
      <c r="T5" s="79">
        <v>0</v>
      </c>
      <c r="U5" s="79">
        <v>27</v>
      </c>
      <c r="V5" s="81">
        <f>TRUNC(R5*参数调整!$I$30)+TRUNC(S5*参数调整!$H$30)+TRUNC(T5*参数调整!$G$30)+TRUNC(U5*参数调整!$F$30)+Q5</f>
        <v>47</v>
      </c>
      <c r="W5" s="81">
        <f>IF(J5="S",IF(第一季度!$R$19=0,((第二季度!Y43+第二季度!Z43+第二季度!AA43+第二季度!AB43)*SUM(第二季度!$R$18:$T$18)+第二季度!S43*第二季度!$R$18+第二季度!T43*第二季度!$S$18+第二季度!U43*第二季度!$T$18)/(100-参数调整!$K$11),((第二季度!Y43+第二季度!Z43+第二季度!AA43+第二季度!AB43)*SUM(第二季度!$R$18:$T$18)+第二季度!S43*第二季度!$R$18+第二季度!T43*第二季度!$S$18+第二季度!U43*第二季度!$T$18)/100),IF(第二季度!J5="B",IF(第一季度!$R$20=0,((第二季度!Y43+第二季度!Z43+第二季度!AA43+第二季度!AB43)*SUM(第二季度!$R$19:$T$19)+第二季度!S43*第二季度!$R$19+第二季度!T43*第二季度!$S$19+第二季度!U43*第二季度!$T$19)/(100-参数调整!$K$12),((第二季度!Y43+第二季度!Z43+第二季度!AA43+第二季度!AB43)*SUM(第二季度!$R$19:$T$19)+第二季度!S43*第二季度!$R$19+第二季度!T43*第二季度!$S$19+第二季度!U43*第二季度!$T$19)/100),IF(第二季度!J5="Q",IF(第一季度!$R$21=0,((第二季度!Y43+第二季度!Z43+第二季度!AA43+第二季度!AB43)*SUM(第二季度!$R$20:$T$20)+第二季度!S43*第二季度!$R$20+第二季度!T43*第二季度!$S$20+第二季度!U43*第二季度!$T$20)/(100-参数调整!$K$13),((第二季度!Y43+第二季度!Z43+第二季度!AA43+第二季度!AB43)*SUM(第二季度!$R$20:$T$20)+第二季度!S43*第二季度!$R$20+第二季度!T43*第二季度!$S$20+第二季度!U43*第二季度!$T$20)/100),IF(第一季度!$R$22=0,((第二季度!Y43+第二季度!Z43+第二季度!AA43+第二季度!AB43)*SUM(第二季度!$R$21:$T$21)+第二季度!S43*第二季度!$R$21+第二季度!T43*第二季度!$S$21+第二季度!U43*第二季度!$T$21)/(100-参数调整!$K$14),((第二季度!Y43+第二季度!Z43+第二季度!AA43+第二季度!AB43)*SUM(第二季度!$R$21:$T$21)+第二季度!S43*第二季度!$R$21+第二季度!T43*第二季度!$S$21+第二季度!U43*第二季度!$T$21)/100))))</f>
        <v>24.470788577723866</v>
      </c>
      <c r="X5" s="79">
        <v>0</v>
      </c>
      <c r="Y5" s="78">
        <f>X5+0.536537*第一季度!W5</f>
        <v>0</v>
      </c>
      <c r="Z5" s="78">
        <f>IF(J5="S",Y5*参数调整!$H$11/($V$18*$J$18),IF(J5="B",Y5*参数调整!$H$12/($V$19*$J$18),IF(J5="Q",Y5*参数调整!$H$13/($V$20*$J$18),Y5*参数调整!$H$14/($V$21*$J$18))))</f>
        <v>0</v>
      </c>
      <c r="AA5" s="79">
        <v>9019.7999999999993</v>
      </c>
      <c r="AD5" s="197" t="s">
        <v>204</v>
      </c>
      <c r="AE5" s="103" t="s">
        <v>205</v>
      </c>
      <c r="AF5" s="79">
        <v>0</v>
      </c>
      <c r="AG5" s="78">
        <f>AF5*参数调整!$J$23</f>
        <v>0</v>
      </c>
      <c r="AI5" s="209"/>
      <c r="AJ5" s="182" t="s">
        <v>241</v>
      </c>
      <c r="AK5" s="182" t="s">
        <v>242</v>
      </c>
      <c r="AL5" s="103" t="s">
        <v>102</v>
      </c>
      <c r="AM5" s="80">
        <f>SUM(R3:R14)</f>
        <v>0</v>
      </c>
      <c r="AN5" s="103">
        <f>AM5*参数调整!$I$32</f>
        <v>0</v>
      </c>
      <c r="AO5" s="219">
        <f>AN2+AO36*(1-参数调整!B23)+AP36*(1-参数调整!B24)</f>
        <v>269860.51</v>
      </c>
      <c r="AP5" s="219"/>
    </row>
    <row r="6" spans="1:42" ht="14.45" customHeight="1" thickBot="1">
      <c r="A6" s="85" t="s">
        <v>153</v>
      </c>
      <c r="B6" s="92">
        <f>SUMIF($M$3:$M$14,1,$R$3:$R$14)+SUMIF($M$3:$M$14,1,$S$3:$S$14)+SUMIF($M$3:$M$14,1,$T$3:$T$14)+SUMIF($M$3:$M$14,1,$U$3:$U$14)</f>
        <v>180</v>
      </c>
      <c r="C6" s="87">
        <f>参数调整!C48</f>
        <v>13</v>
      </c>
      <c r="D6" s="8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</v>
      </c>
      <c r="E6" s="87">
        <f>参数调整!G48</f>
        <v>0</v>
      </c>
      <c r="F6" s="1">
        <f>D6*G6*(参数调整!$B$6+1)</f>
        <v>2737.7999999999997</v>
      </c>
      <c r="G6" s="93">
        <f t="shared" si="0"/>
        <v>180</v>
      </c>
      <c r="H6" s="89"/>
      <c r="J6" s="79" t="str">
        <f>第一季度!J6</f>
        <v>Q</v>
      </c>
      <c r="K6" s="79">
        <v>212</v>
      </c>
      <c r="L6" s="80" t="str">
        <f>LEFT(K6,1)</f>
        <v>2</v>
      </c>
      <c r="M6" s="80" t="str">
        <f>MID(K6,2,1)</f>
        <v>1</v>
      </c>
      <c r="N6" s="80" t="str">
        <f>MID(K6,3,1)</f>
        <v>2</v>
      </c>
      <c r="O6" s="80" t="str">
        <f>MID(K6,4,1)</f>
        <v/>
      </c>
      <c r="P6" s="80" t="str">
        <f t="shared" si="1"/>
        <v/>
      </c>
      <c r="Q6" s="79">
        <v>21</v>
      </c>
      <c r="R6" s="79">
        <v>0</v>
      </c>
      <c r="S6" s="79">
        <v>0</v>
      </c>
      <c r="T6" s="79">
        <v>0</v>
      </c>
      <c r="U6" s="79">
        <v>15</v>
      </c>
      <c r="V6" s="81">
        <f>TRUNC(R6*参数调整!$I$30)+TRUNC(S6*参数调整!$H$30)+TRUNC(T6*参数调整!$G$30)+TRUNC(U6*参数调整!$F$30)+Q6</f>
        <v>34</v>
      </c>
      <c r="W6" s="81">
        <f>IF(J6="S",IF(第一季度!$R$19=0,((第二季度!Y44+第二季度!Z44+第二季度!AA44+第二季度!AB44)*SUM(第二季度!$R$18:$T$18)+第二季度!S44*第二季度!$R$18+第二季度!T44*第二季度!$S$18+第二季度!U44*第二季度!$T$18)/(100-参数调整!$K$11),((第二季度!Y44+第二季度!Z44+第二季度!AA44+第二季度!AB44)*SUM(第二季度!$R$18:$T$18)+第二季度!S44*第二季度!$R$18+第二季度!T44*第二季度!$S$18+第二季度!U44*第二季度!$T$18)/100),IF(第二季度!J6="B",IF(第一季度!$R$20=0,((第二季度!Y44+第二季度!Z44+第二季度!AA44+第二季度!AB44)*SUM(第二季度!$R$19:$T$19)+第二季度!S44*第二季度!$R$19+第二季度!T44*第二季度!$S$19+第二季度!U44*第二季度!$T$19)/(100-参数调整!$K$12),((第二季度!Y44+第二季度!Z44+第二季度!AA44+第二季度!AB44)*SUM(第二季度!$R$19:$T$19)+第二季度!S44*第二季度!$R$19+第二季度!T44*第二季度!$S$19+第二季度!U44*第二季度!$T$19)/100),IF(第二季度!J6="Q",IF(第一季度!$R$21=0,((第二季度!Y44+第二季度!Z44+第二季度!AA44+第二季度!AB44)*SUM(第二季度!$R$20:$T$20)+第二季度!S44*第二季度!$R$20+第二季度!T44*第二季度!$S$20+第二季度!U44*第二季度!$T$20)/(100-参数调整!$K$13),((第二季度!Y44+第二季度!Z44+第二季度!AA44+第二季度!AB44)*SUM(第二季度!$R$20:$T$20)+第二季度!S44*第二季度!$R$20+第二季度!T44*第二季度!$S$20+第二季度!U44*第二季度!$T$20)/100),IF(第一季度!$R$22=0,((第二季度!Y44+第二季度!Z44+第二季度!AA44+第二季度!AB44)*SUM(第二季度!$R$21:$T$21)+第二季度!S44*第二季度!$R$21+第二季度!T44*第二季度!$S$21+第二季度!U44*第二季度!$T$21)/(100-参数调整!$K$14),((第二季度!Y44+第二季度!Z44+第二季度!AA44+第二季度!AB44)*SUM(第二季度!$R$21:$T$21)+第二季度!S44*第二季度!$R$21+第二季度!T44*第二季度!$S$21+第二季度!U44*第二季度!$T$21)/100))))</f>
        <v>31.292186572773662</v>
      </c>
      <c r="X6" s="79">
        <v>0</v>
      </c>
      <c r="Y6" s="78">
        <f>X6+0.536537*第一季度!W6</f>
        <v>0</v>
      </c>
      <c r="Z6" s="78">
        <f>IF(J6="S",Y6*参数调整!$H$11/($V$18*$J$18),IF(J6="B",Y6*参数调整!$H$12/($V$19*$J$18),IF(J6="Q",Y6*参数调整!$H$13/($V$20*$J$18),Y6*参数调整!$H$14/($V$21*$J$18))))</f>
        <v>0</v>
      </c>
      <c r="AA6" s="79">
        <v>5790</v>
      </c>
      <c r="AD6" s="197"/>
      <c r="AE6" s="103" t="s">
        <v>206</v>
      </c>
      <c r="AF6" s="79">
        <v>0</v>
      </c>
      <c r="AG6" s="78">
        <f>AF6*参数调整!$H$23</f>
        <v>0</v>
      </c>
      <c r="AI6" s="209"/>
      <c r="AJ6" s="183"/>
      <c r="AK6" s="183"/>
      <c r="AL6" s="103" t="s">
        <v>272</v>
      </c>
      <c r="AM6" s="80">
        <f>SUM(U3:U14)</f>
        <v>590</v>
      </c>
      <c r="AN6" s="103">
        <f>AM6*参数调整!$F$32</f>
        <v>5900</v>
      </c>
      <c r="AO6" s="219"/>
      <c r="AP6" s="219"/>
    </row>
    <row r="7" spans="1:42" ht="14.45" customHeight="1" thickBot="1">
      <c r="A7" s="85" t="s">
        <v>154</v>
      </c>
      <c r="B7" s="92">
        <f>SUMIF($M$3:$M$14,2,$R$3:$R$14)+SUMIF($M$3:$M$14,2,$S$3:$S$14)+SUMIF($M$3:$M$14,2,$T$3:$T$14)+SUMIF($M$3:$M$14,2,$U$3:$U$14)</f>
        <v>310</v>
      </c>
      <c r="C7" s="87">
        <f>参数调整!C49</f>
        <v>18</v>
      </c>
      <c r="D7" s="8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17.099999999999998</v>
      </c>
      <c r="E7" s="87">
        <f>参数调整!G49</f>
        <v>1</v>
      </c>
      <c r="F7" s="1">
        <f>D7*G7*(参数调整!$B$6+1)</f>
        <v>6202.1699999999983</v>
      </c>
      <c r="G7" s="93">
        <f t="shared" si="0"/>
        <v>310</v>
      </c>
      <c r="H7" s="89"/>
      <c r="J7" s="79" t="str">
        <f>第一季度!J7</f>
        <v>Q</v>
      </c>
      <c r="K7" s="79">
        <v>1121</v>
      </c>
      <c r="L7" s="80" t="str">
        <f t="shared" ref="L7:L14" si="2">LEFT(K7,1)</f>
        <v>1</v>
      </c>
      <c r="M7" s="80" t="str">
        <f t="shared" ref="M7:M14" si="3">MID(K7,2,1)</f>
        <v>1</v>
      </c>
      <c r="N7" s="80" t="str">
        <f t="shared" ref="N7:N14" si="4">MID(K7,3,1)</f>
        <v>2</v>
      </c>
      <c r="O7" s="80" t="str">
        <f t="shared" ref="O7:O14" si="5">MID(K7,4,1)</f>
        <v>1</v>
      </c>
      <c r="P7" s="80" t="str">
        <f t="shared" si="1"/>
        <v/>
      </c>
      <c r="Q7" s="79">
        <v>0</v>
      </c>
      <c r="R7" s="79">
        <v>0</v>
      </c>
      <c r="S7" s="79">
        <v>0</v>
      </c>
      <c r="T7" s="79">
        <v>0</v>
      </c>
      <c r="U7" s="79">
        <v>96</v>
      </c>
      <c r="V7" s="81">
        <f>TRUNC(R7*参数调整!$I$30)+TRUNC(S7*参数调整!$H$30)+TRUNC(T7*参数调整!$G$30)+TRUNC(U7*参数调整!$F$30)+Q7</f>
        <v>86</v>
      </c>
      <c r="W7" s="81">
        <f>IF(J7="S",IF(第一季度!$R$19=0,((第二季度!Y45+第二季度!Z45+第二季度!AA45+第二季度!AB45)*SUM(第二季度!$R$18:$T$18)+第二季度!S45*第二季度!$R$18+第二季度!T45*第二季度!$S$18+第二季度!U45*第二季度!$T$18)/(100-参数调整!$K$11),((第二季度!Y45+第二季度!Z45+第二季度!AA45+第二季度!AB45)*SUM(第二季度!$R$18:$T$18)+第二季度!S45*第二季度!$R$18+第二季度!T45*第二季度!$S$18+第二季度!U45*第二季度!$T$18)/100),IF(第二季度!J7="B",IF(第一季度!$R$20=0,((第二季度!Y45+第二季度!Z45+第二季度!AA45+第二季度!AB45)*SUM(第二季度!$R$19:$T$19)+第二季度!S45*第二季度!$R$19+第二季度!T45*第二季度!$S$19+第二季度!U45*第二季度!$T$19)/(100-参数调整!$K$12),((第二季度!Y45+第二季度!Z45+第二季度!AA45+第二季度!AB45)*SUM(第二季度!$R$19:$T$19)+第二季度!S45*第二季度!$R$19+第二季度!T45*第二季度!$S$19+第二季度!U45*第二季度!$T$19)/100),IF(第二季度!J7="Q",IF(第一季度!$R$21=0,((第二季度!Y45+第二季度!Z45+第二季度!AA45+第二季度!AB45)*SUM(第二季度!$R$20:$T$20)+第二季度!S45*第二季度!$R$20+第二季度!T45*第二季度!$S$20+第二季度!U45*第二季度!$T$20)/(100-参数调整!$K$13),((第二季度!Y45+第二季度!Z45+第二季度!AA45+第二季度!AB45)*SUM(第二季度!$R$20:$T$20)+第二季度!S45*第二季度!$R$20+第二季度!T45*第二季度!$S$20+第二季度!U45*第二季度!$T$20)/100),IF(第一季度!$R$22=0,((第二季度!Y45+第二季度!Z45+第二季度!AA45+第二季度!AB45)*SUM(第二季度!$R$21:$T$21)+第二季度!S45*第二季度!$R$21+第二季度!T45*第二季度!$S$21+第二季度!U45*第二季度!$T$21)/(100-参数调整!$K$14),((第二季度!Y45+第二季度!Z45+第二季度!AA45+第二季度!AB45)*SUM(第二季度!$R$21:$T$21)+第二季度!S45*第二季度!$R$21+第二季度!T45*第二季度!$S$21+第二季度!U45*第二季度!$T$21)/100))))</f>
        <v>75.934069606369206</v>
      </c>
      <c r="X7" s="79">
        <v>4000</v>
      </c>
      <c r="Y7" s="78">
        <f>X7+0.536537*第一季度!W7</f>
        <v>9365.3700000000008</v>
      </c>
      <c r="Z7" s="78">
        <f>IF(J7="S",Y7*参数调整!$H$11/($V$18*$J$18),IF(J7="B",Y7*参数调整!$H$12/($V$19*$J$18),IF(J7="Q",Y7*参数调整!$H$13/($V$20*$J$18),Y7*参数调整!$H$14/($V$21*$J$18))))</f>
        <v>0.67259568578756368</v>
      </c>
      <c r="AD7" s="197"/>
      <c r="AE7" s="103" t="s">
        <v>207</v>
      </c>
      <c r="AF7" s="79"/>
      <c r="AG7" s="78">
        <f>AF7*参数调整!$F$23</f>
        <v>0</v>
      </c>
      <c r="AI7" s="209"/>
      <c r="AJ7" s="183"/>
      <c r="AK7" s="183"/>
      <c r="AL7" s="103" t="s">
        <v>101</v>
      </c>
      <c r="AM7" s="80">
        <f>SUM(S3:S14)</f>
        <v>0</v>
      </c>
      <c r="AN7" s="103">
        <f>AM7*参数调整!H32</f>
        <v>0</v>
      </c>
      <c r="AO7" s="2"/>
      <c r="AP7" s="2"/>
    </row>
    <row r="8" spans="1:42" ht="15" thickBot="1">
      <c r="A8" s="85" t="s">
        <v>155</v>
      </c>
      <c r="B8" s="92">
        <f>SUMIF($M$3:$M$14,3,$R$3:$R$14)+SUMIF($M$3:$M$14,3,$S$3:$S$14)+SUMIF($M$3:$M$14,3,$T$3:$T$14)+SUMIF($M$3:$M$14,3,$U$3:$U$14)</f>
        <v>100</v>
      </c>
      <c r="C8" s="87">
        <f>参数调整!C50</f>
        <v>30</v>
      </c>
      <c r="D8" s="8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30</v>
      </c>
      <c r="E8" s="87">
        <f>参数调整!G50</f>
        <v>1</v>
      </c>
      <c r="F8" s="1">
        <f>D8*G8*(参数调整!$B$6+1)</f>
        <v>3510</v>
      </c>
      <c r="G8" s="93">
        <f t="shared" si="0"/>
        <v>100</v>
      </c>
      <c r="H8" s="89"/>
      <c r="J8" s="79" t="str">
        <f>第一季度!J8</f>
        <v>Q</v>
      </c>
      <c r="K8" s="79">
        <v>112</v>
      </c>
      <c r="L8" s="80" t="str">
        <f t="shared" si="2"/>
        <v>1</v>
      </c>
      <c r="M8" s="80" t="str">
        <f t="shared" si="3"/>
        <v>1</v>
      </c>
      <c r="N8" s="80" t="str">
        <f t="shared" si="4"/>
        <v>2</v>
      </c>
      <c r="O8" s="80" t="str">
        <f t="shared" si="5"/>
        <v/>
      </c>
      <c r="P8" s="80" t="str">
        <f t="shared" si="1"/>
        <v/>
      </c>
      <c r="Q8" s="79">
        <v>0</v>
      </c>
      <c r="R8" s="79">
        <v>0</v>
      </c>
      <c r="S8" s="79">
        <v>0</v>
      </c>
      <c r="T8" s="79">
        <v>0</v>
      </c>
      <c r="U8" s="79">
        <v>42</v>
      </c>
      <c r="V8" s="81">
        <f>TRUNC(R8*参数调整!$I$30)+TRUNC(S8*参数调整!$H$30)+TRUNC(T8*参数调整!$G$30)+TRUNC(U8*参数调整!$F$30)+Q8</f>
        <v>37</v>
      </c>
      <c r="W8" s="81">
        <f>IF(J8="S",IF(第一季度!$R$19=0,((第二季度!Y46+第二季度!Z46+第二季度!AA46+第二季度!AB46)*SUM(第二季度!$R$18:$T$18)+第二季度!S46*第二季度!$R$18+第二季度!T46*第二季度!$S$18+第二季度!U46*第二季度!$T$18)/(100-参数调整!$K$11),((第二季度!Y46+第二季度!Z46+第二季度!AA46+第二季度!AB46)*SUM(第二季度!$R$18:$T$18)+第二季度!S46*第二季度!$R$18+第二季度!T46*第二季度!$S$18+第二季度!U46*第二季度!$T$18)/100),IF(第二季度!J8="B",IF(第一季度!$R$20=0,((第二季度!Y46+第二季度!Z46+第二季度!AA46+第二季度!AB46)*SUM(第二季度!$R$19:$T$19)+第二季度!S46*第二季度!$R$19+第二季度!T46*第二季度!$S$19+第二季度!U46*第二季度!$T$19)/(100-参数调整!$K$12),((第二季度!Y46+第二季度!Z46+第二季度!AA46+第二季度!AB46)*SUM(第二季度!$R$19:$T$19)+第二季度!S46*第二季度!$R$19+第二季度!T46*第二季度!$S$19+第二季度!U46*第二季度!$T$19)/100),IF(第二季度!J8="Q",IF(第一季度!$R$21=0,((第二季度!Y46+第二季度!Z46+第二季度!AA46+第二季度!AB46)*SUM(第二季度!$R$20:$T$20)+第二季度!S46*第二季度!$R$20+第二季度!T46*第二季度!$S$20+第二季度!U46*第二季度!$T$20)/(100-参数调整!$K$13),((第二季度!Y46+第二季度!Z46+第二季度!AA46+第二季度!AB46)*SUM(第二季度!$R$20:$T$20)+第二季度!S46*第二季度!$R$20+第二季度!T46*第二季度!$S$20+第二季度!U46*第二季度!$T$20)/100),IF(第一季度!$R$22=0,((第二季度!Y46+第二季度!Z46+第二季度!AA46+第二季度!AB46)*SUM(第二季度!$R$21:$T$21)+第二季度!S46*第二季度!$R$21+第二季度!T46*第二季度!$S$21+第二季度!U46*第二季度!$T$21)/(100-参数调整!$K$14),((第二季度!Y46+第二季度!Z46+第二季度!AA46+第二季度!AB46)*SUM(第二季度!$R$21:$T$21)+第二季度!S46*第二季度!$R$21+第二季度!T46*第二季度!$S$21+第二季度!U46*第二季度!$T$21)/100))))</f>
        <v>34.135786245857155</v>
      </c>
      <c r="X8" s="79">
        <v>1000</v>
      </c>
      <c r="Y8" s="78">
        <f>X8+0.536537*第一季度!W8</f>
        <v>1000</v>
      </c>
      <c r="Z8" s="78">
        <f>IF(J8="S",Y8*参数调整!$H$11/($V$18*$J$18),IF(J8="B",Y8*参数调整!$H$12/($V$19*$J$18),IF(J8="Q",Y8*参数调整!$H$13/($V$20*$J$18),Y8*参数调整!$H$14/($V$21*$J$18))))</f>
        <v>7.1817310558746059E-2</v>
      </c>
      <c r="AD8" s="197" t="s">
        <v>208</v>
      </c>
      <c r="AE8" s="103" t="s">
        <v>209</v>
      </c>
      <c r="AF8" s="79">
        <v>1</v>
      </c>
      <c r="AG8" s="185">
        <v>0</v>
      </c>
      <c r="AI8" s="209"/>
      <c r="AJ8" s="183"/>
      <c r="AK8" s="184"/>
      <c r="AL8" s="103" t="s">
        <v>273</v>
      </c>
      <c r="AM8" s="80">
        <f>SUM(T3:T14)</f>
        <v>0</v>
      </c>
      <c r="AN8" s="103">
        <f>AM8*参数调整!G32</f>
        <v>0</v>
      </c>
      <c r="AO8" s="2"/>
      <c r="AP8" s="2"/>
    </row>
    <row r="9" spans="1:42" ht="15" thickBot="1">
      <c r="A9" s="85" t="s">
        <v>156</v>
      </c>
      <c r="B9" s="94">
        <f>SUMIF($N$3:$N$14,1,$R$3:$R$14)+SUMIF($N$3:$N$14,1,$S$3:$S$14)+SUMIF($N$3:$N$14,1,$T$3:$T$14)+SUMIF($N$3:$N$14,1,$U$3:$U$14)</f>
        <v>157</v>
      </c>
      <c r="C9" s="87">
        <f>参数调整!C51</f>
        <v>51</v>
      </c>
      <c r="D9" s="8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51</v>
      </c>
      <c r="E9" s="87">
        <f>参数调整!G51</f>
        <v>0</v>
      </c>
      <c r="F9" s="1">
        <f>D9*G9*(参数调整!$B$6+1)</f>
        <v>9368.1899999999987</v>
      </c>
      <c r="G9" s="95">
        <f t="shared" si="0"/>
        <v>157</v>
      </c>
      <c r="H9" s="89"/>
      <c r="J9" s="79" t="s">
        <v>501</v>
      </c>
      <c r="K9" s="79">
        <v>121</v>
      </c>
      <c r="L9" s="80" t="str">
        <f t="shared" si="2"/>
        <v>1</v>
      </c>
      <c r="M9" s="80" t="str">
        <f t="shared" si="3"/>
        <v>2</v>
      </c>
      <c r="N9" s="80" t="str">
        <f t="shared" si="4"/>
        <v>1</v>
      </c>
      <c r="O9" s="80" t="str">
        <f t="shared" si="5"/>
        <v/>
      </c>
      <c r="P9" s="80" t="str">
        <f t="shared" si="1"/>
        <v/>
      </c>
      <c r="Q9" s="79">
        <v>0</v>
      </c>
      <c r="R9" s="79">
        <v>0</v>
      </c>
      <c r="S9" s="79">
        <v>0</v>
      </c>
      <c r="T9" s="79">
        <v>0</v>
      </c>
      <c r="U9" s="79">
        <v>130</v>
      </c>
      <c r="V9" s="81">
        <f>TRUNC(R9*参数调整!$I$30)+TRUNC(S9*参数调整!$H$30)+TRUNC(T9*参数调整!$G$30)+TRUNC(U9*参数调整!$F$30)+Q9</f>
        <v>117</v>
      </c>
      <c r="W9" s="81">
        <f>IF(J9="S",IF(第一季度!$R$19=0,((第二季度!Y47+第二季度!Z47+第二季度!AA47+第二季度!AB47)*SUM(第二季度!$R$18:$T$18)+第二季度!S47*第二季度!$R$18+第二季度!T47*第二季度!$S$18+第二季度!U47*第二季度!$T$18)/(100-参数调整!$K$11),((第二季度!Y47+第二季度!Z47+第二季度!AA47+第二季度!AB47)*SUM(第二季度!$R$18:$T$18)+第二季度!S47*第二季度!$R$18+第二季度!T47*第二季度!$S$18+第二季度!U47*第二季度!$T$18)/100),IF(第二季度!J9="B",IF(第一季度!$R$20=0,((第二季度!Y47+第二季度!Z47+第二季度!AA47+第二季度!AB47)*SUM(第二季度!$R$19:$T$19)+第二季度!S47*第二季度!$R$19+第二季度!T47*第二季度!$S$19+第二季度!U47*第二季度!$T$19)/(100-参数调整!$K$12),((第二季度!Y47+第二季度!Z47+第二季度!AA47+第二季度!AB47)*SUM(第二季度!$R$19:$T$19)+第二季度!S47*第二季度!$R$19+第二季度!T47*第二季度!$S$19+第二季度!U47*第二季度!$T$19)/100),IF(第二季度!J9="Q",IF(第一季度!$R$21=0,((第二季度!Y47+第二季度!Z47+第二季度!AA47+第二季度!AB47)*SUM(第二季度!$R$20:$T$20)+第二季度!S47*第二季度!$R$20+第二季度!T47*第二季度!$S$20+第二季度!U47*第二季度!$T$20)/(100-参数调整!$K$13),((第二季度!Y47+第二季度!Z47+第二季度!AA47+第二季度!AB47)*SUM(第二季度!$R$20:$T$20)+第二季度!S47*第二季度!$R$20+第二季度!T47*第二季度!$S$20+第二季度!U47*第二季度!$T$20)/100),IF(第一季度!$R$22=0,((第二季度!Y47+第二季度!Z47+第二季度!AA47+第二季度!AB47)*SUM(第二季度!$R$21:$T$21)+第二季度!S47*第二季度!$R$21+第二季度!T47*第二季度!$S$21+第二季度!U47*第二季度!$T$21)/(100-参数调整!$K$14),((第二季度!Y47+第二季度!Z47+第二季度!AA47+第二季度!AB47)*SUM(第二季度!$R$21:$T$21)+第二季度!S47*第二季度!$R$21+第二季度!T47*第二季度!$S$21+第二季度!U47*第二季度!$T$21)/100))))</f>
        <v>104.47192895386989</v>
      </c>
      <c r="X9" s="79">
        <v>1000</v>
      </c>
      <c r="Y9" s="78">
        <f>X9+0.536537*第一季度!W9</f>
        <v>1000</v>
      </c>
      <c r="Z9" s="78">
        <f>IF(J9="S",Y9*参数调整!$H$11/($V$18*$J$18),IF(J9="B",Y9*参数调整!$H$12/($V$19*$J$18),IF(J9="Q",Y9*参数调整!$H$13/($V$20*$J$18),Y9*参数调整!$H$14/($V$21*$J$18))))</f>
        <v>7.599309153713299E-2</v>
      </c>
      <c r="AD9" s="197"/>
      <c r="AE9" s="103" t="s">
        <v>210</v>
      </c>
      <c r="AF9" s="79">
        <v>0</v>
      </c>
      <c r="AG9" s="186"/>
      <c r="AI9" s="209"/>
      <c r="AJ9" s="183"/>
      <c r="AK9" s="182" t="s">
        <v>243</v>
      </c>
      <c r="AL9" s="103" t="s">
        <v>244</v>
      </c>
      <c r="AM9" s="80">
        <v>1</v>
      </c>
      <c r="AN9" s="103">
        <f>AM9*参数调整!$J$24</f>
        <v>5000</v>
      </c>
      <c r="AO9" s="2"/>
      <c r="AP9" s="2"/>
    </row>
    <row r="10" spans="1:42" ht="14.45" customHeight="1" thickBot="1">
      <c r="A10" s="85" t="s">
        <v>157</v>
      </c>
      <c r="B10" s="94">
        <f>SUMIF($N$3:$N$14,2,$R$3:$R$14)+SUMIF($N$3:$N$14,2,$S$3:$S$14)+SUMIF($N$3:$N$14,2,$T$3:$T$14)+SUMIF($N$3:$N$14,2,$U$3:$U$14)</f>
        <v>333</v>
      </c>
      <c r="C10" s="87">
        <f>参数调整!C52</f>
        <v>75</v>
      </c>
      <c r="D10" s="8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71.25</v>
      </c>
      <c r="E10" s="87">
        <f>参数调整!G52</f>
        <v>1</v>
      </c>
      <c r="F10" s="1">
        <f>D10*G10*(参数调整!$B$6+1)</f>
        <v>27759.712499999998</v>
      </c>
      <c r="G10" s="95">
        <f t="shared" si="0"/>
        <v>333</v>
      </c>
      <c r="H10" s="89"/>
      <c r="J10" s="79" t="str">
        <f>第一季度!J10</f>
        <v>L</v>
      </c>
      <c r="K10" s="79">
        <v>122</v>
      </c>
      <c r="L10" s="80" t="str">
        <f t="shared" si="2"/>
        <v>1</v>
      </c>
      <c r="M10" s="80" t="str">
        <f t="shared" si="3"/>
        <v>2</v>
      </c>
      <c r="N10" s="80" t="str">
        <f t="shared" si="4"/>
        <v>2</v>
      </c>
      <c r="O10" s="80" t="str">
        <f t="shared" si="5"/>
        <v/>
      </c>
      <c r="P10" s="80" t="str">
        <f t="shared" si="1"/>
        <v/>
      </c>
      <c r="Q10" s="79">
        <v>0</v>
      </c>
      <c r="R10" s="79">
        <v>0</v>
      </c>
      <c r="S10" s="79">
        <v>0</v>
      </c>
      <c r="T10" s="79">
        <v>0</v>
      </c>
      <c r="U10" s="79">
        <v>120</v>
      </c>
      <c r="V10" s="81">
        <f>TRUNC(R10*参数调整!$I$30)+TRUNC(S10*参数调整!$H$30)+TRUNC(T10*参数调整!$G$30)+TRUNC(U10*参数调整!$F$30)+Q10</f>
        <v>108</v>
      </c>
      <c r="W10" s="81">
        <f>IF(J10="S",IF(第一季度!$R$19=0,((第二季度!Y48+第二季度!Z48+第二季度!AA48+第二季度!AB48)*SUM(第二季度!$R$18:$T$18)+第二季度!S48*第二季度!$R$18+第二季度!T48*第二季度!$S$18+第二季度!U48*第二季度!$T$18)/(100-参数调整!$K$11),((第二季度!Y48+第二季度!Z48+第二季度!AA48+第二季度!AB48)*SUM(第二季度!$R$18:$T$18)+第二季度!S48*第二季度!$R$18+第二季度!T48*第二季度!$S$18+第二季度!U48*第二季度!$T$18)/100),IF(第二季度!J10="B",IF(第一季度!$R$20=0,((第二季度!Y48+第二季度!Z48+第二季度!AA48+第二季度!AB48)*SUM(第二季度!$R$19:$T$19)+第二季度!S48*第二季度!$R$19+第二季度!T48*第二季度!$S$19+第二季度!U48*第二季度!$T$19)/(100-参数调整!$K$12),((第二季度!Y48+第二季度!Z48+第二季度!AA48+第二季度!AB48)*SUM(第二季度!$R$19:$T$19)+第二季度!S48*第二季度!$R$19+第二季度!T48*第二季度!$S$19+第二季度!U48*第二季度!$T$19)/100),IF(第二季度!J10="Q",IF(第一季度!$R$21=0,((第二季度!Y48+第二季度!Z48+第二季度!AA48+第二季度!AB48)*SUM(第二季度!$R$20:$T$20)+第二季度!S48*第二季度!$R$20+第二季度!T48*第二季度!$S$20+第二季度!U48*第二季度!$T$20)/(100-参数调整!$K$13),((第二季度!Y48+第二季度!Z48+第二季度!AA48+第二季度!AB48)*SUM(第二季度!$R$20:$T$20)+第二季度!S48*第二季度!$R$20+第二季度!T48*第二季度!$S$20+第二季度!U48*第二季度!$T$20)/100),IF(第一季度!$R$22=0,((第二季度!Y48+第二季度!Z48+第二季度!AA48+第二季度!AB48)*SUM(第二季度!$R$21:$T$21)+第二季度!S48*第二季度!$R$21+第二季度!T48*第二季度!$S$21+第二季度!U48*第二季度!$T$21)/(100-参数调整!$K$14),((第二季度!Y48+第二季度!Z48+第二季度!AA48+第二季度!AB48)*SUM(第二季度!$R$21:$T$21)+第二季度!S48*第二季度!$R$21+第二季度!T48*第二季度!$S$21+第二季度!U48*第二季度!$T$21)/100))))</f>
        <v>110.06365792912653</v>
      </c>
      <c r="X10" s="79">
        <v>4000</v>
      </c>
      <c r="Y10" s="78">
        <f>X10+0.536537*第一季度!W10</f>
        <v>4000</v>
      </c>
      <c r="Z10" s="78">
        <f>IF(J10="S",Y10*参数调整!$H$11/($V$18*$J$18),IF(J10="B",Y10*参数调整!$H$12/($V$19*$J$18),IF(J10="Q",Y10*参数调整!$H$13/($V$20*$J$18),Y10*参数调整!$H$14/($V$21*$J$18))))</f>
        <v>0.30397236614853196</v>
      </c>
      <c r="AD10" s="197"/>
      <c r="AE10" s="103" t="s">
        <v>211</v>
      </c>
      <c r="AF10" s="79">
        <v>0</v>
      </c>
      <c r="AG10" s="187"/>
      <c r="AI10" s="209"/>
      <c r="AJ10" s="183"/>
      <c r="AK10" s="183"/>
      <c r="AL10" s="103" t="s">
        <v>245</v>
      </c>
      <c r="AM10" s="80">
        <f>AF9</f>
        <v>0</v>
      </c>
      <c r="AN10" s="103">
        <f>AM10*参数调整!$H$24</f>
        <v>0</v>
      </c>
      <c r="AO10" s="2"/>
      <c r="AP10" s="2"/>
    </row>
    <row r="11" spans="1:42" ht="15" thickBot="1">
      <c r="A11" s="85" t="s">
        <v>158</v>
      </c>
      <c r="B11" s="94">
        <f>SUMIF($N$3:$N$14,3,$R$3:$R$14)+SUMIF($N$3:$N$14,3,$S$3:$S$14)+SUMIF($N$3:$N$14,3,$T$3:$T$14)+SUMIF($N$3:$N$14,3,$U$3:$U$14)</f>
        <v>100</v>
      </c>
      <c r="C11" s="87">
        <f>参数调整!C53</f>
        <v>115</v>
      </c>
      <c r="D11" s="8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87">
        <f>参数调整!G53</f>
        <v>0</v>
      </c>
      <c r="F11" s="1">
        <f>D11*G11*(参数调整!$B$6+1)</f>
        <v>13455</v>
      </c>
      <c r="G11" s="95">
        <f t="shared" si="0"/>
        <v>100</v>
      </c>
      <c r="H11" s="89"/>
      <c r="J11" s="79">
        <f>第一季度!J11</f>
        <v>0</v>
      </c>
      <c r="K11" s="79">
        <f>第一季度!K11</f>
        <v>212</v>
      </c>
      <c r="L11" s="80" t="str">
        <f t="shared" si="2"/>
        <v>2</v>
      </c>
      <c r="M11" s="80" t="str">
        <f t="shared" si="3"/>
        <v>1</v>
      </c>
      <c r="N11" s="80" t="str">
        <f t="shared" si="4"/>
        <v>2</v>
      </c>
      <c r="O11" s="80" t="str">
        <f t="shared" si="5"/>
        <v/>
      </c>
      <c r="P11" s="80" t="str">
        <f t="shared" si="1"/>
        <v/>
      </c>
      <c r="Q11" s="79"/>
      <c r="R11" s="79">
        <v>0</v>
      </c>
      <c r="S11" s="79">
        <v>0</v>
      </c>
      <c r="T11" s="79">
        <v>0</v>
      </c>
      <c r="U11" s="79"/>
      <c r="V11" s="81">
        <f>TRUNC(R11*参数调整!$I$30)+TRUNC(S11*参数调整!$H$30)+TRUNC(T11*参数调整!$G$30)+TRUNC(U11*参数调整!$F$30)+Q11</f>
        <v>0</v>
      </c>
      <c r="W11" s="81">
        <f>IF(J11="S",IF(第一季度!$R$19=0,((第二季度!Y49+第二季度!Z49+第二季度!AA49+第二季度!AB49)*SUM(第二季度!$R$18:$T$18)+第二季度!S49*第二季度!$R$18+第二季度!T49*第二季度!$S$18+第二季度!U49*第二季度!$T$18)/(100-参数调整!$K$11),((第二季度!Y49+第二季度!Z49+第二季度!AA49+第二季度!AB49)*SUM(第二季度!$R$18:$T$18)+第二季度!S49*第二季度!$R$18+第二季度!T49*第二季度!$S$18+第二季度!U49*第二季度!$T$18)/100),IF(第二季度!J11="B",IF(第一季度!$R$20=0,((第二季度!Y49+第二季度!Z49+第二季度!AA49+第二季度!AB49)*SUM(第二季度!$R$19:$T$19)+第二季度!S49*第二季度!$R$19+第二季度!T49*第二季度!$S$19+第二季度!U49*第二季度!$T$19)/(100-参数调整!$K$12),((第二季度!Y49+第二季度!Z49+第二季度!AA49+第二季度!AB49)*SUM(第二季度!$R$19:$T$19)+第二季度!S49*第二季度!$R$19+第二季度!T49*第二季度!$S$19+第二季度!U49*第二季度!$T$19)/100),IF(第二季度!J11="Q",IF(第一季度!$R$21=0,((第二季度!Y49+第二季度!Z49+第二季度!AA49+第二季度!AB49)*SUM(第二季度!$R$20:$T$20)+第二季度!S49*第二季度!$R$20+第二季度!T49*第二季度!$S$20+第二季度!U49*第二季度!$T$20)/(100-参数调整!$K$13),((第二季度!Y49+第二季度!Z49+第二季度!AA49+第二季度!AB49)*SUM(第二季度!$R$20:$T$20)+第二季度!S49*第二季度!$R$20+第二季度!T49*第二季度!$S$20+第二季度!U49*第二季度!$T$20)/100),IF(第一季度!$R$22=0,((第二季度!Y49+第二季度!Z49+第二季度!AA49+第二季度!AB49)*SUM(第二季度!$R$21:$T$21)+第二季度!S49*第二季度!$R$21+第二季度!T49*第二季度!$S$21+第二季度!U49*第二季度!$T$21)/(100-参数调整!$K$14),((第二季度!Y49+第二季度!Z49+第二季度!AA49+第二季度!AB49)*SUM(第二季度!$R$21:$T$21)+第二季度!S49*第二季度!$R$21+第二季度!T49*第二季度!$S$21+第二季度!U49*第二季度!$T$21)/100))))</f>
        <v>68.32535885167465</v>
      </c>
      <c r="X11" s="79">
        <v>0</v>
      </c>
      <c r="Y11" s="78">
        <f>X11+0.536537*第一季度!W11</f>
        <v>0</v>
      </c>
      <c r="Z11" s="78">
        <f>IF(J11="S",Y11*参数调整!$H$11/($V$18*$J$18),IF(J11="B",Y11*参数调整!$H$12/($V$19*$J$18),IF(J11="Q",Y11*参数调整!$H$13/($V$20*$J$18),Y11*参数调整!$H$14/($V$21*$J$18))))</f>
        <v>0</v>
      </c>
      <c r="AD11" s="197" t="s">
        <v>212</v>
      </c>
      <c r="AE11" s="103" t="s">
        <v>213</v>
      </c>
      <c r="AF11" s="79">
        <v>0</v>
      </c>
      <c r="AG11" s="78">
        <f>AF11*参数调整!$I$29</f>
        <v>0</v>
      </c>
      <c r="AI11" s="209"/>
      <c r="AJ11" s="183"/>
      <c r="AK11" s="184"/>
      <c r="AL11" s="103" t="s">
        <v>246</v>
      </c>
      <c r="AM11" s="80">
        <v>0</v>
      </c>
      <c r="AN11" s="103">
        <f>AM11*参数调整!$F$24</f>
        <v>0</v>
      </c>
      <c r="AO11" s="2"/>
      <c r="AP11" s="2"/>
    </row>
    <row r="12" spans="1:42" ht="27.6" customHeight="1" thickBot="1">
      <c r="A12" s="85" t="s">
        <v>159</v>
      </c>
      <c r="B12" s="94">
        <f>SUMIF($N$3:$N$14,4,$R$3:$R$14)+SUMIF($N$3:$N$14,4,$S$3:$S$14)+SUMIF($N$3:$N$14,4,$T$3:$T$14)+SUMIF($N$3:$N$14,4,$U$3:$U$14)</f>
        <v>0</v>
      </c>
      <c r="C12" s="87">
        <f>参数调整!C54</f>
        <v>155</v>
      </c>
      <c r="D12" s="8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155</v>
      </c>
      <c r="E12" s="87">
        <f>参数调整!G54</f>
        <v>1</v>
      </c>
      <c r="F12" s="1">
        <f>D12*G12*(参数调整!$B$6+1)</f>
        <v>0</v>
      </c>
      <c r="G12" s="95">
        <f t="shared" si="0"/>
        <v>0</v>
      </c>
      <c r="H12" s="89"/>
      <c r="J12" s="79">
        <f>第一季度!J12</f>
        <v>0</v>
      </c>
      <c r="K12" s="79">
        <f>第一季度!K12</f>
        <v>1121</v>
      </c>
      <c r="L12" s="80" t="str">
        <f t="shared" si="2"/>
        <v>1</v>
      </c>
      <c r="M12" s="80" t="str">
        <f t="shared" si="3"/>
        <v>1</v>
      </c>
      <c r="N12" s="80" t="str">
        <f t="shared" si="4"/>
        <v>2</v>
      </c>
      <c r="O12" s="80" t="str">
        <f t="shared" si="5"/>
        <v>1</v>
      </c>
      <c r="P12" s="80" t="str">
        <f t="shared" si="1"/>
        <v/>
      </c>
      <c r="Q12" s="79"/>
      <c r="R12" s="79">
        <v>0</v>
      </c>
      <c r="S12" s="79">
        <v>0</v>
      </c>
      <c r="T12" s="79">
        <v>0</v>
      </c>
      <c r="U12" s="79"/>
      <c r="V12" s="81">
        <f>TRUNC(R12*参数调整!$I$30)+TRUNC(S12*参数调整!$H$30)+TRUNC(T12*参数调整!$G$30)+TRUNC(U12*参数调整!$F$30)+Q12</f>
        <v>0</v>
      </c>
      <c r="W12" s="81">
        <f>IF(J12="S",IF(第一季度!$R$19=0,((第二季度!Y50+第二季度!Z50+第二季度!AA50+第二季度!AB50)*SUM(第二季度!$R$18:$T$18)+第二季度!S50*第二季度!$R$18+第二季度!T50*第二季度!$S$18+第二季度!U50*第二季度!$T$18)/(100-参数调整!$K$11),((第二季度!Y50+第二季度!Z50+第二季度!AA50+第二季度!AB50)*SUM(第二季度!$R$18:$T$18)+第二季度!S50*第二季度!$R$18+第二季度!T50*第二季度!$S$18+第二季度!U50*第二季度!$T$18)/100),IF(第二季度!J12="B",IF(第一季度!$R$20=0,((第二季度!Y50+第二季度!Z50+第二季度!AA50+第二季度!AB50)*SUM(第二季度!$R$19:$T$19)+第二季度!S50*第二季度!$R$19+第二季度!T50*第二季度!$S$19+第二季度!U50*第二季度!$T$19)/(100-参数调整!$K$12),((第二季度!Y50+第二季度!Z50+第二季度!AA50+第二季度!AB50)*SUM(第二季度!$R$19:$T$19)+第二季度!S50*第二季度!$R$19+第二季度!T50*第二季度!$S$19+第二季度!U50*第二季度!$T$19)/100),IF(第二季度!J12="Q",IF(第一季度!$R$21=0,((第二季度!Y50+第二季度!Z50+第二季度!AA50+第二季度!AB50)*SUM(第二季度!$R$20:$T$20)+第二季度!S50*第二季度!$R$20+第二季度!T50*第二季度!$S$20+第二季度!U50*第二季度!$T$20)/(100-参数调整!$K$13),((第二季度!Y50+第二季度!Z50+第二季度!AA50+第二季度!AB50)*SUM(第二季度!$R$20:$T$20)+第二季度!S50*第二季度!$R$20+第二季度!T50*第二季度!$S$20+第二季度!U50*第二季度!$T$20)/100),IF(第一季度!$R$22=0,((第二季度!Y50+第二季度!Z50+第二季度!AA50+第二季度!AB50)*SUM(第二季度!$R$21:$T$21)+第二季度!S50*第二季度!$R$21+第二季度!T50*第二季度!$S$21+第二季度!U50*第二季度!$T$21)/(100-参数调整!$K$14),((第二季度!Y50+第二季度!Z50+第二季度!AA50+第二季度!AB50)*SUM(第二季度!$R$21:$T$21)+第二季度!S50*第二季度!$R$21+第二季度!T50*第二季度!$S$21+第二季度!U50*第二季度!$T$21)/100))))</f>
        <v>68.32535885167465</v>
      </c>
      <c r="X12" s="79">
        <v>0</v>
      </c>
      <c r="Y12" s="78">
        <f>X12+0.536537*第一季度!W12</f>
        <v>0</v>
      </c>
      <c r="Z12" s="78">
        <f>IF(J12="S",Y12*参数调整!$H$11/($V$18*$J$18),IF(J12="B",Y12*参数调整!$H$12/($V$19*$J$18),IF(J12="Q",Y12*参数调整!$H$13/($V$20*$J$18),Y12*参数调整!$H$14/($V$21*$J$18))))</f>
        <v>0</v>
      </c>
      <c r="AD12" s="197"/>
      <c r="AE12" s="103" t="s">
        <v>214</v>
      </c>
      <c r="AF12" s="79">
        <v>0</v>
      </c>
      <c r="AG12" s="78">
        <f>AF12*参数调整!$H$29</f>
        <v>0</v>
      </c>
      <c r="AI12" s="209"/>
      <c r="AJ12" s="183"/>
      <c r="AK12" s="202" t="s">
        <v>247</v>
      </c>
      <c r="AL12" s="203"/>
      <c r="AM12" s="80">
        <f>AM18</f>
        <v>6</v>
      </c>
      <c r="AN12" s="103">
        <f>AM12*参数调整!$J$18*(1+参数调整!$B$12+参数调整!$B$13+参数调整!$B$14+参数调整!$B$15+参数调整!$B$16)</f>
        <v>29073.599999999999</v>
      </c>
      <c r="AO12" s="2"/>
      <c r="AP12" s="2"/>
    </row>
    <row r="13" spans="1:42" ht="25.9" customHeight="1" thickBot="1">
      <c r="A13" s="85" t="s">
        <v>160</v>
      </c>
      <c r="B13" s="96">
        <f>SUMIF($O$3:$O$14,1,$R$3:$R$14)+SUMIF($O$3:$O$14,1,$S$3:$S$14)+SUMIF($O$3:$O$14,1,$T$3:$T$14)+SUMIF($O$3:$O$14,1,$U$3:$U$14)+SUMIF($P$3:$P$14,1,$R$3:$R$14)+SUMIF($P$3:$P$14,1,$S$3:$S$14)+SUMIF($P$3:$P$14,1,$T$3:$T$14)+SUMIF($P$3:$P$14,1,$U$3:$U$14)</f>
        <v>123</v>
      </c>
      <c r="C13" s="87">
        <f>参数调整!C55</f>
        <v>48</v>
      </c>
      <c r="D13" s="8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48</v>
      </c>
      <c r="E13" s="87">
        <f>参数调整!G55</f>
        <v>1</v>
      </c>
      <c r="F13" s="1">
        <f>D13*G13*(参数调整!$B$6+1)</f>
        <v>0</v>
      </c>
      <c r="G13" s="97">
        <f t="shared" si="0"/>
        <v>0</v>
      </c>
      <c r="H13" s="91">
        <v>250</v>
      </c>
      <c r="J13" s="79">
        <f>第一季度!J13</f>
        <v>0</v>
      </c>
      <c r="K13" s="79">
        <f>第一季度!K13</f>
        <v>121</v>
      </c>
      <c r="L13" s="80" t="str">
        <f t="shared" si="2"/>
        <v>1</v>
      </c>
      <c r="M13" s="80" t="str">
        <f t="shared" si="3"/>
        <v>2</v>
      </c>
      <c r="N13" s="80" t="str">
        <f t="shared" si="4"/>
        <v>1</v>
      </c>
      <c r="O13" s="80" t="str">
        <f t="shared" si="5"/>
        <v/>
      </c>
      <c r="P13" s="80" t="str">
        <f t="shared" si="1"/>
        <v/>
      </c>
      <c r="Q13" s="79"/>
      <c r="R13" s="79"/>
      <c r="S13" s="79">
        <v>0</v>
      </c>
      <c r="T13" s="79">
        <v>0</v>
      </c>
      <c r="U13" s="79"/>
      <c r="V13" s="81">
        <f>TRUNC(R13*参数调整!$I$30)+TRUNC(S13*参数调整!$H$30)+TRUNC(T13*参数调整!$G$30)+TRUNC(U13*参数调整!$F$30)+Q13</f>
        <v>0</v>
      </c>
      <c r="W13" s="81">
        <f>IF(J13="S",IF(第一季度!$R$19=0,((第二季度!Y51+第二季度!Z51+第二季度!AA51+第二季度!AB51)*SUM(第二季度!$R$18:$T$18)+第二季度!S51*第二季度!$R$18+第二季度!T51*第二季度!$S$18+第二季度!U51*第二季度!$T$18)/(100-参数调整!$K$11),((第二季度!Y51+第二季度!Z51+第二季度!AA51+第二季度!AB51)*SUM(第二季度!$R$18:$T$18)+第二季度!S51*第二季度!$R$18+第二季度!T51*第二季度!$S$18+第二季度!U51*第二季度!$T$18)/100),IF(第二季度!J13="B",IF(第一季度!$R$20=0,((第二季度!Y51+第二季度!Z51+第二季度!AA51+第二季度!AB51)*SUM(第二季度!$R$19:$T$19)+第二季度!S51*第二季度!$R$19+第二季度!T51*第二季度!$S$19+第二季度!U51*第二季度!$T$19)/(100-参数调整!$K$12),((第二季度!Y51+第二季度!Z51+第二季度!AA51+第二季度!AB51)*SUM(第二季度!$R$19:$T$19)+第二季度!S51*第二季度!$R$19+第二季度!T51*第二季度!$S$19+第二季度!U51*第二季度!$T$19)/100),IF(第二季度!J13="Q",IF(第一季度!$R$21=0,((第二季度!Y51+第二季度!Z51+第二季度!AA51+第二季度!AB51)*SUM(第二季度!$R$20:$T$20)+第二季度!S51*第二季度!$R$20+第二季度!T51*第二季度!$S$20+第二季度!U51*第二季度!$T$20)/(100-参数调整!$K$13),((第二季度!Y51+第二季度!Z51+第二季度!AA51+第二季度!AB51)*SUM(第二季度!$R$20:$T$20)+第二季度!S51*第二季度!$R$20+第二季度!T51*第二季度!$S$20+第二季度!U51*第二季度!$T$20)/100),IF(第一季度!$R$22=0,((第二季度!Y51+第二季度!Z51+第二季度!AA51+第二季度!AB51)*SUM(第二季度!$R$21:$T$21)+第二季度!S51*第二季度!$R$21+第二季度!T51*第二季度!$S$21+第二季度!U51*第二季度!$T$21)/(100-参数调整!$K$14),((第二季度!Y51+第二季度!Z51+第二季度!AA51+第二季度!AB51)*SUM(第二季度!$R$21:$T$21)+第二季度!S51*第二季度!$R$21+第二季度!T51*第二季度!$S$21+第二季度!U51*第二季度!$T$21)/100))))</f>
        <v>68.32535885167465</v>
      </c>
      <c r="X13" s="79"/>
      <c r="Y13" s="78">
        <f>X13+0.536537*第一季度!W13</f>
        <v>0</v>
      </c>
      <c r="Z13" s="78">
        <f>IF(J13="S",Y13*参数调整!$H$11/($V$18*$J$18),IF(J13="B",Y13*参数调整!$H$12/($V$19*$J$18),IF(J13="Q",Y13*参数调整!$H$13/($V$20*$J$18),Y13*参数调整!$H$14/($V$21*$J$18))))</f>
        <v>0</v>
      </c>
      <c r="AD13" s="197"/>
      <c r="AE13" s="103" t="s">
        <v>215</v>
      </c>
      <c r="AF13" s="79">
        <v>0</v>
      </c>
      <c r="AG13" s="78">
        <f>AF13*参数调整!$G$29</f>
        <v>0</v>
      </c>
      <c r="AI13" s="209"/>
      <c r="AJ13" s="183"/>
      <c r="AK13" s="182" t="s">
        <v>248</v>
      </c>
      <c r="AL13" s="103" t="s">
        <v>102</v>
      </c>
      <c r="AM13" s="79">
        <v>0</v>
      </c>
      <c r="AN13" s="110">
        <f>AM13*参数调整!$I$33</f>
        <v>0</v>
      </c>
      <c r="AO13" s="2"/>
      <c r="AP13" s="2"/>
    </row>
    <row r="14" spans="1:42" ht="13.15" customHeight="1" thickBot="1">
      <c r="A14" s="85" t="s">
        <v>161</v>
      </c>
      <c r="B14" s="96">
        <f>SUMIF($O$3:$O$14,2,$R$3:$R$14)+SUMIF($O$3:$O$14,2,$S$3:$S$14)+SUMIF($O$3:$O$14,2,$T$3:$T$14)+SUMIF($O$3:$O$14,2,$U$3:$U$14)+SUMIF($P$3:$P$14,2,$R$3:$R$14)+SUMIF($P$3:$P$14,2,$S$3:$S$14)+SUMIF($P$3:$P$14,2,$T$3:$T$14)+SUMIF($P$3:$P$14,2,$U$3:$U$14)</f>
        <v>0</v>
      </c>
      <c r="C14" s="87">
        <f>参数调整!C56</f>
        <v>48</v>
      </c>
      <c r="D14" s="8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48</v>
      </c>
      <c r="E14" s="87">
        <f>参数调整!G56</f>
        <v>1</v>
      </c>
      <c r="F14" s="1">
        <f>D14*G14*(参数调整!$B$6+1)</f>
        <v>0</v>
      </c>
      <c r="G14" s="97">
        <f t="shared" si="0"/>
        <v>0</v>
      </c>
      <c r="H14" s="91"/>
      <c r="J14" s="79">
        <f>第一季度!J14</f>
        <v>0</v>
      </c>
      <c r="K14" s="79">
        <f>第一季度!K14</f>
        <v>122</v>
      </c>
      <c r="L14" s="80" t="str">
        <f t="shared" si="2"/>
        <v>1</v>
      </c>
      <c r="M14" s="80" t="str">
        <f t="shared" si="3"/>
        <v>2</v>
      </c>
      <c r="N14" s="80" t="str">
        <f t="shared" si="4"/>
        <v>2</v>
      </c>
      <c r="O14" s="80" t="str">
        <f t="shared" si="5"/>
        <v/>
      </c>
      <c r="P14" s="80" t="str">
        <f t="shared" si="1"/>
        <v/>
      </c>
      <c r="Q14" s="79"/>
      <c r="R14" s="79"/>
      <c r="S14" s="79">
        <v>0</v>
      </c>
      <c r="T14" s="79">
        <v>0</v>
      </c>
      <c r="U14" s="79"/>
      <c r="V14" s="81">
        <f>TRUNC(R14*参数调整!$I$30)+TRUNC(S14*参数调整!$H$30)+TRUNC(T14*参数调整!$G$30)+TRUNC(U14*参数调整!$F$30)+Q14</f>
        <v>0</v>
      </c>
      <c r="W14" s="81">
        <f>IF(J14="S",IF(第一季度!$R$19=0,((第二季度!Y52+第二季度!Z52+第二季度!AA52+第二季度!AB52)*SUM(第二季度!$R$18:$T$18)+第二季度!S52*第二季度!$R$18+第二季度!T52*第二季度!$S$18+第二季度!U52*第二季度!$T$18)/(100-参数调整!$K$11),((第二季度!Y52+第二季度!Z52+第二季度!AA52+第二季度!AB52)*SUM(第二季度!$R$18:$T$18)+第二季度!S52*第二季度!$R$18+第二季度!T52*第二季度!$S$18+第二季度!U52*第二季度!$T$18)/100),IF(第二季度!J14="B",IF(第一季度!$R$20=0,((第二季度!Y52+第二季度!Z52+第二季度!AA52+第二季度!AB52)*SUM(第二季度!$R$19:$T$19)+第二季度!S52*第二季度!$R$19+第二季度!T52*第二季度!$S$19+第二季度!U52*第二季度!$T$19)/(100-参数调整!$K$12),((第二季度!Y52+第二季度!Z52+第二季度!AA52+第二季度!AB52)*SUM(第二季度!$R$19:$T$19)+第二季度!S52*第二季度!$R$19+第二季度!T52*第二季度!$S$19+第二季度!U52*第二季度!$T$19)/100),IF(第二季度!J14="Q",IF(第一季度!$R$21=0,((第二季度!Y52+第二季度!Z52+第二季度!AA52+第二季度!AB52)*SUM(第二季度!$R$20:$T$20)+第二季度!S52*第二季度!$R$20+第二季度!T52*第二季度!$S$20+第二季度!U52*第二季度!$T$20)/(100-参数调整!$K$13),((第二季度!Y52+第二季度!Z52+第二季度!AA52+第二季度!AB52)*SUM(第二季度!$R$20:$T$20)+第二季度!S52*第二季度!$R$20+第二季度!T52*第二季度!$S$20+第二季度!U52*第二季度!$T$20)/100),IF(第一季度!$R$22=0,((第二季度!Y52+第二季度!Z52+第二季度!AA52+第二季度!AB52)*SUM(第二季度!$R$21:$T$21)+第二季度!S52*第二季度!$R$21+第二季度!T52*第二季度!$S$21+第二季度!U52*第二季度!$T$21)/(100-参数调整!$K$14),((第二季度!Y52+第二季度!Z52+第二季度!AA52+第二季度!AB52)*SUM(第二季度!$R$21:$T$21)+第二季度!S52*第二季度!$R$21+第二季度!T52*第二季度!$S$21+第二季度!U52*第二季度!$T$21)/100))))</f>
        <v>68.32535885167465</v>
      </c>
      <c r="X14" s="79">
        <v>0</v>
      </c>
      <c r="Y14" s="78">
        <f>X14+0.536537*第一季度!W14</f>
        <v>0</v>
      </c>
      <c r="Z14" s="78">
        <f>IF(J14="S",Y14*参数调整!$H$11/($V$18*$J$18),IF(J14="B",Y14*参数调整!$H$12/($V$19*$J$18),IF(J14="Q",Y14*参数调整!$H$13/($V$20*$J$18),Y14*参数调整!$H$14/($V$21*$J$18))))</f>
        <v>0</v>
      </c>
      <c r="AD14" s="197"/>
      <c r="AE14" s="103" t="s">
        <v>99</v>
      </c>
      <c r="AF14" s="79">
        <v>2</v>
      </c>
      <c r="AG14" s="78"/>
      <c r="AI14" s="209"/>
      <c r="AJ14" s="183"/>
      <c r="AK14" s="183"/>
      <c r="AL14" s="103" t="s">
        <v>272</v>
      </c>
      <c r="AM14" s="79">
        <v>2</v>
      </c>
      <c r="AN14" s="103">
        <f>AM14*参数调整!$F$33</f>
        <v>6000</v>
      </c>
      <c r="AO14" s="2"/>
      <c r="AP14" s="2"/>
    </row>
    <row r="15" spans="1:42" ht="14.45" customHeight="1" thickBot="1">
      <c r="A15" s="85" t="s">
        <v>162</v>
      </c>
      <c r="B15" s="96">
        <f>SUMIF($O$3:$O$14,3,$R$3:$R$14)+SUMIF($O$3:$O$14,3,$S$3:$S$14)+SUMIF($O$3:$O$14,3,$T$3:$T$14)+SUMIF($O$3:$O$14,3,$U$3:$U$14)+SUMIF($P$3:$P$14,3,$R$3:$R$14)+SUMIF($P$3:$P$14,3,$S$3:$S$14)+SUMIF($P$3:$P$14,3,$T$3:$T$14)+SUMIF($P$3:$P$14,3,$U$3:$U$14)</f>
        <v>0</v>
      </c>
      <c r="C15" s="87">
        <f>参数调整!C57</f>
        <v>75</v>
      </c>
      <c r="D15" s="8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87">
        <f>参数调整!G57</f>
        <v>1</v>
      </c>
      <c r="F15" s="1">
        <f>D15*G15*(参数调整!$B$6+1)</f>
        <v>0</v>
      </c>
      <c r="G15" s="97">
        <f t="shared" si="0"/>
        <v>0</v>
      </c>
      <c r="H15" s="91">
        <v>120</v>
      </c>
      <c r="R15" s="80">
        <f>SUM(R3:R14)</f>
        <v>0</v>
      </c>
      <c r="S15" s="80">
        <f t="shared" ref="S15:U15" si="6">SUM(S3:S14)</f>
        <v>0</v>
      </c>
      <c r="T15" s="80">
        <f t="shared" si="6"/>
        <v>0</v>
      </c>
      <c r="U15" s="80">
        <f t="shared" si="6"/>
        <v>590</v>
      </c>
      <c r="AD15" s="197" t="s">
        <v>217</v>
      </c>
      <c r="AE15" s="197"/>
      <c r="AF15" s="79">
        <v>4</v>
      </c>
      <c r="AG15" s="78">
        <f>AF15*参数调整!$B$31</f>
        <v>120000</v>
      </c>
      <c r="AI15" s="209"/>
      <c r="AJ15" s="183"/>
      <c r="AK15" s="183"/>
      <c r="AL15" s="103" t="s">
        <v>101</v>
      </c>
      <c r="AM15" s="79">
        <v>0</v>
      </c>
      <c r="AN15" s="103">
        <f>AM15*参数调整!$H$33</f>
        <v>0</v>
      </c>
      <c r="AO15" s="2"/>
      <c r="AP15" s="2"/>
    </row>
    <row r="16" spans="1:42" ht="14.45" customHeight="1" thickBot="1">
      <c r="A16" s="85" t="s">
        <v>163</v>
      </c>
      <c r="B16" s="96">
        <f>SUMIF($O$3:$O$14,4,$R$3:$R$14)+SUMIF($O$3:$O$14,4,$S$3:$S$14)+SUMIF($O$3:$O$14,4,$T$3:$T$14)+SUMIF($O$3:$O$14,4,$U$3:$U$14)+SUMIF($P$3:$P$14,4,$R$3:$R$14)+SUMIF($P$3:$P$14,4,$S$3:$S$14)+SUMIF($P$3:$P$14,4,$T$3:$T$14)+SUMIF($P$3:$P$14,4,$U$3:$U$14)</f>
        <v>100</v>
      </c>
      <c r="C16" s="87">
        <f>参数调整!C58</f>
        <v>82</v>
      </c>
      <c r="D16" s="8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82</v>
      </c>
      <c r="E16" s="87">
        <f>参数调整!G58</f>
        <v>1</v>
      </c>
      <c r="F16" s="1">
        <f>D16*G16*(参数调整!$B$6+1)</f>
        <v>9594</v>
      </c>
      <c r="G16" s="97">
        <f t="shared" si="0"/>
        <v>100</v>
      </c>
      <c r="H16" s="91"/>
      <c r="AD16" s="197" t="s">
        <v>218</v>
      </c>
      <c r="AE16" s="197"/>
      <c r="AF16" s="79">
        <v>0</v>
      </c>
      <c r="AG16" s="78">
        <f>AF16*参数调整!$B$32</f>
        <v>0</v>
      </c>
      <c r="AI16" s="209"/>
      <c r="AJ16" s="184"/>
      <c r="AK16" s="184"/>
      <c r="AL16" s="103" t="s">
        <v>273</v>
      </c>
      <c r="AM16" s="79">
        <v>0</v>
      </c>
      <c r="AN16" s="103">
        <f>AM16*参数调整!$G$33</f>
        <v>0</v>
      </c>
      <c r="AO16" s="2"/>
      <c r="AP16" s="2"/>
    </row>
    <row r="17" spans="1:42" ht="13.9" customHeight="1">
      <c r="J17" s="193" t="s">
        <v>197</v>
      </c>
      <c r="K17" s="193"/>
      <c r="O17" s="1">
        <f>SUM(R18:T18)-(SUM(第三季度!R18:T18)-SUM(第三季度!R22:T22))</f>
        <v>1596</v>
      </c>
      <c r="Q17" s="78" t="s">
        <v>190</v>
      </c>
      <c r="R17" s="78" t="s">
        <v>191</v>
      </c>
      <c r="S17" s="78" t="s">
        <v>275</v>
      </c>
      <c r="T17" s="78" t="s">
        <v>276</v>
      </c>
      <c r="U17" s="78" t="s">
        <v>193</v>
      </c>
      <c r="V17" s="78" t="s">
        <v>277</v>
      </c>
      <c r="W17" s="220" t="s">
        <v>278</v>
      </c>
      <c r="X17" s="220"/>
      <c r="Y17" s="220"/>
      <c r="AD17" s="197" t="s">
        <v>219</v>
      </c>
      <c r="AE17" s="103" t="s">
        <v>220</v>
      </c>
      <c r="AF17" s="79">
        <v>0</v>
      </c>
      <c r="AG17" s="78">
        <f>AF17*参数调整!$F$3</f>
        <v>0</v>
      </c>
      <c r="AI17" s="209"/>
      <c r="AJ17" s="179" t="s">
        <v>249</v>
      </c>
      <c r="AK17" s="180"/>
      <c r="AL17" s="181"/>
      <c r="AM17" s="80">
        <v>1</v>
      </c>
      <c r="AN17" s="103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9" customHeight="1">
      <c r="A18" s="177" t="s">
        <v>199</v>
      </c>
      <c r="B18" s="178"/>
      <c r="G18" s="84">
        <f>SUMIF(E3:E16,0,F3:F16)</f>
        <v>25560.989999999998</v>
      </c>
      <c r="J18" s="194">
        <v>18</v>
      </c>
      <c r="K18" s="195"/>
      <c r="O18" s="1">
        <f>SUM(R19:T19)-(SUM(第三季度!R19:T19)-SUM(第三季度!R23:T23))</f>
        <v>1749</v>
      </c>
      <c r="Q18" s="78" t="s">
        <v>178</v>
      </c>
      <c r="R18" s="79">
        <v>602</v>
      </c>
      <c r="S18" s="79">
        <v>510</v>
      </c>
      <c r="T18" s="79">
        <v>510</v>
      </c>
      <c r="U18" s="79">
        <v>12103.01515151515</v>
      </c>
      <c r="V18" s="78">
        <f>U18+第一季度!T19*0.536537</f>
        <v>16167.689393939392</v>
      </c>
      <c r="W18" s="80">
        <f>J22*35</f>
        <v>630</v>
      </c>
      <c r="X18" s="80">
        <f>J22*30</f>
        <v>540</v>
      </c>
      <c r="Y18" s="80">
        <f>J22*30</f>
        <v>540</v>
      </c>
      <c r="AD18" s="197"/>
      <c r="AE18" s="103" t="s">
        <v>221</v>
      </c>
      <c r="AF18" s="79">
        <v>0</v>
      </c>
      <c r="AG18" s="78">
        <f>AF18*参数调整!$F$4</f>
        <v>0</v>
      </c>
      <c r="AI18" s="209"/>
      <c r="AJ18" s="211" t="s">
        <v>250</v>
      </c>
      <c r="AK18" s="212"/>
      <c r="AL18" s="103" t="s">
        <v>251</v>
      </c>
      <c r="AM18" s="80">
        <f>AF24+第一季度!AF23</f>
        <v>6</v>
      </c>
      <c r="AN18" s="111">
        <f>AM18*参数调整!$B$10</f>
        <v>6000</v>
      </c>
      <c r="AO18" s="2"/>
      <c r="AP18" s="2"/>
    </row>
    <row r="19" spans="1:42" ht="13.9" customHeight="1">
      <c r="J19" s="194"/>
      <c r="K19" s="195"/>
      <c r="O19" s="1">
        <f>SUM(R20:T20)-(SUM(第三季度!R20:T20)-SUM(第三季度!R24:T24))</f>
        <v>2001</v>
      </c>
      <c r="Q19" s="78" t="s">
        <v>179</v>
      </c>
      <c r="R19" s="79">
        <v>590</v>
      </c>
      <c r="S19" s="79">
        <v>595</v>
      </c>
      <c r="T19" s="79">
        <v>595</v>
      </c>
      <c r="U19" s="79">
        <v>13126.557193344899</v>
      </c>
      <c r="V19" s="78">
        <f>U19+第一季度!T20*0.536537</f>
        <v>16840.191387559775</v>
      </c>
      <c r="W19" s="80">
        <f>J22*34</f>
        <v>612</v>
      </c>
      <c r="X19" s="80">
        <f>J22*35</f>
        <v>630</v>
      </c>
      <c r="Y19" s="80">
        <f>J22*35</f>
        <v>630</v>
      </c>
      <c r="AD19" s="197"/>
      <c r="AE19" s="103" t="s">
        <v>222</v>
      </c>
      <c r="AF19" s="79">
        <v>1</v>
      </c>
      <c r="AG19" s="78">
        <f>AF19*参数调整!$F$5</f>
        <v>20000</v>
      </c>
      <c r="AI19" s="209"/>
      <c r="AJ19" s="189"/>
      <c r="AK19" s="213"/>
      <c r="AL19" s="103" t="s">
        <v>252</v>
      </c>
      <c r="AM19" s="80">
        <f>AF25+第一季度!AF24</f>
        <v>5</v>
      </c>
      <c r="AN19" s="103">
        <f>AM19*参数调整!$B$10</f>
        <v>5000</v>
      </c>
      <c r="AO19" s="2"/>
      <c r="AP19" s="2"/>
    </row>
    <row r="20" spans="1:42" ht="13.9" customHeight="1">
      <c r="J20" s="194"/>
      <c r="K20" s="195"/>
      <c r="O20" s="1">
        <f>SUM(R21:T21)-(SUM(第三季度!R21:T21)-SUM(第三季度!R25:T25))</f>
        <v>2330</v>
      </c>
      <c r="Q20" s="78" t="s">
        <v>180</v>
      </c>
      <c r="R20" s="79">
        <v>680</v>
      </c>
      <c r="S20" s="79">
        <v>680</v>
      </c>
      <c r="T20" s="79">
        <v>680</v>
      </c>
      <c r="U20" s="79">
        <v>7943.9617164372112</v>
      </c>
      <c r="V20" s="78">
        <f>U20+第一季度!T21*0.536537</f>
        <v>11603.516295025729</v>
      </c>
      <c r="W20" s="80">
        <f>J22*40</f>
        <v>720</v>
      </c>
      <c r="X20" s="80">
        <f>J22*40</f>
        <v>720</v>
      </c>
      <c r="Y20" s="80">
        <f>J22*40</f>
        <v>720</v>
      </c>
      <c r="AD20" s="197"/>
      <c r="AE20" s="103" t="s">
        <v>223</v>
      </c>
      <c r="AF20" s="79">
        <v>1</v>
      </c>
      <c r="AG20" s="78">
        <f>AF20*参数调整!$F$6</f>
        <v>20000</v>
      </c>
      <c r="AI20" s="209"/>
      <c r="AJ20" s="211" t="s">
        <v>253</v>
      </c>
      <c r="AK20" s="212"/>
      <c r="AL20" s="103" t="s">
        <v>102</v>
      </c>
      <c r="AM20" s="79">
        <v>0</v>
      </c>
      <c r="AN20" s="103">
        <f>AM20*参数调整!$I$29</f>
        <v>0</v>
      </c>
      <c r="AO20" s="2"/>
      <c r="AP20" s="2"/>
    </row>
    <row r="21" spans="1:42" ht="13.9" customHeight="1">
      <c r="A21" s="112"/>
      <c r="B21" s="112"/>
      <c r="C21" s="1"/>
      <c r="D21" s="1"/>
      <c r="E21" s="1"/>
      <c r="F21" s="1"/>
      <c r="G21" s="113" t="s">
        <v>289</v>
      </c>
      <c r="H21" s="112"/>
      <c r="J21" s="193" t="s">
        <v>198</v>
      </c>
      <c r="K21" s="196"/>
      <c r="Q21" s="78" t="s">
        <v>195</v>
      </c>
      <c r="R21" s="79">
        <v>765</v>
      </c>
      <c r="S21" s="79">
        <v>850</v>
      </c>
      <c r="T21" s="79">
        <v>765</v>
      </c>
      <c r="U21" s="79">
        <v>3655.3030303030305</v>
      </c>
      <c r="V21" s="78">
        <f>U21+第一季度!T22*0.536537</f>
        <v>3655.3030303030305</v>
      </c>
      <c r="W21" s="80">
        <f>J22*45</f>
        <v>810</v>
      </c>
      <c r="X21" s="80">
        <f>J22*50</f>
        <v>900</v>
      </c>
      <c r="Y21" s="80">
        <f>J22*45</f>
        <v>810</v>
      </c>
      <c r="AD21" s="197"/>
      <c r="AE21" s="103" t="s">
        <v>224</v>
      </c>
      <c r="AF21" s="79">
        <v>1</v>
      </c>
      <c r="AG21" s="78">
        <f>AF21*参数调整!$F$7</f>
        <v>20000</v>
      </c>
      <c r="AI21" s="209"/>
      <c r="AJ21" s="188"/>
      <c r="AK21" s="214"/>
      <c r="AL21" s="103" t="s">
        <v>272</v>
      </c>
      <c r="AM21" s="79">
        <v>0</v>
      </c>
      <c r="AN21" s="103">
        <f>AM21*参数调整!$F$29</f>
        <v>0</v>
      </c>
      <c r="AO21" s="2"/>
      <c r="AP21" s="2"/>
    </row>
    <row r="22" spans="1:42" ht="22.9" customHeight="1">
      <c r="A22" s="222" t="s">
        <v>290</v>
      </c>
      <c r="B22" s="113" t="s">
        <v>291</v>
      </c>
      <c r="C22" s="114"/>
      <c r="D22" s="114"/>
      <c r="E22" s="114"/>
      <c r="F22" s="114"/>
      <c r="G22" s="79">
        <v>11</v>
      </c>
      <c r="H22" s="115" t="s">
        <v>292</v>
      </c>
      <c r="J22" s="194">
        <v>18</v>
      </c>
      <c r="K22" s="195"/>
      <c r="Q22" s="99" t="s">
        <v>196</v>
      </c>
      <c r="U22" s="98">
        <v>15300.105409662408</v>
      </c>
      <c r="AD22" s="197"/>
      <c r="AE22" s="103" t="s">
        <v>225</v>
      </c>
      <c r="AF22" s="79">
        <v>1</v>
      </c>
      <c r="AG22" s="78">
        <f>AF22*参数调整!$F$8</f>
        <v>20000</v>
      </c>
      <c r="AI22" s="209"/>
      <c r="AJ22" s="188"/>
      <c r="AK22" s="214"/>
      <c r="AL22" s="103" t="s">
        <v>101</v>
      </c>
      <c r="AM22" s="79">
        <v>0</v>
      </c>
      <c r="AN22" s="103">
        <f>AM22*参数调整!$H$29</f>
        <v>0</v>
      </c>
      <c r="AO22" s="2"/>
      <c r="AP22" s="2"/>
    </row>
    <row r="23" spans="1:42" ht="13.9" customHeight="1">
      <c r="A23" s="222"/>
      <c r="B23" s="113" t="s">
        <v>293</v>
      </c>
      <c r="C23" s="114"/>
      <c r="D23" s="114"/>
      <c r="E23" s="114"/>
      <c r="F23" s="114"/>
      <c r="G23" s="79">
        <v>17</v>
      </c>
      <c r="H23" s="115" t="s">
        <v>294</v>
      </c>
      <c r="J23" s="194"/>
      <c r="K23" s="195"/>
      <c r="Q23" s="100">
        <v>24</v>
      </c>
      <c r="U23" s="98">
        <v>25450.738608034986</v>
      </c>
      <c r="X23" s="119" t="s">
        <v>309</v>
      </c>
      <c r="AB23" s="119" t="s">
        <v>342</v>
      </c>
      <c r="AD23" s="179" t="s">
        <v>305</v>
      </c>
      <c r="AE23" s="181"/>
      <c r="AF23" s="79">
        <v>1</v>
      </c>
      <c r="AG23" s="78">
        <f>AF23*参数调整!$C$40</f>
        <v>30000</v>
      </c>
      <c r="AI23" s="209"/>
      <c r="AJ23" s="189"/>
      <c r="AK23" s="213"/>
      <c r="AL23" s="103" t="s">
        <v>273</v>
      </c>
      <c r="AM23" s="79">
        <v>0</v>
      </c>
      <c r="AN23" s="103">
        <f>AM23*参数调整!$G$29</f>
        <v>0</v>
      </c>
      <c r="AO23" s="2"/>
      <c r="AP23" s="2"/>
    </row>
    <row r="24" spans="1:42" ht="27.6" customHeight="1">
      <c r="A24" s="222" t="s">
        <v>295</v>
      </c>
      <c r="B24" s="113" t="s">
        <v>291</v>
      </c>
      <c r="C24" s="114"/>
      <c r="D24" s="114"/>
      <c r="E24" s="114"/>
      <c r="F24" s="114"/>
      <c r="G24" s="79">
        <v>5</v>
      </c>
      <c r="H24" s="115" t="s">
        <v>296</v>
      </c>
      <c r="U24" s="98">
        <v>12171.131143507702</v>
      </c>
      <c r="W24" s="119" t="str">
        <f t="shared" ref="W24:W35" si="7">J3</f>
        <v>S</v>
      </c>
      <c r="X24" s="163">
        <f>ROUNDUP(IF(J3="S",V3*$R$18/($R$18+$S$18+$T$18),IF(J3="B",V3*$R$19/($R$19+$S$19+$T$19),IF(J3="Q",V3*$R$20/($R$20+$S$20+$T$20),V3*$R$21/($R$21+$S$21+$T$21)))),1)</f>
        <v>33.5</v>
      </c>
      <c r="Y24" s="164">
        <f>ROUNDUP(IF(J3="S",V3*$S$18/($R$18+$S$18+$T$18),IF(J3="B",V3*$S$19/($R$19+$S$19+$T$19),IF(J3="Q",V3*$S$20/($R$20+$S$20+$T$20),V3*$S$21/($R$21+$S$21+$T$21)))),1)</f>
        <v>28.3</v>
      </c>
      <c r="Z24" s="163">
        <f>ROUNDUP(IF(J3="S",V3*$T$18/($R$18+$S$18+$T$18),IF(J3="B",V3*$T$19/($R$19+$S$19+$T$19),IF(J3="Q",V3*$T$20/($R$20+$S$20+$T$20),V3*$T$21/($R$21+$S$21+$T$21)))),1)</f>
        <v>28.3</v>
      </c>
      <c r="AA24" s="119">
        <f>V3-TRUNC(X24)-TRUNC(Y24)-TRUNC(Z24)</f>
        <v>1</v>
      </c>
      <c r="AB24" s="125"/>
      <c r="AD24" s="197" t="s">
        <v>226</v>
      </c>
      <c r="AE24" s="197"/>
      <c r="AF24" s="79">
        <v>3</v>
      </c>
      <c r="AG24" s="78">
        <f>AF24*参数调整!$F$18</f>
        <v>900</v>
      </c>
      <c r="AI24" s="209"/>
      <c r="AJ24" s="211" t="s">
        <v>254</v>
      </c>
      <c r="AK24" s="212"/>
      <c r="AL24" s="103" t="s">
        <v>255</v>
      </c>
      <c r="AM24" s="79">
        <v>0</v>
      </c>
      <c r="AN24" s="103">
        <f>AM24*参数调整!$F$23</f>
        <v>0</v>
      </c>
      <c r="AO24" s="2"/>
      <c r="AP24" s="2"/>
    </row>
    <row r="25" spans="1:42" ht="13.9" customHeight="1">
      <c r="A25" s="222"/>
      <c r="B25" s="113" t="s">
        <v>293</v>
      </c>
      <c r="C25" s="114"/>
      <c r="D25" s="114"/>
      <c r="E25" s="114"/>
      <c r="F25" s="114"/>
      <c r="G25" s="79">
        <v>28</v>
      </c>
      <c r="H25" s="116"/>
      <c r="U25" s="98">
        <v>3493.6388996569804</v>
      </c>
      <c r="W25" s="119" t="str">
        <f t="shared" si="7"/>
        <v>S</v>
      </c>
      <c r="X25" s="163">
        <f t="shared" ref="X25:X34" si="8">ROUNDUP(IF(J4="S",V4*$R$18/($R$18+$S$18+$T$18),IF(J4="B",V4*$R$19/($R$19+$S$19+$T$19),IF(J4="Q",V4*$R$20/($R$20+$S$20+$T$20),V4*$R$21/($R$21+$S$21+$T$21)))),1)</f>
        <v>33.5</v>
      </c>
      <c r="Y25" s="161">
        <f t="shared" ref="Y25:Y35" si="9">ROUNDUP(IF(J4="S",V4*$S$18/($R$18+$S$18+$T$18),IF(J4="B",V4*$S$19/($R$19+$S$19+$T$19),IF(J4="Q",V4*$S$20/($R$20+$S$20+$T$20),V4*$S$21/($R$21+$S$21+$T$21)))),1)</f>
        <v>28.3</v>
      </c>
      <c r="Z25" s="163">
        <f t="shared" ref="Z25:Z35" si="10">ROUNDUP(IF(J4="S",V4*$T$18/($R$18+$S$18+$T$18),IF(J4="B",V4*$T$19/($R$19+$S$19+$T$19),IF(J4="Q",V4*$T$20/($R$20+$S$20+$T$20),V4*$T$21/($R$21+$S$21+$T$21)))),1)</f>
        <v>28.3</v>
      </c>
      <c r="AA25" s="119">
        <f t="shared" ref="AA25:AA35" si="11">V4-TRUNC(X25)-TRUNC(Y25)-TRUNC(Z25)</f>
        <v>1</v>
      </c>
      <c r="AB25" s="125"/>
      <c r="AD25" s="197" t="s">
        <v>227</v>
      </c>
      <c r="AE25" s="197"/>
      <c r="AF25" s="79">
        <v>2</v>
      </c>
      <c r="AG25" s="78">
        <f>AF25*参数调整!$F$17</f>
        <v>1000</v>
      </c>
      <c r="AI25" s="209"/>
      <c r="AJ25" s="188"/>
      <c r="AK25" s="214"/>
      <c r="AL25" s="103" t="s">
        <v>256</v>
      </c>
      <c r="AM25" s="79">
        <v>0</v>
      </c>
      <c r="AN25" s="103">
        <f>AM25*参数调整!$H$23</f>
        <v>0</v>
      </c>
      <c r="AO25" s="2"/>
      <c r="AP25" s="2"/>
    </row>
    <row r="26" spans="1:42" ht="13.9" customHeight="1">
      <c r="A26" s="222"/>
      <c r="B26" s="113">
        <v>113</v>
      </c>
      <c r="C26" s="114"/>
      <c r="D26" s="114"/>
      <c r="E26" s="114"/>
      <c r="F26" s="114"/>
      <c r="G26" s="79">
        <v>7</v>
      </c>
      <c r="H26" s="116" t="s">
        <v>297</v>
      </c>
      <c r="W26" s="119" t="str">
        <f t="shared" si="7"/>
        <v>B</v>
      </c>
      <c r="X26" s="161">
        <f t="shared" si="8"/>
        <v>15.6</v>
      </c>
      <c r="Y26" s="161">
        <f>ROUNDUP(IF(J5="S",V5*$S$18/($R$18+$S$18+$T$18),IF(J5="B",V5*$S$19/($R$19+$S$19+$T$19),IF(J5="Q",V5*$S$20/($R$20+$S$20+$T$20),V5*$S$21/($R$21+$S$21+$T$21)))),1)</f>
        <v>15.799999999999999</v>
      </c>
      <c r="Z26" s="163">
        <f t="shared" si="10"/>
        <v>15.799999999999999</v>
      </c>
      <c r="AA26" s="119">
        <f t="shared" si="11"/>
        <v>2</v>
      </c>
      <c r="AB26" s="125"/>
      <c r="AD26" s="197" t="s">
        <v>228</v>
      </c>
      <c r="AE26" s="197"/>
      <c r="AF26" s="197"/>
      <c r="AG26" s="78">
        <f>SUM(X3:X14)</f>
        <v>18000</v>
      </c>
      <c r="AI26" s="209"/>
      <c r="AJ26" s="189"/>
      <c r="AK26" s="213"/>
      <c r="AL26" s="103" t="s">
        <v>257</v>
      </c>
      <c r="AM26" s="79">
        <v>0</v>
      </c>
      <c r="AN26" s="103">
        <f>AM26*参数调整!$J$23</f>
        <v>0</v>
      </c>
      <c r="AO26" s="2"/>
      <c r="AP26" s="2"/>
    </row>
    <row r="27" spans="1:42" ht="33.6" customHeight="1">
      <c r="A27" s="222" t="s">
        <v>298</v>
      </c>
      <c r="B27" s="113">
        <v>212</v>
      </c>
      <c r="C27" s="114"/>
      <c r="D27" s="114"/>
      <c r="E27" s="114"/>
      <c r="F27" s="114"/>
      <c r="G27" s="79">
        <v>17</v>
      </c>
      <c r="H27" s="115" t="s">
        <v>299</v>
      </c>
      <c r="J27" s="118" t="s">
        <v>308</v>
      </c>
      <c r="K27" s="118" t="s">
        <v>193</v>
      </c>
      <c r="W27" s="119" t="str">
        <f t="shared" si="7"/>
        <v>Q</v>
      </c>
      <c r="X27" s="161">
        <f t="shared" si="8"/>
        <v>11.4</v>
      </c>
      <c r="Y27" s="163">
        <f t="shared" si="9"/>
        <v>11.4</v>
      </c>
      <c r="Z27" s="163">
        <f t="shared" si="10"/>
        <v>11.4</v>
      </c>
      <c r="AA27" s="119">
        <f t="shared" si="11"/>
        <v>1</v>
      </c>
      <c r="AB27" s="125"/>
      <c r="AD27" s="197" t="s">
        <v>229</v>
      </c>
      <c r="AE27" s="197"/>
      <c r="AF27" s="197"/>
      <c r="AG27" s="78">
        <f>G18</f>
        <v>25560.989999999998</v>
      </c>
      <c r="AI27" s="209"/>
      <c r="AJ27" s="179" t="s">
        <v>258</v>
      </c>
      <c r="AK27" s="180"/>
      <c r="AL27" s="181"/>
      <c r="AM27" s="80">
        <f>AM19</f>
        <v>5</v>
      </c>
      <c r="AN27" s="103">
        <f>AM27*参数调整!$J$17*(1+参数调整!$B$12+参数调整!$B$13+参数调整!$B$14+参数调整!$B$15+参数调整!$B$16)</f>
        <v>26919.999999999996</v>
      </c>
      <c r="AO27" s="2"/>
      <c r="AP27" s="2"/>
    </row>
    <row r="28" spans="1:42" ht="13.9" customHeight="1">
      <c r="A28" s="222"/>
      <c r="B28" s="113">
        <v>1121</v>
      </c>
      <c r="C28" s="114"/>
      <c r="D28" s="114"/>
      <c r="E28" s="114"/>
      <c r="F28" s="114"/>
      <c r="G28" s="79">
        <v>19</v>
      </c>
      <c r="H28" s="116"/>
      <c r="J28" s="79">
        <v>0.36</v>
      </c>
      <c r="K28" s="118">
        <f>((AA3*参数调整!H11/第二季度!J28)-第一季度!G21*$J$18*0.536537)/$J$18</f>
        <v>16966.045717592595</v>
      </c>
      <c r="Q28" s="1">
        <f>K28/3</f>
        <v>5655.3485725308647</v>
      </c>
      <c r="W28" s="119" t="str">
        <f t="shared" si="7"/>
        <v>Q</v>
      </c>
      <c r="X28" s="163">
        <f t="shared" si="8"/>
        <v>28.700000000000003</v>
      </c>
      <c r="Y28" s="163">
        <f t="shared" si="9"/>
        <v>28.700000000000003</v>
      </c>
      <c r="Z28" s="163">
        <f t="shared" si="10"/>
        <v>28.700000000000003</v>
      </c>
      <c r="AA28" s="119">
        <f t="shared" si="11"/>
        <v>2</v>
      </c>
      <c r="AB28" s="125"/>
      <c r="AD28" s="197" t="s">
        <v>230</v>
      </c>
      <c r="AE28" s="197"/>
      <c r="AF28" s="197"/>
      <c r="AG28" s="106">
        <f>AG3+AG4*(1-参数调整!$B$18)-SUM(AG5:AG27)</f>
        <v>-7158.4514999999665</v>
      </c>
      <c r="AI28" s="209"/>
      <c r="AJ28" s="182" t="s">
        <v>259</v>
      </c>
      <c r="AK28" s="199" t="s">
        <v>260</v>
      </c>
      <c r="AL28" s="217" t="s">
        <v>178</v>
      </c>
      <c r="AM28" s="215">
        <v>0</v>
      </c>
      <c r="AN28" s="182">
        <f>AM28*参数调整!$B$30*参数调整!F11</f>
        <v>0</v>
      </c>
      <c r="AO28" s="2"/>
      <c r="AP28" s="2"/>
    </row>
    <row r="29" spans="1:42" ht="12" customHeight="1">
      <c r="A29" s="222"/>
      <c r="B29" s="113">
        <v>112</v>
      </c>
      <c r="C29" s="114"/>
      <c r="D29" s="114"/>
      <c r="E29" s="114"/>
      <c r="F29" s="114"/>
      <c r="G29" s="79">
        <v>0</v>
      </c>
      <c r="H29" s="116" t="s">
        <v>300</v>
      </c>
      <c r="J29" s="79">
        <v>0.95</v>
      </c>
      <c r="K29" s="118">
        <f>((AA4*参数调整!H12/第二季度!J29)-第一季度!G22*$J$18*0.536537)/$J$18</f>
        <v>18029.332631828151</v>
      </c>
      <c r="Q29" s="1">
        <f>K29/5</f>
        <v>3605.8665263656303</v>
      </c>
      <c r="T29">
        <f>288-46</f>
        <v>242</v>
      </c>
      <c r="W29" s="119" t="str">
        <f t="shared" si="7"/>
        <v>Q</v>
      </c>
      <c r="X29" s="161">
        <f t="shared" si="8"/>
        <v>12.4</v>
      </c>
      <c r="Y29" s="161">
        <f t="shared" si="9"/>
        <v>12.4</v>
      </c>
      <c r="Z29" s="163">
        <f t="shared" si="10"/>
        <v>12.4</v>
      </c>
      <c r="AA29" s="119">
        <f t="shared" si="11"/>
        <v>1</v>
      </c>
      <c r="AB29" s="125"/>
      <c r="AI29" s="209"/>
      <c r="AJ29" s="183"/>
      <c r="AK29" s="200"/>
      <c r="AL29" s="218"/>
      <c r="AM29" s="216"/>
      <c r="AN29" s="184"/>
      <c r="AO29" s="2"/>
      <c r="AP29" s="2"/>
    </row>
    <row r="30" spans="1:42" ht="13.9" customHeight="1">
      <c r="A30" s="222" t="s">
        <v>301</v>
      </c>
      <c r="B30" s="113" t="s">
        <v>302</v>
      </c>
      <c r="C30" s="114"/>
      <c r="D30" s="114"/>
      <c r="E30" s="114"/>
      <c r="F30" s="114"/>
      <c r="G30" s="79">
        <v>22</v>
      </c>
      <c r="H30" s="116"/>
      <c r="J30" s="79">
        <v>0.53</v>
      </c>
      <c r="K30" s="118">
        <f>((AA5*参数调整!H13/第二季度!J30)-第一季度!G23*$J$18*0.536537)/$J$18</f>
        <v>11666.131698918507</v>
      </c>
      <c r="Q30" s="1">
        <f>K30/3</f>
        <v>3888.7105663061689</v>
      </c>
      <c r="W30" s="119" t="str">
        <f t="shared" si="7"/>
        <v>L</v>
      </c>
      <c r="X30" s="161">
        <f t="shared" si="8"/>
        <v>37.700000000000003</v>
      </c>
      <c r="Y30" s="163">
        <f t="shared" si="9"/>
        <v>41.800000000000004</v>
      </c>
      <c r="Z30" s="163">
        <f t="shared" si="10"/>
        <v>37.700000000000003</v>
      </c>
      <c r="AA30" s="119">
        <f t="shared" si="11"/>
        <v>2</v>
      </c>
      <c r="AB30" s="125"/>
      <c r="AI30" s="209"/>
      <c r="AJ30" s="183"/>
      <c r="AK30" s="200"/>
      <c r="AL30" s="217" t="s">
        <v>179</v>
      </c>
      <c r="AM30" s="215">
        <v>0</v>
      </c>
      <c r="AN30" s="182">
        <f>参数调整!F12*AM30*参数调整!$B$30</f>
        <v>0</v>
      </c>
      <c r="AO30" s="2"/>
      <c r="AP30" s="2"/>
    </row>
    <row r="31" spans="1:42" ht="13.9" customHeight="1">
      <c r="A31" s="222"/>
      <c r="B31" s="113">
        <v>111</v>
      </c>
      <c r="C31" s="114"/>
      <c r="D31" s="114"/>
      <c r="E31" s="114"/>
      <c r="F31" s="114"/>
      <c r="G31" s="79">
        <v>0</v>
      </c>
      <c r="H31" s="116" t="s">
        <v>303</v>
      </c>
      <c r="J31" s="79">
        <v>0.36</v>
      </c>
      <c r="K31" s="118">
        <f>((AA6*参数调整!H14/第二季度!J31)-第一季度!G24*$J$18*0.536537)/$J$18</f>
        <v>4467.5925925925931</v>
      </c>
      <c r="Q31" s="1">
        <f>K31</f>
        <v>4467.5925925925931</v>
      </c>
      <c r="W31" s="119" t="str">
        <f t="shared" si="7"/>
        <v>L</v>
      </c>
      <c r="X31" s="161">
        <f t="shared" si="8"/>
        <v>34.800000000000004</v>
      </c>
      <c r="Y31" s="163">
        <f t="shared" si="9"/>
        <v>38.6</v>
      </c>
      <c r="Z31" s="163">
        <f t="shared" si="10"/>
        <v>34.800000000000004</v>
      </c>
      <c r="AA31" s="119">
        <f t="shared" si="11"/>
        <v>2</v>
      </c>
      <c r="AB31" s="125"/>
      <c r="AI31" s="209"/>
      <c r="AJ31" s="183"/>
      <c r="AK31" s="200"/>
      <c r="AL31" s="218"/>
      <c r="AM31" s="216"/>
      <c r="AN31" s="184"/>
      <c r="AO31" s="2"/>
      <c r="AP31" s="2"/>
    </row>
    <row r="32" spans="1:42" ht="13.9" customHeight="1">
      <c r="W32" s="119">
        <f t="shared" si="7"/>
        <v>0</v>
      </c>
      <c r="X32" s="163">
        <f t="shared" si="8"/>
        <v>0</v>
      </c>
      <c r="Y32" s="163">
        <f t="shared" si="9"/>
        <v>0</v>
      </c>
      <c r="Z32" s="163">
        <f t="shared" si="10"/>
        <v>0</v>
      </c>
      <c r="AA32" s="119">
        <f t="shared" si="11"/>
        <v>0</v>
      </c>
      <c r="AB32" s="125"/>
      <c r="AI32" s="209"/>
      <c r="AJ32" s="183"/>
      <c r="AK32" s="200"/>
      <c r="AL32" s="217" t="s">
        <v>180</v>
      </c>
      <c r="AM32" s="215">
        <v>0</v>
      </c>
      <c r="AN32" s="182">
        <f>参数调整!F13*AM32*参数调整!$B$30</f>
        <v>0</v>
      </c>
      <c r="AO32" s="2"/>
      <c r="AP32" s="2"/>
    </row>
    <row r="33" spans="4:42" ht="13.9" customHeight="1">
      <c r="W33" s="119">
        <f t="shared" si="7"/>
        <v>0</v>
      </c>
      <c r="X33" s="101">
        <f t="shared" si="8"/>
        <v>0</v>
      </c>
      <c r="Y33" s="101">
        <f t="shared" si="9"/>
        <v>0</v>
      </c>
      <c r="Z33" s="101">
        <f t="shared" si="10"/>
        <v>0</v>
      </c>
      <c r="AA33" s="119">
        <f t="shared" si="11"/>
        <v>0</v>
      </c>
      <c r="AB33" s="125"/>
      <c r="AI33" s="209"/>
      <c r="AJ33" s="183"/>
      <c r="AK33" s="200"/>
      <c r="AL33" s="218"/>
      <c r="AM33" s="216"/>
      <c r="AN33" s="184"/>
      <c r="AO33" s="2"/>
      <c r="AP33" s="2"/>
    </row>
    <row r="34" spans="4:42" ht="13.9" customHeight="1">
      <c r="I34">
        <v>7</v>
      </c>
      <c r="W34" s="119">
        <f t="shared" si="7"/>
        <v>0</v>
      </c>
      <c r="X34" s="101">
        <f t="shared" si="8"/>
        <v>0</v>
      </c>
      <c r="Y34" s="101">
        <f t="shared" si="9"/>
        <v>0</v>
      </c>
      <c r="Z34" s="101">
        <f t="shared" si="10"/>
        <v>0</v>
      </c>
      <c r="AA34" s="119">
        <f t="shared" si="11"/>
        <v>0</v>
      </c>
      <c r="AB34" s="125"/>
      <c r="AI34" s="209"/>
      <c r="AJ34" s="183"/>
      <c r="AK34" s="200"/>
      <c r="AL34" s="217" t="s">
        <v>195</v>
      </c>
      <c r="AM34" s="215">
        <v>0</v>
      </c>
      <c r="AN34" s="182">
        <f>参数调整!F14*AM34*参数调整!$B$30</f>
        <v>0</v>
      </c>
      <c r="AO34" s="2"/>
      <c r="AP34" s="2"/>
    </row>
    <row r="35" spans="4:42" ht="13.9" customHeight="1">
      <c r="W35" s="119">
        <f t="shared" si="7"/>
        <v>0</v>
      </c>
      <c r="X35" s="101">
        <f>ROUNDUP(IF(J14="S",V14*$R$18/($R$18+$S$18+$T$18),IF(J14="B",V14*$R$19/($R$19+$S$19+$T$19),IF(J14="Q",V14*$R$20/($R$20+$S$20+$T$20),V14*$R$21/($R$21+$S$21+$T$21)))),1)</f>
        <v>0</v>
      </c>
      <c r="Y35" s="101">
        <f t="shared" si="9"/>
        <v>0</v>
      </c>
      <c r="Z35" s="120">
        <f t="shared" si="10"/>
        <v>0</v>
      </c>
      <c r="AA35" s="121">
        <f t="shared" si="11"/>
        <v>0</v>
      </c>
      <c r="AB35" s="126"/>
      <c r="AI35" s="209"/>
      <c r="AJ35" s="184"/>
      <c r="AK35" s="201"/>
      <c r="AL35" s="218"/>
      <c r="AM35" s="216"/>
      <c r="AN35" s="184"/>
      <c r="AO35" s="103" t="s">
        <v>261</v>
      </c>
      <c r="AP35" s="103" t="s">
        <v>262</v>
      </c>
    </row>
    <row r="36" spans="4:42" ht="13.9" customHeight="1">
      <c r="D36" s="190" t="s">
        <v>306</v>
      </c>
      <c r="E36" s="204" t="s">
        <v>307</v>
      </c>
      <c r="AI36" s="210"/>
      <c r="AJ36" s="179" t="s">
        <v>263</v>
      </c>
      <c r="AK36" s="180"/>
      <c r="AL36" s="180"/>
      <c r="AM36" s="181"/>
      <c r="AN36" s="106">
        <f>AN2-SUM(AN5:AN19)+SUM(AN20:AN26)-SUM(AN27:AN35)+AO36*(1-参数调整!B23)+AP36*(1-参数调整!B24)</f>
        <v>172506.91</v>
      </c>
      <c r="AO36" s="79">
        <v>0</v>
      </c>
      <c r="AP36" s="79"/>
    </row>
    <row r="37" spans="4:42" ht="13.9" customHeight="1">
      <c r="D37" s="190"/>
      <c r="E37" s="204"/>
      <c r="AI37" s="205" t="s">
        <v>337</v>
      </c>
      <c r="AJ37" s="179" t="s">
        <v>265</v>
      </c>
      <c r="AK37" s="180"/>
      <c r="AL37" s="180"/>
      <c r="AM37" s="181"/>
      <c r="AN37" s="80">
        <f>AO3-AO36</f>
        <v>99450</v>
      </c>
      <c r="AO37" s="2"/>
      <c r="AP37" s="2"/>
    </row>
    <row r="38" spans="4:42" ht="13.9" customHeight="1">
      <c r="D38" s="87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42</v>
      </c>
      <c r="E38" s="2">
        <f>第一季度!G3+第一季度!H3+第一季度!E38-第一季度!B3</f>
        <v>0</v>
      </c>
      <c r="Q38" s="117"/>
      <c r="R38" s="117"/>
      <c r="S38" s="221" t="s">
        <v>280</v>
      </c>
      <c r="T38" s="221"/>
      <c r="U38" s="221"/>
      <c r="V38" s="1"/>
      <c r="AI38" s="206"/>
      <c r="AJ38" s="179" t="s">
        <v>266</v>
      </c>
      <c r="AK38" s="180"/>
      <c r="AL38" s="180"/>
      <c r="AM38" s="181"/>
      <c r="AN38" s="80">
        <f>(G3*D3*E3+G4*D4*E4+G5*D5*1.5*E5+G6*D6*E6+G7*E7*D7+G8*E8*D8+G9*E9*D9+G10*E10*D10+G11*E11*D11+G12*E12*D12+G13*E13*D13*1.5+G14*E14*D14*1.5+G15*E15*D15*1.5+G16*E16*D16*1.5)*(1+参数调整!B6)</f>
        <v>77371.807499999995</v>
      </c>
      <c r="AO38" s="2"/>
      <c r="AP38" s="2"/>
    </row>
    <row r="39" spans="4:42" ht="13.9" customHeight="1">
      <c r="D39" s="87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82</v>
      </c>
      <c r="E39" s="2">
        <f>第一季度!G4+第一季度!H4+第一季度!E39-第一季度!B4</f>
        <v>0</v>
      </c>
      <c r="Q39" s="117"/>
      <c r="R39" s="117"/>
      <c r="S39" s="117" t="s">
        <v>281</v>
      </c>
      <c r="T39" s="117" t="s">
        <v>282</v>
      </c>
      <c r="U39" s="117" t="s">
        <v>283</v>
      </c>
      <c r="V39" s="2"/>
      <c r="AI39" s="206"/>
      <c r="AJ39" s="179" t="s">
        <v>267</v>
      </c>
      <c r="AK39" s="180"/>
      <c r="AL39" s="180"/>
      <c r="AM39" s="181"/>
      <c r="AN39" s="80">
        <f>H5*D40*(1+参数调整!B6)+H13*D48*(1+参数调整!B6)+H14*D49*(1+参数调整!B6)+H15*D50*(1+参数调整!B6)+H16*D51*(1+参数调整!B6)</f>
        <v>39031.199999999997</v>
      </c>
      <c r="AO39" s="2"/>
      <c r="AP39" s="2"/>
    </row>
    <row r="40" spans="4:42" ht="13.9" customHeight="1">
      <c r="D40" s="87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108</v>
      </c>
      <c r="E40" s="2">
        <f>第一季度!G5+第一季度!H5+第一季度!E40-第一季度!B5</f>
        <v>90</v>
      </c>
      <c r="Q40" s="117"/>
      <c r="R40" s="117" t="s">
        <v>284</v>
      </c>
      <c r="S40" s="91">
        <v>1</v>
      </c>
      <c r="T40" s="91">
        <v>1</v>
      </c>
      <c r="U40" s="91">
        <v>1</v>
      </c>
      <c r="V40" s="2"/>
      <c r="W40" s="112"/>
      <c r="X40" s="112"/>
      <c r="Y40" s="112" t="s">
        <v>285</v>
      </c>
      <c r="Z40" s="112" t="s">
        <v>286</v>
      </c>
      <c r="AA40" s="112" t="s">
        <v>287</v>
      </c>
      <c r="AB40" s="112" t="s">
        <v>288</v>
      </c>
      <c r="AI40" s="206"/>
      <c r="AJ40" s="179" t="s">
        <v>268</v>
      </c>
      <c r="AK40" s="180"/>
      <c r="AL40" s="180"/>
      <c r="AM40" s="181"/>
      <c r="AN40" s="80">
        <v>10000</v>
      </c>
      <c r="AO40" s="2"/>
      <c r="AP40" s="2"/>
    </row>
    <row r="41" spans="4:42" ht="13.9" customHeight="1">
      <c r="D41" s="87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13</v>
      </c>
      <c r="E41" s="2">
        <f>第一季度!G6+第一季度!H6+第一季度!E41-第一季度!B6</f>
        <v>0</v>
      </c>
      <c r="Q41" s="117" t="str">
        <f t="shared" ref="Q41:Q52" si="12">J3</f>
        <v>S</v>
      </c>
      <c r="R41" s="117">
        <f t="shared" ref="R41:R52" si="13">K3</f>
        <v>122</v>
      </c>
      <c r="S41" s="117">
        <f>IF(Q41="S",$S$40*参数调整!$J$11/(($S$40-1)*COUNTIF($Q$41:$Q$52,"S")+$G$22+$G$23),IF(Q41="B",$S$40*参数调整!$J$12/(($S$40-1)*COUNTIF($Q$41:$Q$52,"B")+$G$24+$G$25+$G$26),IF(Q41="Q",$S$40*参数调整!$J$13/(($S$40-1)*COUNTIF($Q$41:$Q$52,"Q")+$G$27+$G$28+$G$29),$S$40*参数调整!$J$14/(($S$40-1)*COUNTIF($Q$41:$Q$52,"L")+$G$30+$G$31))))</f>
        <v>0.35714285714285715</v>
      </c>
      <c r="T41" s="117">
        <f>IF(Q41="S",$T$40*参数调整!$J$11/(($T$40-1)*COUNTIF($Q$41:$Q$52,"S")+$G$22+$G$23),IF(Q41="B",$T$40*参数调整!$J$12/(($T$40-1)*COUNTIF($Q$41:$Q$52,"B")+$G$24+$G$25+$G$26),IF(Q41="Q",$T$40*参数调整!$J$13/(($T$40-1)*COUNTIF($Q$41:$Q$52,"Q")+$G$27+$G$28+$G$29),$T$40*参数调整!$J$14/(($T$40-1)*COUNTIF($Q$41:$Q$52,"L")+$G$30+$G$31))))</f>
        <v>0.35714285714285715</v>
      </c>
      <c r="U41" s="117">
        <f>IF(Q41="S",$U$40*参数调整!$J$11/(($U$40-1)*COUNTIF($Q$41:$Q$52,"S")+$G$22+$G$23),IF(Q41="B",$U$40*参数调整!$J$12/(($U$40-1)*COUNTIF($Q$41:$Q$52,"B")+$G$24+$G$25+$G$26),IF(Q41="Q",$U$40*参数调整!$J$13/(($U$40-1)*COUNTIF($Q$41:$Q$52,"Q")+$G$27+$G$28+$G$29),$U$40*参数调整!$J$14/(($U$40-1)*COUNTIF($Q$41:$Q$52,"L")+$G$30+$G$31))))</f>
        <v>0.35714285714285715</v>
      </c>
      <c r="V41" s="2"/>
      <c r="W41" s="112" t="str">
        <f t="shared" ref="W41:W52" si="14">J3</f>
        <v>S</v>
      </c>
      <c r="X41" s="112">
        <f t="shared" ref="X41:X52" si="15">K3</f>
        <v>122</v>
      </c>
      <c r="Y41" s="112">
        <f>IF(W41="S",IF(X41=113,12*参数调整!$I$11/($G$22*40+$G$23*12),40*参数调整!$I$11/($G$22*40+$G$23*12)),IF(W41="B",IF(X41=113,12*参数调整!$I$12/($G$26*12+$G$24*31+13*$G$25),IF(MID(X41,2,1)="3",31*参数调整!$I$12/($G$26*12+$G$24*31+13*$G$25),13*参数调整!$I$12/($G$26*12+$G$24*31+13*$G$25))),IF(W41="Q",IF(X41=212,30*参数调整!$I$13/($G$27*30+$G$28*31+$G$29*21),IF(X41=1121,31*参数调整!$I$13/($G$27*30+$G$28*31+$G$29*21),21*参数调整!$I$13/($G$27*30+$G$28*31+$G$29*21))),IF(W41="L",IF(MID(X41,2,1)="2",30*参数调整!$I$14/($G$30*30+$G$31*21),21*参数调整!$I$14/($G$30*30+$G$31*21))))))</f>
        <v>3.7267080745341614</v>
      </c>
      <c r="Z41" s="112">
        <f>IF(W41="S",1/($G$22+$G$23)*参数调整!$G$11,IF(W41="B",1/($G$24+$G$25+$G$26)*参数调整!$G$12,IF(W41="Q",1/($G$27+$G$28+$G$29)*参数调整!$G$13,1/($G$30+$G$31)*参数调整!$G$14)))</f>
        <v>0.3571428571428571</v>
      </c>
      <c r="AA41" s="112">
        <f>IF(W41="S",(第一季度!U3-Q3)*参数调整!$K$11/(第一季度!$R$19-($R$18-$J$22*35)),IF(W41="B",(第一季度!U3-Q3)*参数调整!$K$12/(第一季度!$R$20-($R$19-34*$J$22)),IF(W41="Q",(第一季度!U3-Q3)*参数调整!$K$13/(第一季度!$R$21-($R$20-40*$J$22)),IFERROR((第一季度!U3-Q3)*参数调整!$K$14/(第一季度!$R$22-($R$21-$J$22*45)),0))))</f>
        <v>0.15248796147672553</v>
      </c>
      <c r="AB41" s="112">
        <f>IF(W41="S",Y3*参数调整!$H$11/($V$18*($J$18-1)+Y3),IF(W41="B",Y3*参数调整!$H$12/($V$19*($J$18-1)+Y3),IF(W41="Q",Y3*参数调整!$H$13/($V$20*($J$18-1)+Y3),Y3*参数调整!$H$14/($V$21*($J$18-1)+Y3))))</f>
        <v>0.28337111957797317</v>
      </c>
      <c r="AI41" s="206"/>
      <c r="AJ41" s="179" t="s">
        <v>269</v>
      </c>
      <c r="AK41" s="180"/>
      <c r="AL41" s="180"/>
      <c r="AM41" s="181"/>
      <c r="AN41" s="80">
        <f>(AN2+AO3+AP3-AK2)*参数调整!B6/(1+参数调整!B6)-(F3+F4+F5*1.5+F6+F7+F8+F9+F10+F11+F12+F13*1.5+F14*1.5+F15*1.5+F16*1.5+第一季度!AN39)/(1+参数调整!B6)*参数调整!B6</f>
        <v>59965.29036324787</v>
      </c>
      <c r="AO41" s="2"/>
      <c r="AP41" s="2"/>
    </row>
    <row r="42" spans="4:42" ht="13.9" customHeight="1">
      <c r="D42" s="8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18</v>
      </c>
      <c r="E42" s="2">
        <f>第一季度!G7+第一季度!H7+第一季度!E42-第一季度!B7</f>
        <v>0</v>
      </c>
      <c r="Q42" s="117" t="str">
        <f t="shared" si="12"/>
        <v>S</v>
      </c>
      <c r="R42" s="117">
        <f t="shared" si="13"/>
        <v>3334</v>
      </c>
      <c r="S42" s="117">
        <f>IF(Q42="S",$S$40*参数调整!$J$11/(($S$40-1)*COUNTIF($Q$41:$Q$52,"S")+$G$22+$G$23),IF(Q42="B",$S$40*参数调整!$J$12/(($S$40-1)*COUNTIF($Q$41:$Q$52,"B")+$G$24+$G$25+$G$26),IF(Q42="Q",$S$40*参数调整!$J$13/(($S$40-1)*COUNTIF($Q$41:$Q$52,"Q")+$G$27+$G$28+$G$29),$S$40*参数调整!$J$14/(($S$40-1)*COUNTIF($Q$41:$Q$52,"L")+$G$30+$G$31))))</f>
        <v>0.35714285714285715</v>
      </c>
      <c r="T42" s="117">
        <f>IF(Q42="S",$T$40*参数调整!$J$11/(($T$40-1)*COUNTIF($Q$41:$Q$52,"S")+$G$22+$G$23),IF(Q42="B",$T$40*参数调整!$J$12/(($T$40-1)*COUNTIF($Q$41:$Q$52,"B")+$G$24+$G$25+$G$26),IF(Q42="Q",$T$40*参数调整!$J$13/(($T$40-1)*COUNTIF($Q$41:$Q$52,"Q")+$G$27+$G$28+$G$29),$T$40*参数调整!$J$14/(($T$40-1)*COUNTIF($Q$41:$Q$52,"L")+$G$30+$G$31))))</f>
        <v>0.35714285714285715</v>
      </c>
      <c r="U42" s="117">
        <f>IF(Q42="S",$U$40*参数调整!$J$11/(($U$40-1)*COUNTIF($Q$41:$Q$52,"S")+$G$22+$G$23),IF(Q42="B",$U$40*参数调整!$J$12/(($U$40-1)*COUNTIF($Q$41:$Q$52,"B")+$G$24+$G$25+$G$26),IF(Q42="Q",$U$40*参数调整!$J$13/(($U$40-1)*COUNTIF($Q$41:$Q$52,"Q")+$G$27+$G$28+$G$29),$U$40*参数调整!$J$14/(($U$40-1)*COUNTIF($Q$41:$Q$52,"L")+$G$30+$G$31))))</f>
        <v>0.35714285714285715</v>
      </c>
      <c r="V42" s="2"/>
      <c r="W42" s="112" t="str">
        <f t="shared" si="14"/>
        <v>S</v>
      </c>
      <c r="X42" s="112">
        <f t="shared" si="15"/>
        <v>3334</v>
      </c>
      <c r="Y42" s="112">
        <f>IF(W42="S",IF(X42=113,12*参数调整!$I$11/($G$22*40+$G$23*12),40*参数调整!$I$11/($G$22*40+$G$23*12)),IF(W42="B",IF(X42=113,12*参数调整!$I$12/($G$26*12+$G$24*31+13*$G$25),IF(MID(X42,2,1)="3",31*参数调整!$I$12/($G$26*12+$G$24*31+13*$G$25),13*参数调整!$I$12/($G$26*12+$G$24*31+13*$G$25))),IF(W42="Q",IF(X42=212,30*参数调整!$I$13/($G$27*30+$G$28*31+$G$29*21),IF(X42=1121,31*参数调整!$I$13/($G$27*30+$G$28*31+$G$29*21),21*参数调整!$I$13/($G$27*30+$G$28*31+$G$29*21))),IF(W42="L",IF(MID(X42,2,1)="2",30*参数调整!$I$14/($G$30*30+$G$31*21),21*参数调整!$I$14/($G$30*30+$G$31*21))))))</f>
        <v>3.7267080745341614</v>
      </c>
      <c r="Z42" s="112">
        <f>IF(W42="S",1/($G$22+$G$23)*参数调整!$G$11,IF(W42="B",1/($G$24+$G$25+$G$26)*参数调整!$G$12,IF(W42="Q",1/($G$27+$G$28+$G$29)*参数调整!$G$13,1/($G$30+$G$31)*参数调整!$G$14)))</f>
        <v>0.3571428571428571</v>
      </c>
      <c r="AA42" s="112">
        <f>IF(W42="S",(第一季度!U4-Q4)*参数调整!$K$11/(第一季度!$R$19-($R$18-$J$22*35)),IF(W42="B",(第一季度!U4-Q4)*参数调整!$K$12/(第一季度!$R$20-($R$19-34*$J$22)),IF(W42="Q",(第一季度!U4-Q4)*参数调整!$K$13/(第一季度!$R$21-($R$20-40*$J$22)),IFERROR((第一季度!U4-Q4)*参数调整!$K$14/(第一季度!$R$22-($R$21-$J$22*45)),0))))</f>
        <v>0.4654895666131621</v>
      </c>
      <c r="AB42" s="112">
        <f>IF(W42="S",Y4*参数调整!$H$11/($V$18*($J$18-1)+Y4),IF(W42="B",Y4*参数调整!$H$12/($V$19*($J$18-1)+Y4),IF(W42="Q",Y4*参数调整!$H$13/($V$20*($J$18-1)+Y4),Y4*参数调整!$H$14/($V$21*($J$18-1)+Y4))))</f>
        <v>0.64578746335448411</v>
      </c>
      <c r="AI42" s="206"/>
      <c r="AJ42" s="179" t="s">
        <v>270</v>
      </c>
      <c r="AK42" s="180"/>
      <c r="AL42" s="180"/>
      <c r="AM42" s="181"/>
      <c r="AN42" s="80">
        <f>AN41*(参数调整!$B$7+参数调整!$B$8+参数调整!$B$9)</f>
        <v>7195.8348435897451</v>
      </c>
      <c r="AO42" s="2"/>
      <c r="AP42" s="2"/>
    </row>
    <row r="43" spans="4:42" ht="13.9" customHeight="1">
      <c r="D43" s="8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30</v>
      </c>
      <c r="E43" s="2">
        <f>第一季度!G8+第一季度!H8+第一季度!E43-第一季度!B8</f>
        <v>0</v>
      </c>
      <c r="Q43" s="117" t="str">
        <f t="shared" si="12"/>
        <v>B</v>
      </c>
      <c r="R43" s="117">
        <f t="shared" si="13"/>
        <v>1111</v>
      </c>
      <c r="S43" s="117">
        <f>IF(Q43="S",$S$40*参数调整!$J$11/(($S$40-1)*COUNTIF($Q$41:$Q$52,"S")+$G$22+$G$23),IF(Q43="B",$S$40*参数调整!$J$12/(($S$40-1)*COUNTIF($Q$41:$Q$52,"B")+$G$24+$G$25+$G$26),IF(Q43="Q",$S$40*参数调整!$J$13/(($S$40-1)*COUNTIF($Q$41:$Q$52,"Q")+$G$27+$G$28+$G$29),$S$40*参数调整!$J$14/(($S$40-1)*COUNTIF($Q$41:$Q$52,"L")+$G$30+$G$31))))</f>
        <v>0.125</v>
      </c>
      <c r="T43" s="117">
        <f>IF(Q43="S",$T$40*参数调整!$J$11/(($T$40-1)*COUNTIF($Q$41:$Q$52,"S")+$G$22+$G$23),IF(Q43="B",$T$40*参数调整!$J$12/(($T$40-1)*COUNTIF($Q$41:$Q$52,"B")+$G$24+$G$25+$G$26),IF(Q43="Q",$T$40*参数调整!$J$13/(($T$40-1)*COUNTIF($Q$41:$Q$52,"Q")+$G$27+$G$28+$G$29),$T$40*参数调整!$J$14/(($T$40-1)*COUNTIF($Q$41:$Q$52,"L")+$G$30+$G$31))))</f>
        <v>0.125</v>
      </c>
      <c r="U43" s="117">
        <f>IF(Q43="S",$U$40*参数调整!$J$11/(($U$40-1)*COUNTIF($Q$41:$Q$52,"S")+$G$22+$G$23),IF(Q43="B",$U$40*参数调整!$J$12/(($U$40-1)*COUNTIF($Q$41:$Q$52,"B")+$G$24+$G$25+$G$26),IF(Q43="Q",$U$40*参数调整!$J$13/(($U$40-1)*COUNTIF($Q$41:$Q$52,"Q")+$G$27+$G$28+$G$29),$U$40*参数调整!$J$14/(($U$40-1)*COUNTIF($Q$41:$Q$52,"L")+$G$30+$G$31))))</f>
        <v>0.125</v>
      </c>
      <c r="V43" s="2"/>
      <c r="W43" s="112" t="str">
        <f t="shared" si="14"/>
        <v>B</v>
      </c>
      <c r="X43" s="112">
        <f t="shared" si="15"/>
        <v>1111</v>
      </c>
      <c r="Y43" s="112">
        <f>IF(W43="S",IF(X43=113,12*参数调整!$I$11/($G$22*40+$G$23*12),40*参数调整!$I$11/($G$22*40+$G$23*12)),IF(W43="B",IF(X43=113,12*参数调整!$I$12/($G$26*12+$G$24*31+13*$G$25),IF(MID(X43,2,1)="3",31*参数调整!$I$12/($G$26*12+$G$24*31+13*$G$25),13*参数调整!$I$12/($G$26*12+$G$24*31+13*$G$25))),IF(W43="Q",IF(X43=212,30*参数调整!$I$13/($G$27*30+$G$28*31+$G$29*21),IF(X43=1121,31*参数调整!$I$13/($G$27*30+$G$28*31+$G$29*21),21*参数调整!$I$13/($G$27*30+$G$28*31+$G$29*21))),IF(W43="L",IF(MID(X43,2,1)="2",30*参数调整!$I$14/($G$30*30+$G$31*21),21*参数调整!$I$14/($G$30*30+$G$31*21))))))</f>
        <v>1.0779436152570481</v>
      </c>
      <c r="Z43" s="112">
        <f>IF(W43="S",1/($G$22+$G$23)*参数调整!$G$11,IF(W43="B",1/($G$24+$G$25+$G$26)*参数调整!$G$12,IF(W43="Q",1/($G$27+$G$28+$G$29)*参数调整!$G$13,1/($G$30+$G$31)*参数调整!$G$14)))</f>
        <v>0.375</v>
      </c>
      <c r="AA43" s="112">
        <f>IF(W43="S",(第一季度!U5-Q5)*参数调整!$K$11/(第一季度!$R$19-($R$18-$J$22*35)),IF(W43="B",(第一季度!U5-Q5)*参数调整!$K$12/(第一季度!$R$20-($R$19-34*$J$22)),IF(W43="Q",(第一季度!U5-Q5)*参数调整!$K$13/(第一季度!$R$21-($R$20-40*$J$22)),IFERROR((第一季度!U5-Q5)*参数调整!$K$14/(第一季度!$R$22-($R$21-$J$22*45)),0))))</f>
        <v>-0.20318021201413428</v>
      </c>
      <c r="AB43" s="112">
        <f>IF(W43="S",Y5*参数调整!$H$11/($V$18*($J$18-1)+Y5),IF(W43="B",Y5*参数调整!$H$12/($V$19*($J$18-1)+Y5),IF(W43="Q",Y5*参数调整!$H$13/($V$20*($J$18-1)+Y5),Y5*参数调整!$H$14/($V$21*($J$18-1)+Y5))))</f>
        <v>0</v>
      </c>
      <c r="AI43" s="206"/>
      <c r="AJ43" s="179" t="s">
        <v>271</v>
      </c>
      <c r="AK43" s="180"/>
      <c r="AL43" s="180"/>
      <c r="AM43" s="181"/>
      <c r="AN43" s="80">
        <v>0</v>
      </c>
      <c r="AO43" s="2"/>
      <c r="AP43" s="2"/>
    </row>
    <row r="44" spans="4:42" ht="13.9" customHeight="1">
      <c r="D44" s="8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51</v>
      </c>
      <c r="E44" s="2">
        <f>第一季度!G9+第一季度!H9+第一季度!E44-第一季度!B9</f>
        <v>0</v>
      </c>
      <c r="Q44" s="117" t="str">
        <f t="shared" si="12"/>
        <v>Q</v>
      </c>
      <c r="R44" s="117">
        <f t="shared" si="13"/>
        <v>212</v>
      </c>
      <c r="S44" s="117">
        <f>IF(Q44="S",$S$40*参数调整!$J$11/(($S$40-1)*COUNTIF($Q$41:$Q$52,"S")+$G$22+$G$23),IF(Q44="B",$S$40*参数调整!$J$12/(($S$40-1)*COUNTIF($Q$41:$Q$52,"B")+$G$24+$G$25+$G$26),IF(Q44="Q",$S$40*参数调整!$J$13/(($S$40-1)*COUNTIF($Q$41:$Q$52,"Q")+$G$27+$G$28+$G$29),$S$40*参数调整!$J$14/(($S$40-1)*COUNTIF($Q$41:$Q$52,"L")+$G$30+$G$31))))</f>
        <v>0.1388888888888889</v>
      </c>
      <c r="T44" s="117">
        <f>IF(Q44="S",$T$40*参数调整!$J$11/(($T$40-1)*COUNTIF($Q$41:$Q$52,"S")+$G$22+$G$23),IF(Q44="B",$T$40*参数调整!$J$12/(($T$40-1)*COUNTIF($Q$41:$Q$52,"B")+$G$24+$G$25+$G$26),IF(Q44="Q",$T$40*参数调整!$J$13/(($T$40-1)*COUNTIF($Q$41:$Q$52,"Q")+$G$27+$G$28+$G$29),$T$40*参数调整!$J$14/(($T$40-1)*COUNTIF($Q$41:$Q$52,"L")+$G$30+$G$31))))</f>
        <v>0.1388888888888889</v>
      </c>
      <c r="U44" s="117">
        <f>IF(Q44="S",$U$40*参数调整!$J$11/(($U$40-1)*COUNTIF($Q$41:$Q$52,"S")+$G$22+$G$23),IF(Q44="B",$U$40*参数调整!$J$12/(($U$40-1)*COUNTIF($Q$41:$Q$52,"B")+$G$24+$G$25+$G$26),IF(Q44="Q",$U$40*参数调整!$J$13/(($U$40-1)*COUNTIF($Q$41:$Q$52,"Q")+$G$27+$G$28+$G$29),$U$40*参数调整!$J$14/(($U$40-1)*COUNTIF($Q$41:$Q$52,"L")+$G$30+$G$31))))</f>
        <v>0.1388888888888889</v>
      </c>
      <c r="V44" s="2"/>
      <c r="W44" s="112" t="str">
        <f t="shared" si="14"/>
        <v>Q</v>
      </c>
      <c r="X44" s="112">
        <f t="shared" si="15"/>
        <v>212</v>
      </c>
      <c r="Y44" s="112">
        <f>IF(W44="S",IF(X44=113,12*参数调整!$I$11/($G$22*40+$G$23*12),40*参数调整!$I$11/($G$22*40+$G$23*12)),IF(W44="B",IF(X44=113,12*参数调整!$I$12/($G$26*12+$G$24*31+13*$G$25),IF(MID(X44,2,1)="3",31*参数调整!$I$12/($G$26*12+$G$24*31+13*$G$25),13*参数调整!$I$12/($G$26*12+$G$24*31+13*$G$25))),IF(W44="Q",IF(X44=212,30*参数调整!$I$13/($G$27*30+$G$28*31+$G$29*21),IF(X44=1121,31*参数调整!$I$13/($G$27*30+$G$28*31+$G$29*21),21*参数调整!$I$13/($G$27*30+$G$28*31+$G$29*21))),IF(W44="L",IF(MID(X44,2,1)="2",30*参数调整!$I$14/($G$30*30+$G$31*21),21*参数调整!$I$14/($G$30*30+$G$31*21))))))</f>
        <v>1.091901728844404</v>
      </c>
      <c r="Z44" s="112">
        <f>IF(W44="S",1/($G$22+$G$23)*参数调整!$G$11,IF(W44="B",1/($G$24+$G$25+$G$26)*参数调整!$G$12,IF(W44="Q",1/($G$27+$G$28+$G$29)*参数调整!$G$13,1/($G$30+$G$31)*参数调整!$G$14)))</f>
        <v>0.69444444444444442</v>
      </c>
      <c r="AA44" s="112">
        <f>IF(W44="S",(第一季度!U6-Q6)*参数调整!$K$11/(第一季度!$R$19-($R$18-$J$22*35)),IF(W44="B",(第一季度!U6-Q6)*参数调整!$K$12/(第一季度!$R$20-($R$19-34*$J$22)),IF(W44="Q",(第一季度!U6-Q6)*参数调整!$K$13/(第一季度!$R$21-($R$20-40*$J$22)),IFERROR((第一季度!U6-Q6)*参数调整!$K$14/(第一季度!$R$22-($R$21-$J$22*45)),0))))</f>
        <v>-0.39130434782608697</v>
      </c>
      <c r="AB44" s="112">
        <f>IF(W44="S",Y6*参数调整!$H$11/($V$18*($J$18-1)+Y6),IF(W44="B",Y6*参数调整!$H$12/($V$19*($J$18-1)+Y6),IF(W44="Q",Y6*参数调整!$H$13/($V$20*($J$18-1)+Y6),Y6*参数调整!$H$14/($V$21*($J$18-1)+Y6))))</f>
        <v>0</v>
      </c>
      <c r="AI44" s="207"/>
      <c r="AJ44" s="179" t="s">
        <v>263</v>
      </c>
      <c r="AK44" s="180"/>
      <c r="AL44" s="180"/>
      <c r="AM44" s="181"/>
      <c r="AN44" s="106">
        <f>AN36+AN37-SUM(AN38:AN43)</f>
        <v>78392.77729316242</v>
      </c>
      <c r="AO44" s="2"/>
      <c r="AP44" s="2"/>
    </row>
    <row r="45" spans="4:42">
      <c r="D45" s="8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75</v>
      </c>
      <c r="E45" s="2">
        <f>第一季度!G10+第一季度!H10+第一季度!E45-第一季度!B10</f>
        <v>0</v>
      </c>
      <c r="Q45" s="117" t="str">
        <f t="shared" si="12"/>
        <v>Q</v>
      </c>
      <c r="R45" s="117">
        <f t="shared" si="13"/>
        <v>1121</v>
      </c>
      <c r="S45" s="117">
        <f>IF(Q45="S",$S$40*参数调整!$J$11/(($S$40-1)*COUNTIF($Q$41:$Q$52,"S")+$G$22+$G$23),IF(Q45="B",$S$40*参数调整!$J$12/(($S$40-1)*COUNTIF($Q$41:$Q$52,"B")+$G$24+$G$25+$G$26),IF(Q45="Q",$S$40*参数调整!$J$13/(($S$40-1)*COUNTIF($Q$41:$Q$52,"Q")+$G$27+$G$28+$G$29),$S$40*参数调整!$J$14/(($S$40-1)*COUNTIF($Q$41:$Q$52,"L")+$G$30+$G$31))))</f>
        <v>0.1388888888888889</v>
      </c>
      <c r="T45" s="117">
        <f>IF(Q45="S",$T$40*参数调整!$J$11/(($T$40-1)*COUNTIF($Q$41:$Q$52,"S")+$G$22+$G$23),IF(Q45="B",$T$40*参数调整!$J$12/(($T$40-1)*COUNTIF($Q$41:$Q$52,"B")+$G$24+$G$25+$G$26),IF(Q45="Q",$T$40*参数调整!$J$13/(($T$40-1)*COUNTIF($Q$41:$Q$52,"Q")+$G$27+$G$28+$G$29),$T$40*参数调整!$J$14/(($T$40-1)*COUNTIF($Q$41:$Q$52,"L")+$G$30+$G$31))))</f>
        <v>0.1388888888888889</v>
      </c>
      <c r="U45" s="117">
        <f>IF(Q45="S",$U$40*参数调整!$J$11/(($U$40-1)*COUNTIF($Q$41:$Q$52,"S")+$G$22+$G$23),IF(Q45="B",$U$40*参数调整!$J$12/(($U$40-1)*COUNTIF($Q$41:$Q$52,"B")+$G$24+$G$25+$G$26),IF(Q45="Q",$U$40*参数调整!$J$13/(($U$40-1)*COUNTIF($Q$41:$Q$52,"Q")+$G$27+$G$28+$G$29),$U$40*参数调整!$J$14/(($U$40-1)*COUNTIF($Q$41:$Q$52,"L")+$G$30+$G$31))))</f>
        <v>0.1388888888888889</v>
      </c>
      <c r="V45" s="2"/>
      <c r="W45" s="112" t="str">
        <f t="shared" si="14"/>
        <v>Q</v>
      </c>
      <c r="X45" s="112">
        <f t="shared" si="15"/>
        <v>1121</v>
      </c>
      <c r="Y45" s="112">
        <f>IF(W45="S",IF(X45=113,12*参数调整!$I$11/($G$22*40+$G$23*12),40*参数调整!$I$11/($G$22*40+$G$23*12)),IF(W45="B",IF(X45=113,12*参数调整!$I$12/($G$26*12+$G$24*31+13*$G$25),IF(MID(X45,2,1)="3",31*参数调整!$I$12/($G$26*12+$G$24*31+13*$G$25),13*参数调整!$I$12/($G$26*12+$G$24*31+13*$G$25))),IF(W45="Q",IF(X45=212,30*参数调整!$I$13/($G$27*30+$G$28*31+$G$29*21),IF(X45=1121,31*参数调整!$I$13/($G$27*30+$G$28*31+$G$29*21),21*参数调整!$I$13/($G$27*30+$G$28*31+$G$29*21))),IF(W45="L",IF(MID(X45,2,1)="2",30*参数调整!$I$14/($G$30*30+$G$31*21),21*参数调整!$I$14/($G$30*30+$G$31*21))))))</f>
        <v>1.1282984531392175</v>
      </c>
      <c r="Z45" s="112">
        <f>IF(W45="S",1/($G$22+$G$23)*参数调整!$G$11,IF(W45="B",1/($G$24+$G$25+$G$26)*参数调整!$G$12,IF(W45="Q",1/($G$27+$G$28+$G$29)*参数调整!$G$13,1/($G$30+$G$31)*参数调整!$G$14)))</f>
        <v>0.69444444444444442</v>
      </c>
      <c r="AA45" s="112">
        <f>IF(W45="S",(第一季度!U7-Q7)*参数调整!$K$11/(第一季度!$R$19-($R$18-$J$22*35)),IF(W45="B",(第一季度!U7-Q7)*参数调整!$K$12/(第一季度!$R$20-($R$19-34*$J$22)),IF(W45="Q",(第一季度!U7-Q7)*参数调整!$K$13/(第一季度!$R$21-($R$20-40*$J$22)),IFERROR((第一季度!U7-Q7)*参数调整!$K$14/(第一季度!$R$22-($R$21-$J$22*45)),0))))</f>
        <v>1.0807453416149069</v>
      </c>
      <c r="AB45" s="112">
        <f>IF(W45="S",Y7*参数调整!$H$11/($V$18*($J$18-1)+Y7),IF(W45="B",Y7*参数调整!$H$12/($V$19*($J$18-1)+Y7),IF(W45="Q",Y7*参数调整!$H$13/($V$20*($J$18-1)+Y7),Y7*参数调整!$H$14/($V$21*($J$18-1)+Y7))))</f>
        <v>0.67988118595024849</v>
      </c>
    </row>
    <row r="46" spans="4:42">
      <c r="D46" s="8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2">
        <f>第一季度!G11+第一季度!H11+第一季度!E46-第一季度!B11</f>
        <v>0</v>
      </c>
      <c r="Q46" s="117" t="str">
        <f t="shared" si="12"/>
        <v>Q</v>
      </c>
      <c r="R46" s="117">
        <f t="shared" si="13"/>
        <v>112</v>
      </c>
      <c r="S46" s="117">
        <f>IF(Q46="S",$S$40*参数调整!$J$11/(($S$40-1)*COUNTIF($Q$41:$Q$52,"S")+$G$22+$G$23),IF(Q46="B",$S$40*参数调整!$J$12/(($S$40-1)*COUNTIF($Q$41:$Q$52,"B")+$G$24+$G$25+$G$26),IF(Q46="Q",$S$40*参数调整!$J$13/(($S$40-1)*COUNTIF($Q$41:$Q$52,"Q")+$G$27+$G$28+$G$29),$S$40*参数调整!$J$14/(($S$40-1)*COUNTIF($Q$41:$Q$52,"L")+$G$30+$G$31))))</f>
        <v>0.1388888888888889</v>
      </c>
      <c r="T46" s="117">
        <f>IF(Q46="S",$T$40*参数调整!$J$11/(($T$40-1)*COUNTIF($Q$41:$Q$52,"S")+$G$22+$G$23),IF(Q46="B",$T$40*参数调整!$J$12/(($T$40-1)*COUNTIF($Q$41:$Q$52,"B")+$G$24+$G$25+$G$26),IF(Q46="Q",$T$40*参数调整!$J$13/(($T$40-1)*COUNTIF($Q$41:$Q$52,"Q")+$G$27+$G$28+$G$29),$T$40*参数调整!$J$14/(($T$40-1)*COUNTIF($Q$41:$Q$52,"L")+$G$30+$G$31))))</f>
        <v>0.1388888888888889</v>
      </c>
      <c r="U46" s="117">
        <f>IF(Q46="S",$U$40*参数调整!$J$11/(($U$40-1)*COUNTIF($Q$41:$Q$52,"S")+$G$22+$G$23),IF(Q46="B",$U$40*参数调整!$J$12/(($U$40-1)*COUNTIF($Q$41:$Q$52,"B")+$G$24+$G$25+$G$26),IF(Q46="Q",$U$40*参数调整!$J$13/(($U$40-1)*COUNTIF($Q$41:$Q$52,"Q")+$G$27+$G$28+$G$29),$U$40*参数调整!$J$14/(($U$40-1)*COUNTIF($Q$41:$Q$52,"L")+$G$30+$G$31))))</f>
        <v>0.1388888888888889</v>
      </c>
      <c r="V46" s="2"/>
      <c r="W46" s="112" t="str">
        <f t="shared" si="14"/>
        <v>Q</v>
      </c>
      <c r="X46" s="112">
        <f t="shared" si="15"/>
        <v>112</v>
      </c>
      <c r="Y46" s="112">
        <f>IF(W46="S",IF(X46=113,12*参数调整!$I$11/($G$22*40+$G$23*12),40*参数调整!$I$11/($G$22*40+$G$23*12)),IF(W46="B",IF(X46=113,12*参数调整!$I$12/($G$26*12+$G$24*31+13*$G$25),IF(MID(X46,2,1)="3",31*参数调整!$I$12/($G$26*12+$G$24*31+13*$G$25),13*参数调整!$I$12/($G$26*12+$G$24*31+13*$G$25))),IF(W46="Q",IF(X46=212,30*参数调整!$I$13/($G$27*30+$G$28*31+$G$29*21),IF(X46=1121,31*参数调整!$I$13/($G$27*30+$G$28*31+$G$29*21),21*参数调整!$I$13/($G$27*30+$G$28*31+$G$29*21))),IF(W46="L",IF(MID(X46,2,1)="2",30*参数调整!$I$14/($G$30*30+$G$31*21),21*参数调整!$I$14/($G$30*30+$G$31*21))))))</f>
        <v>0.76433121019108285</v>
      </c>
      <c r="Z46" s="112">
        <f>IF(W46="S",1/($G$22+$G$23)*参数调整!$G$11,IF(W46="B",1/($G$24+$G$25+$G$26)*参数调整!$G$12,IF(W46="Q",1/($G$27+$G$28+$G$29)*参数调整!$G$13,1/($G$30+$G$31)*参数调整!$G$14)))</f>
        <v>0.69444444444444442</v>
      </c>
      <c r="AA46" s="112">
        <f>IF(W46="S",(第一季度!U8-Q8)*参数调整!$K$11/(第一季度!$R$19-($R$18-$J$22*35)),IF(W46="B",(第一季度!U8-Q8)*参数调整!$K$12/(第一季度!$R$20-($R$19-34*$J$22)),IF(W46="Q",(第一季度!U8-Q8)*参数调整!$K$13/(第一季度!$R$21-($R$20-40*$J$22)),IFERROR((第一季度!U8-Q8)*参数调整!$K$14/(第一季度!$R$22-($R$21-$J$22*45)),0))))</f>
        <v>0</v>
      </c>
      <c r="AB46" s="112">
        <f>IF(W46="S",Y8*参数调整!$H$11/($V$18*($J$18-1)+Y8),IF(W46="B",Y8*参数调整!$H$12/($V$19*($J$18-1)+Y8),IF(W46="Q",Y8*参数调整!$H$13/($V$20*($J$18-1)+Y8),Y8*参数调整!$H$14/($V$21*($J$18-1)+Y8))))</f>
        <v>7.5658311664660208E-2</v>
      </c>
    </row>
    <row r="47" spans="4:42">
      <c r="D47" s="8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155</v>
      </c>
      <c r="E47" s="2">
        <f>第一季度!G12+第一季度!H12+第一季度!E47-第一季度!B12</f>
        <v>0</v>
      </c>
      <c r="Q47" s="117" t="str">
        <f t="shared" si="12"/>
        <v>L</v>
      </c>
      <c r="R47" s="117">
        <f t="shared" si="13"/>
        <v>121</v>
      </c>
      <c r="S47" s="117">
        <f>IF(Q47="S",$S$40*参数调整!$J$11/(($S$40-1)*COUNTIF($Q$41:$Q$52,"S")+$G$22+$G$23),IF(Q47="B",$S$40*参数调整!$J$12/(($S$40-1)*COUNTIF($Q$41:$Q$52,"B")+$G$24+$G$25+$G$26),IF(Q47="Q",$S$40*参数调整!$J$13/(($S$40-1)*COUNTIF($Q$41:$Q$52,"Q")+$G$27+$G$28+$G$29),$S$40*参数调整!$J$14/(($S$40-1)*COUNTIF($Q$41:$Q$52,"L")+$G$30+$G$31))))</f>
        <v>0.45454545454545453</v>
      </c>
      <c r="T47" s="117">
        <f>IF(Q47="S",$T$40*参数调整!$J$11/(($T$40-1)*COUNTIF($Q$41:$Q$52,"S")+$G$22+$G$23),IF(Q47="B",$T$40*参数调整!$J$12/(($T$40-1)*COUNTIF($Q$41:$Q$52,"B")+$G$24+$G$25+$G$26),IF(Q47="Q",$T$40*参数调整!$J$13/(($T$40-1)*COUNTIF($Q$41:$Q$52,"Q")+$G$27+$G$28+$G$29),$T$40*参数调整!$J$14/(($T$40-1)*COUNTIF($Q$41:$Q$52,"L")+$G$30+$G$31))))</f>
        <v>0.45454545454545453</v>
      </c>
      <c r="U47" s="117">
        <f>IF(Q47="S",$U$40*参数调整!$J$11/(($U$40-1)*COUNTIF($Q$41:$Q$52,"S")+$G$22+$G$23),IF(Q47="B",$U$40*参数调整!$J$12/(($U$40-1)*COUNTIF($Q$41:$Q$52,"B")+$G$24+$G$25+$G$26),IF(Q47="Q",$U$40*参数调整!$J$13/(($U$40-1)*COUNTIF($Q$41:$Q$52,"Q")+$G$27+$G$28+$G$29),$U$40*参数调整!$J$14/(($U$40-1)*COUNTIF($Q$41:$Q$52,"L")+$G$30+$G$31))))</f>
        <v>0.45454545454545453</v>
      </c>
      <c r="V47" s="2"/>
      <c r="W47" s="112" t="str">
        <f t="shared" si="14"/>
        <v>L</v>
      </c>
      <c r="X47" s="112">
        <f t="shared" si="15"/>
        <v>121</v>
      </c>
      <c r="Y47" s="112">
        <f>IF(W47="S",IF(X47=113,12*参数调整!$I$11/($G$22*40+$G$23*12),40*参数调整!$I$11/($G$22*40+$G$23*12)),IF(W47="B",IF(X47=113,12*参数调整!$I$12/($G$26*12+$G$24*31+13*$G$25),IF(MID(X47,2,1)="3",31*参数调整!$I$12/($G$26*12+$G$24*31+13*$G$25),13*参数调整!$I$12/($G$26*12+$G$24*31+13*$G$25))),IF(W47="Q",IF(X47=212,30*参数调整!$I$13/($G$27*30+$G$28*31+$G$29*21),IF(X47=1121,31*参数调整!$I$13/($G$27*30+$G$28*31+$G$29*21),21*参数调整!$I$13/($G$27*30+$G$28*31+$G$29*21))),IF(W47="L",IF(MID(X47,2,1)="2",30*参数调整!$I$14/($G$30*30+$G$31*21),21*参数调整!$I$14/($G$30*30+$G$31*21))))))</f>
        <v>1.3636363636363635</v>
      </c>
      <c r="Z47" s="112">
        <f>IF(W47="S",1/($G$22+$G$23)*参数调整!$G$11,IF(W47="B",1/($G$24+$G$25+$G$26)*参数调整!$G$12,IF(W47="Q",1/($G$27+$G$28+$G$29)*参数调整!$G$13,1/($G$30+$G$31)*参数调整!$G$14)))</f>
        <v>2.2727272727272729</v>
      </c>
      <c r="AA47" s="112">
        <f>IF(W47="S",(第一季度!U9-Q9)*参数调整!$K$11/(第一季度!$R$19-($R$18-$J$22*35)),IF(W47="B",(第一季度!U9-Q9)*参数调整!$K$12/(第一季度!$R$20-($R$19-34*$J$22)),IF(W47="Q",(第一季度!U9-Q9)*参数调整!$K$13/(第一季度!$R$21-($R$20-40*$J$22)),IFERROR((第一季度!U9-Q9)*参数调整!$K$14/(第一季度!$R$22-($R$21-$J$22*45)),0))))</f>
        <v>0</v>
      </c>
      <c r="AB47" s="112">
        <f>IF(W47="S",Y9*参数调整!$H$11/($V$18*($J$18-1)+Y9),IF(W47="B",Y9*参数调整!$H$12/($V$19*($J$18-1)+Y9),IF(W47="Q",Y9*参数调整!$H$13/($V$20*($J$18-1)+Y9),Y9*参数调整!$H$14/($V$21*($J$18-1)+Y9))))</f>
        <v>7.9188913552102697E-2</v>
      </c>
    </row>
    <row r="48" spans="4:42">
      <c r="D48" s="8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45.599999999999994</v>
      </c>
      <c r="E48" s="2">
        <f>第一季度!G13+第一季度!H13+第一季度!E48-第一季度!B13</f>
        <v>136</v>
      </c>
      <c r="Q48" s="117" t="str">
        <f t="shared" si="12"/>
        <v>L</v>
      </c>
      <c r="R48" s="117">
        <f t="shared" si="13"/>
        <v>122</v>
      </c>
      <c r="S48" s="117">
        <f>IF(Q48="S",$S$40*参数调整!$J$11/(($S$40-1)*COUNTIF($Q$41:$Q$52,"S")+$G$22+$G$23),IF(Q48="B",$S$40*参数调整!$J$12/(($S$40-1)*COUNTIF($Q$41:$Q$52,"B")+$G$24+$G$25+$G$26),IF(Q48="Q",$S$40*参数调整!$J$13/(($S$40-1)*COUNTIF($Q$41:$Q$52,"Q")+$G$27+$G$28+$G$29),$S$40*参数调整!$J$14/(($S$40-1)*COUNTIF($Q$41:$Q$52,"L")+$G$30+$G$31))))</f>
        <v>0.45454545454545453</v>
      </c>
      <c r="T48" s="117">
        <f>IF(Q48="S",$T$40*参数调整!$J$11/(($T$40-1)*COUNTIF($Q$41:$Q$52,"S")+$G$22+$G$23),IF(Q48="B",$T$40*参数调整!$J$12/(($T$40-1)*COUNTIF($Q$41:$Q$52,"B")+$G$24+$G$25+$G$26),IF(Q48="Q",$T$40*参数调整!$J$13/(($T$40-1)*COUNTIF($Q$41:$Q$52,"Q")+$G$27+$G$28+$G$29),$T$40*参数调整!$J$14/(($T$40-1)*COUNTIF($Q$41:$Q$52,"L")+$G$30+$G$31))))</f>
        <v>0.45454545454545453</v>
      </c>
      <c r="U48" s="117">
        <f>IF(Q48="S",$U$40*参数调整!$J$11/(($U$40-1)*COUNTIF($Q$41:$Q$52,"S")+$G$22+$G$23),IF(Q48="B",$U$40*参数调整!$J$12/(($U$40-1)*COUNTIF($Q$41:$Q$52,"B")+$G$24+$G$25+$G$26),IF(Q48="Q",$U$40*参数调整!$J$13/(($U$40-1)*COUNTIF($Q$41:$Q$52,"Q")+$G$27+$G$28+$G$29),$U$40*参数调整!$J$14/(($U$40-1)*COUNTIF($Q$41:$Q$52,"L")+$G$30+$G$31))))</f>
        <v>0.45454545454545453</v>
      </c>
      <c r="V48" s="1"/>
      <c r="W48" s="112" t="str">
        <f t="shared" si="14"/>
        <v>L</v>
      </c>
      <c r="X48" s="112">
        <f t="shared" si="15"/>
        <v>122</v>
      </c>
      <c r="Y48" s="112">
        <f>IF(W48="S",IF(X48=113,12*参数调整!$I$11/($G$22*40+$G$23*12),40*参数调整!$I$11/($G$22*40+$G$23*12)),IF(W48="B",IF(X48=113,12*参数调整!$I$12/($G$26*12+$G$24*31+13*$G$25),IF(MID(X48,2,1)="3",31*参数调整!$I$12/($G$26*12+$G$24*31+13*$G$25),13*参数调整!$I$12/($G$26*12+$G$24*31+13*$G$25))),IF(W48="Q",IF(X48=212,30*参数调整!$I$13/($G$27*30+$G$28*31+$G$29*21),IF(X48=1121,31*参数调整!$I$13/($G$27*30+$G$28*31+$G$29*21),21*参数调整!$I$13/($G$27*30+$G$28*31+$G$29*21))),IF(W48="L",IF(MID(X48,2,1)="2",30*参数调整!$I$14/($G$30*30+$G$31*21),21*参数调整!$I$14/($G$30*30+$G$31*21))))))</f>
        <v>1.3636363636363635</v>
      </c>
      <c r="Z48" s="112">
        <f>IF(W48="S",1/($G$22+$G$23)*参数调整!$G$11,IF(W48="B",1/($G$24+$G$25+$G$26)*参数调整!$G$12,IF(W48="Q",1/($G$27+$G$28+$G$29)*参数调整!$G$13,1/($G$30+$G$31)*参数调整!$G$14)))</f>
        <v>2.2727272727272729</v>
      </c>
      <c r="AA48" s="112">
        <f>IF(W48="S",(第一季度!U10-Q10)*参数调整!$K$11/(第一季度!$R$19-($R$18-$J$22*35)),IF(W48="B",(第一季度!U10-Q10)*参数调整!$K$12/(第一季度!$R$20-($R$19-34*$J$22)),IF(W48="Q",(第一季度!U10-Q10)*参数调整!$K$13/(第一季度!$R$21-($R$20-40*$J$22)),IFERROR((第一季度!U10-Q10)*参数调整!$K$14/(第一季度!$R$22-($R$21-$J$22*45)),0))))</f>
        <v>0</v>
      </c>
      <c r="AB48" s="112">
        <f>IF(W48="S",Y10*参数调整!$H$11/($V$18*($J$18-1)+Y10),IF(W48="B",Y10*参数调整!$H$12/($V$19*($J$18-1)+Y10),IF(W48="Q",Y10*参数调整!$H$13/($V$20*($J$18-1)+Y10),Y10*参数调整!$H$14/($V$21*($J$18-1)+Y10))))</f>
        <v>0.30238817937117002</v>
      </c>
    </row>
    <row r="49" spans="4:28">
      <c r="D49" s="8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48</v>
      </c>
      <c r="E49" s="2">
        <f>第一季度!G14+第一季度!H14+第一季度!E49-第一季度!B14</f>
        <v>0</v>
      </c>
      <c r="Q49" s="117">
        <f t="shared" si="12"/>
        <v>0</v>
      </c>
      <c r="R49" s="117">
        <f t="shared" si="13"/>
        <v>212</v>
      </c>
      <c r="S49" s="117">
        <f>IF(Q49="S",$S$40*参数调整!$J$11/(($S$40-1)*COUNTIF($Q$41:$Q$52,"S")+$G$22+$G$23),IF(Q49="B",$S$40*参数调整!$J$12/(($S$40-1)*COUNTIF($Q$41:$Q$52,"B")+$G$24+$G$25+$G$26),IF(Q49="Q",$S$40*参数调整!$J$13/(($S$40-1)*COUNTIF($Q$41:$Q$52,"Q")+$G$27+$G$28+$G$29),$S$40*参数调整!$J$14/(($S$40-1)*COUNTIF($Q$41:$Q$52,"L")+$G$30+$G$31))))</f>
        <v>0.45454545454545453</v>
      </c>
      <c r="T49" s="117">
        <f>IF(Q49="S",$T$40*参数调整!$J$11/(($T$40-1)*COUNTIF($Q$41:$Q$52,"S")+$G$22+$G$23),IF(Q49="B",$T$40*参数调整!$J$12/(($T$40-1)*COUNTIF($Q$41:$Q$52,"B")+$G$24+$G$25+$G$26),IF(Q49="Q",$T$40*参数调整!$J$13/(($T$40-1)*COUNTIF($Q$41:$Q$52,"Q")+$G$27+$G$28+$G$29),$T$40*参数调整!$J$14/(($T$40-1)*COUNTIF($Q$41:$Q$52,"L")+$G$30+$G$31))))</f>
        <v>0.45454545454545453</v>
      </c>
      <c r="U49" s="117">
        <f>IF(Q49="S",$U$40*参数调整!$J$11/(($U$40-1)*COUNTIF($Q$41:$Q$52,"S")+$G$22+$G$23),IF(Q49="B",$U$40*参数调整!$J$12/(($U$40-1)*COUNTIF($Q$41:$Q$52,"B")+$G$24+$G$25+$G$26),IF(Q49="Q",$U$40*参数调整!$J$13/(($U$40-1)*COUNTIF($Q$41:$Q$52,"Q")+$G$27+$G$28+$G$29),$U$40*参数调整!$J$14/(($U$40-1)*COUNTIF($Q$41:$Q$52,"L")+$G$30+$G$31))))</f>
        <v>0.45454545454545453</v>
      </c>
      <c r="V49" s="1"/>
      <c r="W49" s="112">
        <f t="shared" si="14"/>
        <v>0</v>
      </c>
      <c r="X49" s="112">
        <f t="shared" si="15"/>
        <v>212</v>
      </c>
      <c r="Y49" s="112" t="b">
        <f>IF(W49="S",IF(X49=113,12*参数调整!$I$11/($G$22*40+$G$23*12),40*参数调整!$I$11/($G$22*40+$G$23*12)),IF(W49="B",IF(X49=113,12*参数调整!$I$12/($G$26*12+$G$24*31+13*$G$25),IF(MID(X49,2,1)="3",31*参数调整!$I$12/($G$26*12+$G$24*31+13*$G$25),13*参数调整!$I$12/($G$26*12+$G$24*31+13*$G$25))),IF(W49="Q",IF(X49=212,30*参数调整!$I$13/($G$27*30+$G$28*31+$G$29*21),IF(X49=1121,31*参数调整!$I$13/($G$27*30+$G$28*31+$G$29*21),21*参数调整!$I$13/($G$27*30+$G$28*31+$G$29*21))),IF(W49="L",IF(MID(X49,2,1)="2",30*参数调整!$I$14/($G$30*30+$G$31*21),21*参数调整!$I$14/($G$30*30+$G$31*21))))))</f>
        <v>0</v>
      </c>
      <c r="Z49" s="112">
        <f>IF(W49="S",1/($G$22+$G$23)*参数调整!$G$11,IF(W49="B",1/($G$24+$G$25+$G$26)*参数调整!$G$12,IF(W49="Q",1/($G$27+$G$28+$G$29)*参数调整!$G$13,1/($G$30+$G$31)*参数调整!$G$14)))</f>
        <v>2.2727272727272729</v>
      </c>
      <c r="AA49" s="112">
        <f>IF(W49="S",(第一季度!U11-Q11)*参数调整!$K$11/(第一季度!$R$19-($R$18-$J$22*35)),IF(W49="B",(第一季度!U11-Q11)*参数调整!$K$12/(第一季度!$R$20-($R$19-34*$J$22)),IF(W49="Q",(第一季度!U11-Q11)*参数调整!$K$13/(第一季度!$R$21-($R$20-40*$J$22)),IFERROR((第一季度!U11-Q11)*参数调整!$K$14/(第一季度!$R$22-($R$21-$J$22*45)),0))))</f>
        <v>0</v>
      </c>
      <c r="AB49" s="112">
        <f>IF(W49="S",Y11*参数调整!$H$11/($V$18*($J$18-1)+Y11),IF(W49="B",Y11*参数调整!$H$12/($V$19*($J$18-1)+Y11),IF(W49="Q",Y11*参数调整!$H$13/($V$20*($J$18-1)+Y11),Y11*参数调整!$H$14/($V$21*($J$18-1)+Y11))))</f>
        <v>0</v>
      </c>
    </row>
    <row r="50" spans="4:28">
      <c r="D50" s="8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第一季度!G15+第一季度!H15+第一季度!E50-第一季度!B15</f>
        <v>90</v>
      </c>
      <c r="Q50" s="117">
        <f t="shared" si="12"/>
        <v>0</v>
      </c>
      <c r="R50" s="117">
        <f t="shared" si="13"/>
        <v>1121</v>
      </c>
      <c r="S50" s="117">
        <f>IF(Q50="S",$S$40*参数调整!$J$11/(($S$40-1)*COUNTIF($Q$41:$Q$52,"S")+$G$22+$G$23),IF(Q50="B",$S$40*参数调整!$J$12/(($S$40-1)*COUNTIF($Q$41:$Q$52,"B")+$G$24+$G$25+$G$26),IF(Q50="Q",$S$40*参数调整!$J$13/(($S$40-1)*COUNTIF($Q$41:$Q$52,"Q")+$G$27+$G$28+$G$29),$S$40*参数调整!$J$14/(($S$40-1)*COUNTIF($Q$41:$Q$52,"L")+$G$30+$G$31))))</f>
        <v>0.45454545454545453</v>
      </c>
      <c r="T50" s="117">
        <f>IF(Q50="S",$T$40*参数调整!$J$11/(($T$40-1)*COUNTIF($Q$41:$Q$52,"S")+$G$22+$G$23),IF(Q50="B",$T$40*参数调整!$J$12/(($T$40-1)*COUNTIF($Q$41:$Q$52,"B")+$G$24+$G$25+$G$26),IF(Q50="Q",$T$40*参数调整!$J$13/(($T$40-1)*COUNTIF($Q$41:$Q$52,"Q")+$G$27+$G$28+$G$29),$T$40*参数调整!$J$14/(($T$40-1)*COUNTIF($Q$41:$Q$52,"L")+$G$30+$G$31))))</f>
        <v>0.45454545454545453</v>
      </c>
      <c r="U50" s="117">
        <f>IF(Q50="S",$U$40*参数调整!$J$11/(($U$40-1)*COUNTIF($Q$41:$Q$52,"S")+$G$22+$G$23),IF(Q50="B",$U$40*参数调整!$J$12/(($U$40-1)*COUNTIF($Q$41:$Q$52,"B")+$G$24+$G$25+$G$26),IF(Q50="Q",$U$40*参数调整!$J$13/(($U$40-1)*COUNTIF($Q$41:$Q$52,"Q")+$G$27+$G$28+$G$29),$U$40*参数调整!$J$14/(($U$40-1)*COUNTIF($Q$41:$Q$52,"L")+$G$30+$G$31))))</f>
        <v>0.45454545454545453</v>
      </c>
      <c r="V50" s="1"/>
      <c r="W50" s="112">
        <f t="shared" si="14"/>
        <v>0</v>
      </c>
      <c r="X50" s="112">
        <f t="shared" si="15"/>
        <v>1121</v>
      </c>
      <c r="Y50" s="112" t="b">
        <f>IF(W50="S",IF(X50=113,12*参数调整!$I$11/($G$22*40+$G$23*12),40*参数调整!$I$11/($G$22*40+$G$23*12)),IF(W50="B",IF(X50=113,12*参数调整!$I$12/($G$26*12+$G$24*31+13*$G$25),IF(MID(X50,2,1)="3",31*参数调整!$I$12/($G$26*12+$G$24*31+13*$G$25),13*参数调整!$I$12/($G$26*12+$G$24*31+13*$G$25))),IF(W50="Q",IF(X50=212,30*参数调整!$I$13/($G$27*30+$G$28*31+$G$29*21),IF(X50=1121,31*参数调整!$I$13/($G$27*30+$G$28*31+$G$29*21),21*参数调整!$I$13/($G$27*30+$G$28*31+$G$29*21))),IF(W50="L",IF(MID(X50,2,1)="2",30*参数调整!$I$14/($G$30*30+$G$31*21),21*参数调整!$I$14/($G$30*30+$G$31*21))))))</f>
        <v>0</v>
      </c>
      <c r="Z50" s="112">
        <f>IF(W50="S",1/($G$22+$G$23)*参数调整!$G$11,IF(W50="B",1/($G$24+$G$25+$G$26)*参数调整!$G$12,IF(W50="Q",1/($G$27+$G$28+$G$29)*参数调整!$G$13,1/($G$30+$G$31)*参数调整!$G$14)))</f>
        <v>2.2727272727272729</v>
      </c>
      <c r="AA50" s="112">
        <f>IF(W50="S",(第一季度!U12-Q12)*参数调整!$K$11/(第一季度!$R$19-($R$18-$J$22*35)),IF(W50="B",(第一季度!U12-Q12)*参数调整!$K$12/(第一季度!$R$20-($R$19-34*$J$22)),IF(W50="Q",(第一季度!U12-Q12)*参数调整!$K$13/(第一季度!$R$21-($R$20-40*$J$22)),IFERROR((第一季度!U12-Q12)*参数调整!$K$14/(第一季度!$R$22-($R$21-$J$22*45)),0))))</f>
        <v>0</v>
      </c>
      <c r="AB50" s="112">
        <f>IF(W50="S",Y12*参数调整!$H$11/($V$18*($J$18-1)+Y12),IF(W50="B",Y12*参数调整!$H$12/($V$19*($J$18-1)+Y12),IF(W50="Q",Y12*参数调整!$H$13/($V$20*($J$18-1)+Y12),Y12*参数调整!$H$14/($V$21*($J$18-1)+Y12))))</f>
        <v>0</v>
      </c>
    </row>
    <row r="51" spans="4:28">
      <c r="D51" s="87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82</v>
      </c>
      <c r="E51" s="2">
        <f>第一季度!G16+第一季度!H16+第一季度!E51-第一季度!B16</f>
        <v>0</v>
      </c>
      <c r="Q51" s="117">
        <f t="shared" si="12"/>
        <v>0</v>
      </c>
      <c r="R51" s="117">
        <f t="shared" si="13"/>
        <v>121</v>
      </c>
      <c r="S51" s="117">
        <f>IF(Q51="S",$S$40*参数调整!$J$11/(($S$40-1)*COUNTIF($Q$41:$Q$52,"S")+$G$22+$G$23),IF(Q51="B",$S$40*参数调整!$J$12/(($S$40-1)*COUNTIF($Q$41:$Q$52,"B")+$G$24+$G$25+$G$26),IF(Q51="Q",$S$40*参数调整!$J$13/(($S$40-1)*COUNTIF($Q$41:$Q$52,"Q")+$G$27+$G$28+$G$29),$S$40*参数调整!$J$14/(($S$40-1)*COUNTIF($Q$41:$Q$52,"L")+$G$30+$G$31))))</f>
        <v>0.45454545454545453</v>
      </c>
      <c r="T51" s="117">
        <f>IF(Q51="S",$T$40*参数调整!$J$11/(($T$40-1)*COUNTIF($Q$41:$Q$52,"S")+$G$22+$G$23),IF(Q51="B",$T$40*参数调整!$J$12/(($T$40-1)*COUNTIF($Q$41:$Q$52,"B")+$G$24+$G$25+$G$26),IF(Q51="Q",$T$40*参数调整!$J$13/(($T$40-1)*COUNTIF($Q$41:$Q$52,"Q")+$G$27+$G$28+$G$29),$T$40*参数调整!$J$14/(($T$40-1)*COUNTIF($Q$41:$Q$52,"L")+$G$30+$G$31))))</f>
        <v>0.45454545454545453</v>
      </c>
      <c r="U51" s="117">
        <f>IF(Q51="S",$U$40*参数调整!$J$11/(($U$40-1)*COUNTIF($Q$41:$Q$52,"S")+$G$22+$G$23),IF(Q51="B",$U$40*参数调整!$J$12/(($U$40-1)*COUNTIF($Q$41:$Q$52,"B")+$G$24+$G$25+$G$26),IF(Q51="Q",$U$40*参数调整!$J$13/(($U$40-1)*COUNTIF($Q$41:$Q$52,"Q")+$G$27+$G$28+$G$29),$U$40*参数调整!$J$14/(($U$40-1)*COUNTIF($Q$41:$Q$52,"L")+$G$30+$G$31))))</f>
        <v>0.45454545454545453</v>
      </c>
      <c r="W51" s="112">
        <f t="shared" si="14"/>
        <v>0</v>
      </c>
      <c r="X51" s="112">
        <f t="shared" si="15"/>
        <v>121</v>
      </c>
      <c r="Y51" s="112" t="b">
        <f>IF(W51="S",IF(X51=113,12*参数调整!$I$11/($G$22*40+$G$23*12),40*参数调整!$I$11/($G$22*40+$G$23*12)),IF(W51="B",IF(X51=113,12*参数调整!$I$12/($G$26*12+$G$24*31+13*$G$25),IF(MID(X51,2,1)="3",31*参数调整!$I$12/($G$26*12+$G$24*31+13*$G$25),13*参数调整!$I$12/($G$26*12+$G$24*31+13*$G$25))),IF(W51="Q",IF(X51=212,30*参数调整!$I$13/($G$27*30+$G$28*31+$G$29*21),IF(X51=1121,31*参数调整!$I$13/($G$27*30+$G$28*31+$G$29*21),21*参数调整!$I$13/($G$27*30+$G$28*31+$G$29*21))),IF(W51="L",IF(MID(X51,2,1)="2",30*参数调整!$I$14/($G$30*30+$G$31*21),21*参数调整!$I$14/($G$30*30+$G$31*21))))))</f>
        <v>0</v>
      </c>
      <c r="Z51" s="112">
        <f>IF(W51="S",1/($G$22+$G$23)*参数调整!$G$11,IF(W51="B",1/($G$24+$G$25+$G$26)*参数调整!$G$12,IF(W51="Q",1/($G$27+$G$28+$G$29)*参数调整!$G$13,1/($G$30+$G$31)*参数调整!$G$14)))</f>
        <v>2.2727272727272729</v>
      </c>
      <c r="AA51" s="112">
        <f>IF(W51="S",(第一季度!U13-Q13)*参数调整!$K$11/(第一季度!$R$19-($R$18-$J$22*35)),IF(W51="B",(第一季度!U13-Q13)*参数调整!$K$12/(第一季度!$R$20-($R$19-34*$J$22)),IF(W51="Q",(第一季度!U13-Q13)*参数调整!$K$13/(第一季度!$R$21-($R$20-40*$J$22)),IFERROR((第一季度!U13-Q13)*参数调整!$K$14/(第一季度!$R$22-($R$21-$J$22*45)),0))))</f>
        <v>0</v>
      </c>
      <c r="AB51" s="112">
        <f>IF(W51="S",Y13*参数调整!$H$11/($V$18*($J$18-1)+Y13),IF(W51="B",Y13*参数调整!$H$12/($V$19*($J$18-1)+Y13),IF(W51="Q",Y13*参数调整!$H$13/($V$20*($J$18-1)+Y13),Y13*参数调整!$H$14/($V$21*($J$18-1)+Y13))))</f>
        <v>0</v>
      </c>
    </row>
    <row r="52" spans="4:28">
      <c r="Q52" s="117">
        <f t="shared" si="12"/>
        <v>0</v>
      </c>
      <c r="R52" s="117">
        <f t="shared" si="13"/>
        <v>122</v>
      </c>
      <c r="S52" s="117">
        <f>IF(Q52="S",$S$40*参数调整!$J$11/(($S$40-1)*COUNTIF($Q$41:$Q$52,"S")+$G$22+$G$23),IF(Q52="B",$S$40*参数调整!$J$12/(($S$40-1)*COUNTIF($Q$41:$Q$52,"B")+$G$24+$G$25+$G$26),IF(Q52="Q",$S$40*参数调整!$J$13/(($S$40-1)*COUNTIF($Q$41:$Q$52,"Q")+$G$27+$G$28+$G$29),$S$40*参数调整!$J$14/(($S$40-1)*COUNTIF($Q$41:$Q$52,"L")+$G$30+$G$31))))</f>
        <v>0.45454545454545453</v>
      </c>
      <c r="T52" s="117">
        <f>IF(Q52="S",$T$40*参数调整!$J$11/(($T$40-1)*COUNTIF($Q$41:$Q$52,"S")+$G$22+$G$23),IF(Q52="B",$T$40*参数调整!$J$12/(($T$40-1)*COUNTIF($Q$41:$Q$52,"B")+$G$24+$G$25+$G$26),IF(Q52="Q",$T$40*参数调整!$J$13/(($T$40-1)*COUNTIF($Q$41:$Q$52,"Q")+$G$27+$G$28+$G$29),$T$40*参数调整!$J$14/(($T$40-1)*COUNTIF($Q$41:$Q$52,"L")+$G$30+$G$31))))</f>
        <v>0.45454545454545453</v>
      </c>
      <c r="U52" s="117">
        <f>IF(Q52="S",$U$40*参数调整!$J$11/(($U$40-1)*COUNTIF($Q$41:$Q$52,"S")+$G$22+$G$23),IF(Q52="B",$U$40*参数调整!$J$12/(($U$40-1)*COUNTIF($Q$41:$Q$52,"B")+$G$24+$G$25+$G$26),IF(Q52="Q",$U$40*参数调整!$J$13/(($U$40-1)*COUNTIF($Q$41:$Q$52,"Q")+$G$27+$G$28+$G$29),$U$40*参数调整!$J$14/(($U$40-1)*COUNTIF($Q$41:$Q$52,"L")+$G$30+$G$31))))</f>
        <v>0.45454545454545453</v>
      </c>
      <c r="W52" s="112">
        <f t="shared" si="14"/>
        <v>0</v>
      </c>
      <c r="X52" s="112">
        <f t="shared" si="15"/>
        <v>122</v>
      </c>
      <c r="Y52" s="112" t="b">
        <f>IF(W52="S",IF(X52=113,12*参数调整!$I$11/($G$22*40+$G$23*12),40*参数调整!$I$11/($G$22*40+$G$23*12)),IF(W52="B",IF(X52=113,12*参数调整!$I$12/($G$26*12+$G$24*31+13*$G$25),IF(MID(X52,2,1)="3",31*参数调整!$I$12/($G$26*12+$G$24*31+13*$G$25),13*参数调整!$I$12/($G$26*12+$G$24*31+13*$G$25))),IF(W52="Q",IF(X52=212,30*参数调整!$I$13/($G$27*30+$G$28*31+$G$29*21),IF(X52=1121,31*参数调整!$I$13/($G$27*30+$G$28*31+$G$29*21),21*参数调整!$I$13/($G$27*30+$G$28*31+$G$29*21))),IF(W52="L",IF(MID(X52,2,1)="2",30*参数调整!$I$14/($G$30*30+$G$31*21),21*参数调整!$I$14/($G$30*30+$G$31*21))))))</f>
        <v>0</v>
      </c>
      <c r="Z52" s="112">
        <f>IF(W52="S",1/($G$22+$G$23)*参数调整!$G$11,IF(W52="B",1/($G$24+$G$25+$G$26)*参数调整!$G$12,IF(W52="Q",1/($G$27+$G$28+$G$29)*参数调整!$G$13,1/($G$30+$G$31)*参数调整!$G$14)))</f>
        <v>2.2727272727272729</v>
      </c>
      <c r="AA52" s="112">
        <f>IF(W52="S",(第一季度!U14-Q14)*参数调整!$K$11/(第一季度!$R$19-($R$18-$J$22*35)),IF(W52="B",(第一季度!U14-Q14)*参数调整!$K$12/(第一季度!$R$20-($R$19-34*$J$22)),IF(W52="Q",(第一季度!U14-Q14)*参数调整!$K$13/(第一季度!$R$21-($R$20-40*$J$22)),IFERROR((第一季度!U14-Q14)*参数调整!$K$14/(第一季度!$R$22-($R$21-$J$22*45)),0))))</f>
        <v>0</v>
      </c>
      <c r="AB52" s="112">
        <f>IF(W52="S",Y14*参数调整!$H$11/($V$18*($J$18-1)+Y14),IF(W52="B",Y14*参数调整!$H$12/($V$19*($J$18-1)+Y14),IF(W52="Q",Y14*参数调整!$H$13/($V$20*($J$18-1)+Y14),Y14*参数调整!$H$14/($V$21*($J$18-1)+Y14))))</f>
        <v>0</v>
      </c>
    </row>
  </sheetData>
  <mergeCells count="77">
    <mergeCell ref="AN30:AN31"/>
    <mergeCell ref="AL32:AL33"/>
    <mergeCell ref="AM32:AM33"/>
    <mergeCell ref="AN32:AN33"/>
    <mergeCell ref="AL34:AL35"/>
    <mergeCell ref="AM34:AM35"/>
    <mergeCell ref="AN34:AN35"/>
    <mergeCell ref="AO4:AP4"/>
    <mergeCell ref="AO5:AP6"/>
    <mergeCell ref="AL28:AL29"/>
    <mergeCell ref="AM28:AM29"/>
    <mergeCell ref="AN28:AN29"/>
    <mergeCell ref="AN2:AN3"/>
    <mergeCell ref="AK2:AK3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I4:AI36"/>
    <mergeCell ref="AJ4:AL4"/>
    <mergeCell ref="AJ5:AJ16"/>
    <mergeCell ref="AK5:AK8"/>
    <mergeCell ref="AJ36:AM36"/>
    <mergeCell ref="AD25:AE25"/>
    <mergeCell ref="AD26:AF26"/>
    <mergeCell ref="AD27:AF27"/>
    <mergeCell ref="AD28:AF28"/>
    <mergeCell ref="AJ28:AJ35"/>
    <mergeCell ref="AK28:AK35"/>
    <mergeCell ref="AI2:AJ3"/>
    <mergeCell ref="AJ18:AK19"/>
    <mergeCell ref="AJ20:AK23"/>
    <mergeCell ref="AJ24:AK26"/>
    <mergeCell ref="AJ27:AL27"/>
    <mergeCell ref="AK9:AK11"/>
    <mergeCell ref="AK12:AL12"/>
    <mergeCell ref="AK13:AK16"/>
    <mergeCell ref="AJ17:AL17"/>
    <mergeCell ref="AL2:AM3"/>
    <mergeCell ref="AL30:AL31"/>
    <mergeCell ref="AM30:AM31"/>
    <mergeCell ref="AD24:AE24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W17:Y17"/>
    <mergeCell ref="S38:U38"/>
    <mergeCell ref="A22:A23"/>
    <mergeCell ref="A24:A26"/>
    <mergeCell ref="A27:A29"/>
    <mergeCell ref="A30:A31"/>
    <mergeCell ref="J22:K23"/>
    <mergeCell ref="A18:B18"/>
    <mergeCell ref="J17:K17"/>
    <mergeCell ref="J18:K20"/>
    <mergeCell ref="J21:K21"/>
    <mergeCell ref="H1:H2"/>
    <mergeCell ref="E36:E37"/>
    <mergeCell ref="D36:D37"/>
    <mergeCell ref="B1:B2"/>
    <mergeCell ref="C1:C2"/>
    <mergeCell ref="D1:D2"/>
    <mergeCell ref="E1:E2"/>
    <mergeCell ref="G1:G2"/>
  </mergeCells>
  <phoneticPr fontId="1" type="noConversion"/>
  <dataValidations count="4">
    <dataValidation type="list" allowBlank="1" showInputMessage="1" showErrorMessage="1" sqref="AE8:AE10" xr:uid="{6FB40C2D-6320-40CE-A236-8FA74802236B}">
      <formula1>"租用小厂房,租用中厂房,租用大厂房"</formula1>
    </dataValidation>
    <dataValidation type="list" allowBlank="1" showInputMessage="1" showErrorMessage="1" sqref="AF17:AF23" xr:uid="{B6FFEFE1-FCE3-4CBE-BACC-91E8B6BD957B}">
      <formula1>"1,0"</formula1>
    </dataValidation>
    <dataValidation type="list" allowBlank="1" showInputMessage="1" showErrorMessage="1" sqref="AE5:AE7" xr:uid="{F68A7A09-B8CB-476B-A39A-07738F2E8867}">
      <formula1>"购买小厂房,购买中厂房,购买大厂房"</formula1>
    </dataValidation>
    <dataValidation type="list" allowBlank="1" showInputMessage="1" showErrorMessage="1" sqref="AE11:AE14" xr:uid="{7D4CD743-9544-4C79-9183-5B66A5C116F0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2555-C077-4963-9BD8-D4428E2D42DB}">
  <dimension ref="A1:AP53"/>
  <sheetViews>
    <sheetView zoomScale="84" zoomScaleNormal="85" workbookViewId="0">
      <selection activeCell="AG15" sqref="AG15"/>
    </sheetView>
  </sheetViews>
  <sheetFormatPr defaultRowHeight="14.25"/>
  <cols>
    <col min="1" max="1" width="16.375" customWidth="1"/>
    <col min="2" max="2" width="12.25" customWidth="1"/>
    <col min="3" max="3" width="8.875" hidden="1" customWidth="1"/>
    <col min="4" max="4" width="12.375" hidden="1" customWidth="1"/>
    <col min="5" max="5" width="17.5" hidden="1" customWidth="1"/>
    <col min="6" max="6" width="8.875" hidden="1" customWidth="1"/>
    <col min="7" max="7" width="13" customWidth="1"/>
    <col min="12" max="16" width="8.875" hidden="1" customWidth="1"/>
    <col min="17" max="17" width="11" customWidth="1"/>
    <col min="18" max="18" width="11.625" customWidth="1"/>
    <col min="19" max="19" width="12.5" customWidth="1"/>
    <col min="20" max="20" width="14.5" customWidth="1"/>
    <col min="21" max="21" width="12.125" customWidth="1"/>
    <col min="22" max="22" width="14.5" customWidth="1"/>
    <col min="27" max="27" width="10.5" customWidth="1"/>
    <col min="28" max="28" width="13.375" customWidth="1"/>
    <col min="29" max="29" width="12" customWidth="1"/>
    <col min="31" max="31" width="16.5" customWidth="1"/>
    <col min="33" max="34" width="12.5" customWidth="1"/>
    <col min="39" max="39" width="11.375" customWidth="1"/>
    <col min="40" max="40" width="12.5" customWidth="1"/>
    <col min="41" max="41" width="20" customWidth="1"/>
    <col min="42" max="42" width="18.625" customWidth="1"/>
  </cols>
  <sheetData>
    <row r="1" spans="1:42">
      <c r="A1" s="1"/>
      <c r="B1" s="182" t="s">
        <v>181</v>
      </c>
      <c r="C1" s="182" t="s">
        <v>182</v>
      </c>
      <c r="D1" s="190" t="s">
        <v>183</v>
      </c>
      <c r="E1" s="190" t="s">
        <v>184</v>
      </c>
      <c r="F1" s="1"/>
      <c r="G1" s="191" t="s">
        <v>185</v>
      </c>
      <c r="H1" s="190" t="s">
        <v>186</v>
      </c>
    </row>
    <row r="2" spans="1:42">
      <c r="A2" s="1"/>
      <c r="B2" s="188"/>
      <c r="C2" s="189"/>
      <c r="D2" s="190"/>
      <c r="E2" s="190"/>
      <c r="F2" s="1"/>
      <c r="G2" s="192"/>
      <c r="H2" s="190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274</v>
      </c>
      <c r="R2" s="78" t="s">
        <v>310</v>
      </c>
      <c r="S2" s="78" t="s">
        <v>169</v>
      </c>
      <c r="T2" s="78" t="s">
        <v>170</v>
      </c>
      <c r="U2" s="78" t="s">
        <v>171</v>
      </c>
      <c r="V2" s="78" t="s">
        <v>172</v>
      </c>
      <c r="W2" s="78" t="s">
        <v>173</v>
      </c>
      <c r="X2" s="78" t="s">
        <v>174</v>
      </c>
      <c r="Y2" s="78" t="s">
        <v>175</v>
      </c>
      <c r="Z2" s="78" t="s">
        <v>279</v>
      </c>
      <c r="AA2" s="80" t="s">
        <v>201</v>
      </c>
      <c r="AB2" s="78" t="s">
        <v>176</v>
      </c>
      <c r="AD2" s="197" t="s">
        <v>202</v>
      </c>
      <c r="AE2" s="197"/>
      <c r="AF2" s="197"/>
      <c r="AG2" s="197"/>
      <c r="AI2" s="211" t="s">
        <v>233</v>
      </c>
      <c r="AJ2" s="212"/>
      <c r="AK2" s="223">
        <v>2935.27</v>
      </c>
      <c r="AL2" s="211" t="s">
        <v>234</v>
      </c>
      <c r="AM2" s="212"/>
      <c r="AN2" s="215">
        <v>314447.77</v>
      </c>
      <c r="AO2" s="103" t="s">
        <v>235</v>
      </c>
      <c r="AP2" s="103" t="s">
        <v>236</v>
      </c>
    </row>
    <row r="3" spans="1:42" ht="15" thickBot="1">
      <c r="A3" s="85" t="s">
        <v>187</v>
      </c>
      <c r="B3" s="86">
        <f>SUMIF($L$3:$L$14,1,$S$3:$S$14)+SUMIF($L$3:$L$14,1,$T$3:$T$14)+SUMIF($L$3:$L$14,1,$U$3:$U$14)+SUMIF($L$3:$L$14,1,$V$3:$V$14)</f>
        <v>500</v>
      </c>
      <c r="C3" s="87">
        <f>参数调整!D45</f>
        <v>38</v>
      </c>
      <c r="D3" s="8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36.1</v>
      </c>
      <c r="E3" s="87">
        <f>参数调整!G45</f>
        <v>1</v>
      </c>
      <c r="F3" s="1">
        <f>D3*G3*(参数调整!$B$6+1)</f>
        <v>21118.5</v>
      </c>
      <c r="G3" s="88">
        <f t="shared" ref="G3:G16" si="0">IF(B3-E38&lt;=0,0,B3-E38)</f>
        <v>500</v>
      </c>
      <c r="H3" s="89"/>
      <c r="J3" s="79" t="str">
        <f>第一季度!J3</f>
        <v>S</v>
      </c>
      <c r="K3" s="79">
        <f>第一季度!K3</f>
        <v>122</v>
      </c>
      <c r="L3" s="80" t="str">
        <f>LEFT(K3,1)</f>
        <v>1</v>
      </c>
      <c r="M3" s="80" t="str">
        <f>MID(K3,2,1)</f>
        <v>2</v>
      </c>
      <c r="N3" s="80" t="str">
        <f>MID(K3,3,1)</f>
        <v>2</v>
      </c>
      <c r="O3" s="80" t="str">
        <f>MID(K3,4,1)</f>
        <v/>
      </c>
      <c r="P3" s="80" t="str">
        <f>MID(K3,5,1)</f>
        <v/>
      </c>
      <c r="Q3" s="79">
        <v>62</v>
      </c>
      <c r="R3" s="79">
        <v>0</v>
      </c>
      <c r="S3" s="79">
        <v>0</v>
      </c>
      <c r="T3" s="79">
        <v>0</v>
      </c>
      <c r="U3" s="79">
        <v>0</v>
      </c>
      <c r="V3" s="79">
        <v>0</v>
      </c>
      <c r="W3" s="81">
        <f>TRUNC(S3*参数调整!$I$30)+TRUNC(T3*参数调整!$H$30)+TRUNC(U3*参数调整!$G$30)+TRUNC(V3*参数调整!$F$30)+Q3</f>
        <v>62</v>
      </c>
      <c r="X3" s="81">
        <f t="shared" ref="X3:X14" si="1">IF(J3="S",Y29*SUM($R$18:$V$18)/100,IF(J3="B",Y29*SUM($R$19:$V$19)/100,IF(J3="Q",Y29*SUM($R$20:$V$20)/100,Y29*SUM($R$21:$V$21)/100)))</f>
        <v>36.790423573109052</v>
      </c>
      <c r="Y3" s="79">
        <v>0</v>
      </c>
      <c r="Z3" s="78">
        <f>Y3+0.53653684*0.46055126*第一季度!W3+第二季度!X3*0.53653684</f>
        <v>2513.3585815873475</v>
      </c>
      <c r="AA3" s="78">
        <f>IF(J3="S",Z3*参数调整!$H$11/($X$29*$J$18),IF(J3="B",Z3*参数调整!$H$12/($X$30*$J$18),IF(J3="Q",Z3*参数调整!$H$13/($X$31*$J$18),Z3*参数调整!$H$14/($X$32*$J$18))))</f>
        <v>0.10031314458300782</v>
      </c>
      <c r="AB3" s="79">
        <v>4539.3999999999996</v>
      </c>
      <c r="AD3" s="197" t="s">
        <v>203</v>
      </c>
      <c r="AE3" s="197"/>
      <c r="AF3" s="197"/>
      <c r="AG3" s="79">
        <v>51888.95</v>
      </c>
      <c r="AI3" s="189"/>
      <c r="AJ3" s="213"/>
      <c r="AK3" s="223"/>
      <c r="AL3" s="189"/>
      <c r="AM3" s="213"/>
      <c r="AN3" s="216"/>
      <c r="AO3" s="123">
        <v>129121.2</v>
      </c>
      <c r="AP3" s="123">
        <v>182812.5</v>
      </c>
    </row>
    <row r="4" spans="1:42" ht="15" thickBot="1">
      <c r="A4" s="85" t="s">
        <v>188</v>
      </c>
      <c r="B4" s="86">
        <f>SUMIF($L$3:$L$14,2,$S$3:$S$14)+SUMIF($L$3:$L$14,2,$T$3:$T$14)+SUMIF($L$3:$L$14,2,$U$3:$U$14)+SUMIF($L$3:$L$14,2,$V$3:$V$14)</f>
        <v>76</v>
      </c>
      <c r="C4" s="87">
        <f>参数调整!D46</f>
        <v>75</v>
      </c>
      <c r="D4" s="8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75</v>
      </c>
      <c r="E4" s="87">
        <f>参数调整!G46</f>
        <v>1</v>
      </c>
      <c r="F4" s="1">
        <f>D4*G4*(参数调整!$B$6+1)</f>
        <v>6669</v>
      </c>
      <c r="G4" s="88">
        <f t="shared" si="0"/>
        <v>76</v>
      </c>
      <c r="H4" s="89"/>
      <c r="J4" s="79" t="str">
        <f>第一季度!J4</f>
        <v>S</v>
      </c>
      <c r="K4" s="79">
        <f>第一季度!K4</f>
        <v>3334</v>
      </c>
      <c r="L4" s="80" t="str">
        <f>LEFT(K4,1)</f>
        <v>3</v>
      </c>
      <c r="M4" s="80" t="str">
        <f>MID(K4,2,1)</f>
        <v>3</v>
      </c>
      <c r="N4" s="80" t="str">
        <f>MID(K4,3,1)</f>
        <v>3</v>
      </c>
      <c r="O4" s="80" t="str">
        <f>MID(K4,4,1)</f>
        <v>4</v>
      </c>
      <c r="P4" s="80" t="str">
        <f t="shared" ref="P4:P14" si="2">MID(K4,5,1)</f>
        <v/>
      </c>
      <c r="Q4" s="79">
        <v>47</v>
      </c>
      <c r="R4" s="79">
        <v>0</v>
      </c>
      <c r="S4" s="79">
        <v>0</v>
      </c>
      <c r="T4" s="79">
        <v>0</v>
      </c>
      <c r="U4" s="79">
        <v>0</v>
      </c>
      <c r="V4" s="79">
        <v>16</v>
      </c>
      <c r="W4" s="81">
        <f>TRUNC(S4*参数调整!$I$30)+TRUNC(T4*参数调整!$H$30)+TRUNC(U4*参数调整!$G$30)+TRUNC(V4*参数调整!$F$30)+Q4</f>
        <v>61</v>
      </c>
      <c r="X4" s="81">
        <f t="shared" si="1"/>
        <v>52.358802816204417</v>
      </c>
      <c r="Y4" s="79">
        <v>0</v>
      </c>
      <c r="Z4" s="78">
        <f>Y4+0.53653684*0.46055126*第一季度!W4+第二季度!X4*0.53653684</f>
        <v>6226.7850569841848</v>
      </c>
      <c r="AA4" s="78">
        <f>IF(J4="S",Z4*参数调整!$H$11/($X$29*$J$18),IF(J4="B",Z4*参数调整!$H$12/($X$30*$J$18),IF(J4="Q",Z4*参数调整!$H$13/($X$31*$J$18),Z4*参数调整!$H$14/($X$32*$J$18))))</f>
        <v>0.24852338790196585</v>
      </c>
      <c r="AB4" s="79">
        <v>7471.7</v>
      </c>
      <c r="AD4" s="197" t="s">
        <v>304</v>
      </c>
      <c r="AE4" s="197"/>
      <c r="AF4" s="197"/>
      <c r="AG4" s="79">
        <v>0</v>
      </c>
      <c r="AI4" s="208" t="s">
        <v>338</v>
      </c>
      <c r="AJ4" s="179" t="s">
        <v>238</v>
      </c>
      <c r="AK4" s="180"/>
      <c r="AL4" s="181"/>
      <c r="AM4" s="103" t="s">
        <v>239</v>
      </c>
      <c r="AN4" s="103" t="s">
        <v>240</v>
      </c>
      <c r="AO4" s="197" t="s">
        <v>343</v>
      </c>
      <c r="AP4" s="197"/>
    </row>
    <row r="5" spans="1:42" ht="15" thickBot="1">
      <c r="A5" s="85" t="s">
        <v>152</v>
      </c>
      <c r="B5" s="90">
        <f>SUMIF($L$3:$L$14,3,$S$3:$S$14)+SUMIF($L$3:$L$14,3,$T$3:$T$14)+SUMIF($L$3:$L$14,3,$U$3:$U$14)+SUMIF($L$3:$L$14,3,$V$3:$V$14)</f>
        <v>16</v>
      </c>
      <c r="C5" s="87">
        <f>参数调整!D47</f>
        <v>106</v>
      </c>
      <c r="D5" s="8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106</v>
      </c>
      <c r="E5" s="87">
        <f>参数调整!G47</f>
        <v>1</v>
      </c>
      <c r="F5" s="1">
        <f>D5*G5*(参数调整!$B$6+1)</f>
        <v>0</v>
      </c>
      <c r="G5" s="88">
        <f t="shared" si="0"/>
        <v>0</v>
      </c>
      <c r="H5" s="91">
        <v>334</v>
      </c>
      <c r="J5" s="79" t="str">
        <f>第一季度!J5</f>
        <v>B</v>
      </c>
      <c r="K5" s="79">
        <f>第一季度!K5</f>
        <v>1111</v>
      </c>
      <c r="L5" s="80" t="str">
        <f>LEFT(K5,1)</f>
        <v>1</v>
      </c>
      <c r="M5" s="80" t="str">
        <f>MID(K5,2,1)</f>
        <v>1</v>
      </c>
      <c r="N5" s="80" t="str">
        <f>MID(K5,3,1)</f>
        <v>1</v>
      </c>
      <c r="O5" s="80" t="str">
        <f>MID(K5,4,1)</f>
        <v>1</v>
      </c>
      <c r="P5" s="80" t="str">
        <f t="shared" si="2"/>
        <v/>
      </c>
      <c r="Q5" s="79">
        <v>2</v>
      </c>
      <c r="R5" s="79">
        <v>0</v>
      </c>
      <c r="S5" s="79">
        <v>0</v>
      </c>
      <c r="T5" s="79">
        <v>0</v>
      </c>
      <c r="U5" s="79">
        <v>0</v>
      </c>
      <c r="V5" s="79">
        <v>82</v>
      </c>
      <c r="W5" s="81">
        <f>TRUNC(S5*参数调整!$I$30)+TRUNC(T5*参数调整!$H$30)+TRUNC(U5*参数调整!$G$30)+TRUNC(V5*参数调整!$F$30)+Q5</f>
        <v>75</v>
      </c>
      <c r="X5" s="81">
        <f t="shared" si="1"/>
        <v>70.14917309217337</v>
      </c>
      <c r="Y5" s="79">
        <v>0</v>
      </c>
      <c r="Z5" s="78">
        <f>Y5+0.53653684*0.46055126*第一季度!W5+第二季度!X5*0.53653684</f>
        <v>0</v>
      </c>
      <c r="AA5" s="78">
        <f>IF(J5="S",Z5*参数调整!$H$11/($X$29*$J$18),IF(J5="B",Z5*参数调整!$H$12/($X$30*$J$18),IF(J5="Q",Z5*参数调整!$H$13/($X$31*$J$18),Z5*参数调整!$H$14/($X$32*$J$18))))</f>
        <v>0</v>
      </c>
      <c r="AB5" s="79">
        <v>4762</v>
      </c>
      <c r="AD5" s="197" t="s">
        <v>204</v>
      </c>
      <c r="AE5" s="103" t="s">
        <v>205</v>
      </c>
      <c r="AF5" s="79">
        <v>0</v>
      </c>
      <c r="AG5" s="78">
        <f>AF5*参数调整!$J$23</f>
        <v>0</v>
      </c>
      <c r="AI5" s="209"/>
      <c r="AJ5" s="182" t="s">
        <v>241</v>
      </c>
      <c r="AK5" s="182" t="s">
        <v>242</v>
      </c>
      <c r="AL5" s="103" t="s">
        <v>102</v>
      </c>
      <c r="AM5" s="80">
        <f>SUM(S3:S14)</f>
        <v>0</v>
      </c>
      <c r="AN5" s="103">
        <f>AM5*参数调整!$I$32</f>
        <v>0</v>
      </c>
      <c r="AO5" s="219">
        <f>AN2+AO36*(1-参数调整!B23)+AP36*(1-参数调整!B24)</f>
        <v>314447.77</v>
      </c>
      <c r="AP5" s="219"/>
    </row>
    <row r="6" spans="1:42" ht="15" thickBot="1">
      <c r="A6" s="85" t="s">
        <v>153</v>
      </c>
      <c r="B6" s="92">
        <f>SUMIF($M$3:$M$14,1,$S$3:$S$14)+SUMIF($M$3:$M$14,1,$T$3:$T$14)+SUMIF($M$3:$M$14,1,$U$3:$U$14)+SUMIF($M$3:$M$14,1,$V$3:$V$14)</f>
        <v>296</v>
      </c>
      <c r="C6" s="87">
        <f>参数调整!D48</f>
        <v>14</v>
      </c>
      <c r="D6" s="8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13.299999999999999</v>
      </c>
      <c r="E6" s="87">
        <f>参数调整!G48</f>
        <v>0</v>
      </c>
      <c r="F6" s="1">
        <f>D6*G6*(参数调整!$B$6+1)</f>
        <v>4606.0559999999996</v>
      </c>
      <c r="G6" s="93">
        <f t="shared" si="0"/>
        <v>296</v>
      </c>
      <c r="H6" s="89"/>
      <c r="J6" s="79" t="str">
        <f>第一季度!J6</f>
        <v>Q</v>
      </c>
      <c r="K6" s="79">
        <f>第一季度!K6</f>
        <v>212</v>
      </c>
      <c r="L6" s="80" t="str">
        <f>LEFT(K6,1)</f>
        <v>2</v>
      </c>
      <c r="M6" s="80" t="str">
        <f>MID(K6,2,1)</f>
        <v>1</v>
      </c>
      <c r="N6" s="80" t="str">
        <f>MID(K6,3,1)</f>
        <v>2</v>
      </c>
      <c r="O6" s="80" t="str">
        <f>MID(K6,4,1)</f>
        <v/>
      </c>
      <c r="P6" s="80" t="str">
        <f t="shared" si="2"/>
        <v/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76</v>
      </c>
      <c r="W6" s="81">
        <f>TRUNC(S6*参数调整!$I$30)+TRUNC(T6*参数调整!$H$30)+TRUNC(U6*参数调整!$G$30)+TRUNC(V6*参数调整!$F$30)+Q6</f>
        <v>68</v>
      </c>
      <c r="X6" s="81">
        <f t="shared" si="1"/>
        <v>59.280774625801861</v>
      </c>
      <c r="Y6" s="79"/>
      <c r="Z6" s="78">
        <f>Y6+0.53653684*0.46055126*第一季度!W6+第二季度!X6*0.53653684</f>
        <v>0</v>
      </c>
      <c r="AA6" s="78">
        <f>IF(J6="S",Z6*参数调整!$H$11/($X$29*$J$18),IF(J6="B",Z6*参数调整!$H$12/($X$30*$J$18),IF(J6="Q",Z6*参数调整!$H$13/($X$31*$J$18),Z6*参数调整!$H$14/($X$32*$J$18))))</f>
        <v>0</v>
      </c>
      <c r="AB6" s="79">
        <v>3106.5</v>
      </c>
      <c r="AD6" s="197"/>
      <c r="AE6" s="103" t="s">
        <v>206</v>
      </c>
      <c r="AF6" s="79">
        <v>0</v>
      </c>
      <c r="AG6" s="78">
        <f>AF6*参数调整!$H$23</f>
        <v>0</v>
      </c>
      <c r="AI6" s="209"/>
      <c r="AJ6" s="183"/>
      <c r="AK6" s="183"/>
      <c r="AL6" s="103" t="s">
        <v>272</v>
      </c>
      <c r="AM6" s="80">
        <f>SUM(V3:V14)</f>
        <v>592</v>
      </c>
      <c r="AN6" s="103">
        <f>AM6*参数调整!$F$32</f>
        <v>5920</v>
      </c>
      <c r="AO6" s="219"/>
      <c r="AP6" s="219"/>
    </row>
    <row r="7" spans="1:42" ht="15" thickBot="1">
      <c r="A7" s="85" t="s">
        <v>154</v>
      </c>
      <c r="B7" s="92">
        <f>SUMIF($M$3:$M$14,2,$S$3:$S$14)+SUMIF($M$3:$M$14,2,$T$3:$T$14)+SUMIF($M$3:$M$14,2,$U$3:$U$14)+SUMIF($M$3:$M$14,2,$V$3:$V$14)</f>
        <v>280</v>
      </c>
      <c r="C7" s="87">
        <f>参数调整!D49</f>
        <v>22</v>
      </c>
      <c r="D7" s="8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20.9</v>
      </c>
      <c r="E7" s="87">
        <f>参数调整!G49</f>
        <v>1</v>
      </c>
      <c r="F7" s="1">
        <f>D7*G7*(参数调整!$B$6+1)</f>
        <v>6846.8399999999992</v>
      </c>
      <c r="G7" s="93">
        <f t="shared" si="0"/>
        <v>280</v>
      </c>
      <c r="H7" s="89"/>
      <c r="J7" s="79" t="str">
        <f>第一季度!J7</f>
        <v>Q</v>
      </c>
      <c r="K7" s="79">
        <f>第一季度!K7</f>
        <v>1121</v>
      </c>
      <c r="L7" s="80" t="str">
        <f t="shared" ref="L7:L14" si="3">LEFT(K7,1)</f>
        <v>1</v>
      </c>
      <c r="M7" s="80" t="str">
        <f t="shared" ref="M7:M14" si="4">MID(K7,2,1)</f>
        <v>1</v>
      </c>
      <c r="N7" s="80" t="str">
        <f t="shared" ref="N7:N14" si="5">MID(K7,3,1)</f>
        <v>2</v>
      </c>
      <c r="O7" s="80" t="str">
        <f t="shared" ref="O7:O14" si="6">MID(K7,4,1)</f>
        <v>1</v>
      </c>
      <c r="P7" s="80" t="str">
        <f t="shared" si="2"/>
        <v/>
      </c>
      <c r="Q7" s="79">
        <v>29</v>
      </c>
      <c r="R7" s="79">
        <v>0</v>
      </c>
      <c r="S7" s="79">
        <v>0</v>
      </c>
      <c r="T7" s="79">
        <v>0</v>
      </c>
      <c r="U7" s="79">
        <v>0</v>
      </c>
      <c r="V7" s="79">
        <v>60</v>
      </c>
      <c r="W7" s="81">
        <f>TRUNC(S7*参数调整!$I$30)+TRUNC(T7*参数调整!$H$30)+TRUNC(U7*参数调整!$G$30)+TRUNC(V7*参数调整!$F$30)+Q7</f>
        <v>83</v>
      </c>
      <c r="X7" s="81">
        <f t="shared" si="1"/>
        <v>79.55072349343186</v>
      </c>
      <c r="Y7" s="79"/>
      <c r="Z7" s="78">
        <f>Y7+0.53653684*0.46055126*第一季度!W7+第二季度!X7*0.53653684</f>
        <v>4617.1745369841847</v>
      </c>
      <c r="AA7" s="78">
        <f>IF(J7="S",Z7*参数调整!$H$11/($X$29*$J$18),IF(J7="B",Z7*参数调整!$H$12/($X$30*$J$18),IF(J7="Q",Z7*参数调整!$H$13/($X$31*$J$18),Z7*参数调整!$H$14/($X$32*$J$18))))</f>
        <v>0.31369003905266896</v>
      </c>
      <c r="AD7" s="197"/>
      <c r="AE7" s="103" t="s">
        <v>207</v>
      </c>
      <c r="AF7" s="79">
        <v>0</v>
      </c>
      <c r="AG7" s="78">
        <f>AF7*参数调整!$F$23</f>
        <v>0</v>
      </c>
      <c r="AI7" s="209"/>
      <c r="AJ7" s="183"/>
      <c r="AK7" s="183"/>
      <c r="AL7" s="103" t="s">
        <v>101</v>
      </c>
      <c r="AM7" s="80">
        <f>SUM(T3:T14)</f>
        <v>0</v>
      </c>
      <c r="AN7" s="103">
        <f>AM7*参数调整!H32</f>
        <v>0</v>
      </c>
      <c r="AO7" s="2"/>
      <c r="AP7" s="2"/>
    </row>
    <row r="8" spans="1:42" ht="15" thickBot="1">
      <c r="A8" s="85" t="s">
        <v>155</v>
      </c>
      <c r="B8" s="92">
        <f>SUMIF($M$3:$M$14,3,$S$3:$S$14)+SUMIF($M$3:$M$14,3,$T$3:$T$14)+SUMIF($M$3:$M$14,3,$U$3:$U$14)+SUMIF($M$3:$M$14,3,$V$3:$V$14)</f>
        <v>16</v>
      </c>
      <c r="C8" s="87">
        <f>参数调整!D50</f>
        <v>32</v>
      </c>
      <c r="D8" s="8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32</v>
      </c>
      <c r="E8" s="87">
        <f>参数调整!G50</f>
        <v>1</v>
      </c>
      <c r="F8" s="1">
        <f>D8*G8*(参数调整!$B$6+1)</f>
        <v>599.04</v>
      </c>
      <c r="G8" s="93">
        <f t="shared" si="0"/>
        <v>16</v>
      </c>
      <c r="H8" s="89"/>
      <c r="J8" s="79" t="str">
        <f>第一季度!J8</f>
        <v>Q</v>
      </c>
      <c r="K8" s="79">
        <f>第一季度!K8</f>
        <v>112</v>
      </c>
      <c r="L8" s="80" t="str">
        <f t="shared" si="3"/>
        <v>1</v>
      </c>
      <c r="M8" s="80" t="str">
        <f t="shared" si="4"/>
        <v>1</v>
      </c>
      <c r="N8" s="80" t="str">
        <f t="shared" si="5"/>
        <v>2</v>
      </c>
      <c r="O8" s="80" t="str">
        <f t="shared" si="6"/>
        <v/>
      </c>
      <c r="P8" s="80" t="str">
        <f t="shared" si="2"/>
        <v/>
      </c>
      <c r="Q8" s="79">
        <v>1</v>
      </c>
      <c r="R8" s="79">
        <v>0</v>
      </c>
      <c r="S8" s="79">
        <v>0</v>
      </c>
      <c r="T8" s="79">
        <v>0</v>
      </c>
      <c r="U8" s="79">
        <v>0</v>
      </c>
      <c r="V8" s="79">
        <v>78</v>
      </c>
      <c r="W8" s="81">
        <f>TRUNC(S8*参数调整!$I$30)+TRUNC(T8*参数调整!$H$30)+TRUNC(U8*参数调整!$G$30)+TRUNC(V8*参数调整!$F$30)+Q8</f>
        <v>71</v>
      </c>
      <c r="X8" s="81">
        <f t="shared" si="1"/>
        <v>57.809640046558769</v>
      </c>
      <c r="Y8" s="79">
        <v>0</v>
      </c>
      <c r="Z8" s="78">
        <f>Y8+0.53653684*0.46055126*第一季度!W8+第二季度!X8*0.53653684</f>
        <v>536.53683999999998</v>
      </c>
      <c r="AA8" s="78">
        <f>IF(J8="S",Z8*参数调整!$H$11/($X$29*$J$18),IF(J8="B",Z8*参数调整!$H$12/($X$30*$J$18),IF(J8="Q",Z8*参数调整!$H$13/($X$31*$J$18),Z8*参数调整!$H$14/($X$32*$J$18))))</f>
        <v>3.6452220063296278E-2</v>
      </c>
      <c r="AD8" s="197" t="s">
        <v>208</v>
      </c>
      <c r="AE8" s="103" t="s">
        <v>209</v>
      </c>
      <c r="AF8" s="79">
        <v>0</v>
      </c>
      <c r="AG8" s="185">
        <v>0</v>
      </c>
      <c r="AI8" s="209"/>
      <c r="AJ8" s="183"/>
      <c r="AK8" s="184"/>
      <c r="AL8" s="103" t="s">
        <v>273</v>
      </c>
      <c r="AM8" s="80">
        <f>SUM(U3:U14)</f>
        <v>0</v>
      </c>
      <c r="AN8" s="103">
        <f>AM8*参数调整!G32</f>
        <v>0</v>
      </c>
      <c r="AO8" s="2"/>
      <c r="AP8" s="2"/>
    </row>
    <row r="9" spans="1:42" ht="15" thickBot="1">
      <c r="A9" s="85" t="s">
        <v>156</v>
      </c>
      <c r="B9" s="94">
        <f>SUMIF($N$3:$N$14,1,$S$3:$S$14)+SUMIF($N$3:$N$14,1,$T$3:$T$14)+SUMIF($N$3:$N$14,1,$U$3:$U$14)+SUMIF($N$3:$N$14,1,$V$3:$V$14)</f>
        <v>172</v>
      </c>
      <c r="C9" s="87">
        <f>参数调整!D51</f>
        <v>53</v>
      </c>
      <c r="D9" s="8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53</v>
      </c>
      <c r="E9" s="87">
        <f>参数调整!G51</f>
        <v>0</v>
      </c>
      <c r="F9" s="1">
        <f>D9*G9*(参数调整!$B$6+1)</f>
        <v>10665.72</v>
      </c>
      <c r="G9" s="95">
        <f t="shared" si="0"/>
        <v>172</v>
      </c>
      <c r="H9" s="89"/>
      <c r="J9" s="79" t="str">
        <f>第一季度!J9</f>
        <v>L</v>
      </c>
      <c r="K9" s="79">
        <f>第一季度!K9</f>
        <v>121</v>
      </c>
      <c r="L9" s="80" t="str">
        <f t="shared" si="3"/>
        <v>1</v>
      </c>
      <c r="M9" s="80" t="str">
        <f t="shared" si="4"/>
        <v>2</v>
      </c>
      <c r="N9" s="80" t="str">
        <f t="shared" si="5"/>
        <v>1</v>
      </c>
      <c r="O9" s="80" t="str">
        <f t="shared" si="6"/>
        <v/>
      </c>
      <c r="P9" s="80" t="str">
        <f t="shared" si="2"/>
        <v/>
      </c>
      <c r="Q9" s="79">
        <v>1</v>
      </c>
      <c r="R9" s="79">
        <v>0</v>
      </c>
      <c r="S9" s="79"/>
      <c r="T9" s="79">
        <v>0</v>
      </c>
      <c r="U9" s="79">
        <v>0</v>
      </c>
      <c r="V9" s="79">
        <v>90</v>
      </c>
      <c r="W9" s="81">
        <f>TRUNC(S9*参数调整!$I$30)+TRUNC(T9*参数调整!$H$30)+TRUNC(U9*参数调整!$G$30)+TRUNC(V9*参数调整!$F$30)+Q9</f>
        <v>82</v>
      </c>
      <c r="X9" s="81">
        <f t="shared" si="1"/>
        <v>177.39804113952903</v>
      </c>
      <c r="Y9" s="79"/>
      <c r="Z9" s="78">
        <f>Y9+0.53653684*0.46055126*第一季度!W9+第二季度!X9*0.53653684</f>
        <v>536.53683999999998</v>
      </c>
      <c r="AA9" s="78">
        <f>IF(J9="S",Z9*参数调整!$H$11/($X$29*$J$18),IF(J9="B",Z9*参数调整!$H$12/($X$30*$J$18),IF(J9="Q",Z9*参数调整!$H$13/($X$31*$J$18),Z9*参数调整!$H$14/($X$32*$J$18))))</f>
        <v>4.2467394631433557E-2</v>
      </c>
      <c r="AD9" s="197"/>
      <c r="AE9" s="103" t="s">
        <v>210</v>
      </c>
      <c r="AF9" s="79">
        <v>0</v>
      </c>
      <c r="AG9" s="186"/>
      <c r="AI9" s="209"/>
      <c r="AJ9" s="183"/>
      <c r="AK9" s="182" t="s">
        <v>243</v>
      </c>
      <c r="AL9" s="103" t="s">
        <v>244</v>
      </c>
      <c r="AM9" s="80">
        <v>2</v>
      </c>
      <c r="AN9" s="103">
        <f>AM9*参数调整!$J$24</f>
        <v>10000</v>
      </c>
      <c r="AO9" s="2"/>
      <c r="AP9" s="2"/>
    </row>
    <row r="10" spans="1:42" ht="15" thickBot="1">
      <c r="A10" s="85" t="s">
        <v>157</v>
      </c>
      <c r="B10" s="94">
        <f>SUMIF($N$3:$N$14,2,$S$3:$S$14)+SUMIF($N$3:$N$14,2,$T$3:$T$14)+SUMIF($N$3:$N$14,2,$U$3:$U$14)+SUMIF($N$3:$N$14,2,$V$3:$V$14)</f>
        <v>404</v>
      </c>
      <c r="C10" s="87">
        <f>参数调整!D52</f>
        <v>73</v>
      </c>
      <c r="D10" s="8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69.349999999999994</v>
      </c>
      <c r="E10" s="87">
        <f>参数调整!G52</f>
        <v>1</v>
      </c>
      <c r="F10" s="1">
        <f>D10*G10*(参数调整!$B$6+1)</f>
        <v>32780.357999999993</v>
      </c>
      <c r="G10" s="95">
        <f t="shared" si="0"/>
        <v>404</v>
      </c>
      <c r="H10" s="89"/>
      <c r="J10" s="79" t="str">
        <f>第一季度!J10</f>
        <v>L</v>
      </c>
      <c r="K10" s="79">
        <f>第一季度!K10</f>
        <v>122</v>
      </c>
      <c r="L10" s="80" t="str">
        <f t="shared" si="3"/>
        <v>1</v>
      </c>
      <c r="M10" s="80" t="str">
        <f t="shared" si="4"/>
        <v>2</v>
      </c>
      <c r="N10" s="80" t="str">
        <f t="shared" si="5"/>
        <v>2</v>
      </c>
      <c r="O10" s="80" t="str">
        <f t="shared" si="6"/>
        <v/>
      </c>
      <c r="P10" s="80" t="str">
        <f t="shared" si="2"/>
        <v/>
      </c>
      <c r="Q10" s="79">
        <v>0</v>
      </c>
      <c r="R10" s="79">
        <v>0</v>
      </c>
      <c r="S10" s="79"/>
      <c r="T10" s="79">
        <v>0</v>
      </c>
      <c r="U10" s="79">
        <v>0</v>
      </c>
      <c r="V10" s="79">
        <v>190</v>
      </c>
      <c r="W10" s="81">
        <f>TRUNC(S10*参数调整!$I$30)+TRUNC(T10*参数调整!$H$30)+TRUNC(U10*参数调整!$G$30)+TRUNC(V10*参数调整!$F$30)+Q10</f>
        <v>171</v>
      </c>
      <c r="X10" s="81">
        <f t="shared" si="1"/>
        <v>169.0284590380619</v>
      </c>
      <c r="Y10" s="79">
        <v>0</v>
      </c>
      <c r="Z10" s="78">
        <f>Y10+0.53653684*0.46055126*第一季度!W10+第二季度!X10*0.53653684</f>
        <v>2146.1473599999999</v>
      </c>
      <c r="AA10" s="78">
        <f>IF(J10="S",Z10*参数调整!$H$11/($X$29*$J$18),IF(J10="B",Z10*参数调整!$H$12/($X$30*$J$18),IF(J10="Q",Z10*参数调整!$H$13/($X$31*$J$18),Z10*参数调整!$H$14/($X$32*$J$18))))</f>
        <v>0.16986957852573423</v>
      </c>
      <c r="AD10" s="197"/>
      <c r="AE10" s="103" t="s">
        <v>211</v>
      </c>
      <c r="AF10" s="79">
        <v>0</v>
      </c>
      <c r="AG10" s="187"/>
      <c r="AI10" s="209"/>
      <c r="AJ10" s="183"/>
      <c r="AK10" s="183"/>
      <c r="AL10" s="103" t="s">
        <v>245</v>
      </c>
      <c r="AM10" s="80">
        <f>AF9</f>
        <v>0</v>
      </c>
      <c r="AN10" s="103">
        <f>AM10*参数调整!$H$24</f>
        <v>0</v>
      </c>
      <c r="AO10" s="2"/>
      <c r="AP10" s="2"/>
    </row>
    <row r="11" spans="1:42" ht="15" thickBot="1">
      <c r="A11" s="85" t="s">
        <v>158</v>
      </c>
      <c r="B11" s="94">
        <f>SUMIF($N$3:$N$14,3,$S$3:$S$14)+SUMIF($N$3:$N$14,3,$T$3:$T$14)+SUMIF($N$3:$N$14,3,$U$3:$U$14)+SUMIF($N$3:$N$14,3,$V$3:$V$14)</f>
        <v>16</v>
      </c>
      <c r="C11" s="87">
        <f>参数调整!D53</f>
        <v>115</v>
      </c>
      <c r="D11" s="8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115</v>
      </c>
      <c r="E11" s="87">
        <f>参数调整!G53</f>
        <v>0</v>
      </c>
      <c r="F11" s="1">
        <f>D11*G11*(参数调整!$B$6+1)</f>
        <v>2152.7999999999997</v>
      </c>
      <c r="G11" s="95">
        <f t="shared" si="0"/>
        <v>16</v>
      </c>
      <c r="H11" s="89"/>
      <c r="J11" s="79">
        <f>第一季度!J11</f>
        <v>0</v>
      </c>
      <c r="K11" s="79">
        <f>第一季度!K11</f>
        <v>212</v>
      </c>
      <c r="L11" s="80" t="str">
        <f t="shared" si="3"/>
        <v>2</v>
      </c>
      <c r="M11" s="80" t="str">
        <f t="shared" si="4"/>
        <v>1</v>
      </c>
      <c r="N11" s="80" t="str">
        <f t="shared" si="5"/>
        <v>2</v>
      </c>
      <c r="O11" s="80" t="str">
        <f t="shared" si="6"/>
        <v/>
      </c>
      <c r="P11" s="80" t="str">
        <f t="shared" si="2"/>
        <v/>
      </c>
      <c r="Q11" s="79"/>
      <c r="R11" s="79"/>
      <c r="S11" s="79">
        <v>0</v>
      </c>
      <c r="T11" s="79">
        <v>0</v>
      </c>
      <c r="U11" s="79">
        <v>0</v>
      </c>
      <c r="V11" s="79"/>
      <c r="W11" s="81">
        <f>TRUNC(S11*参数调整!$I$30)+TRUNC(T11*参数调整!$H$30)+TRUNC(U11*参数调整!$G$30)+TRUNC(V11*参数调整!$F$30)+Q11</f>
        <v>0</v>
      </c>
      <c r="X11" s="81">
        <f t="shared" si="1"/>
        <v>-8.420454545454545</v>
      </c>
      <c r="Y11" s="79">
        <v>0</v>
      </c>
      <c r="Z11" s="78">
        <f>Y11+0.53653684*0.46055126*第一季度!W11+第二季度!X11*0.53653684</f>
        <v>0</v>
      </c>
      <c r="AA11" s="78">
        <f>IF(J11="S",Z11*参数调整!$H$11/($X$29*$J$18),IF(J11="B",Z11*参数调整!$H$12/($X$30*$J$18),IF(J11="Q",Z11*参数调整!$H$13/($X$31*$J$18),Z11*参数调整!$H$14/($X$32*$J$18))))</f>
        <v>0</v>
      </c>
      <c r="AD11" s="197" t="s">
        <v>212</v>
      </c>
      <c r="AE11" s="103" t="s">
        <v>213</v>
      </c>
      <c r="AF11" s="79">
        <v>0</v>
      </c>
      <c r="AG11" s="78">
        <f>AF11*参数调整!$I$29</f>
        <v>0</v>
      </c>
      <c r="AI11" s="209"/>
      <c r="AJ11" s="183"/>
      <c r="AK11" s="184"/>
      <c r="AL11" s="103" t="s">
        <v>246</v>
      </c>
      <c r="AM11" s="80">
        <v>0</v>
      </c>
      <c r="AN11" s="103">
        <f>AM11*参数调整!$F$24</f>
        <v>0</v>
      </c>
      <c r="AO11" s="2"/>
      <c r="AP11" s="2"/>
    </row>
    <row r="12" spans="1:42" ht="15" thickBot="1">
      <c r="A12" s="85" t="s">
        <v>159</v>
      </c>
      <c r="B12" s="94">
        <f>SUMIF($N$3:$N$14,4,$S$3:$S$14)+SUMIF($N$3:$N$14,4,$T$3:$T$14)+SUMIF($N$3:$N$14,4,$U$3:$U$14)+SUMIF($N$3:$N$14,4,$V$3:$V$14)</f>
        <v>0</v>
      </c>
      <c r="C12" s="87">
        <f>参数调整!D54</f>
        <v>150</v>
      </c>
      <c r="D12" s="8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87">
        <f>参数调整!G54</f>
        <v>1</v>
      </c>
      <c r="F12" s="1">
        <f>D12*G12*(参数调整!$B$6+1)</f>
        <v>0</v>
      </c>
      <c r="G12" s="95">
        <f t="shared" si="0"/>
        <v>0</v>
      </c>
      <c r="H12" s="89"/>
      <c r="J12" s="79">
        <f>第一季度!J12</f>
        <v>0</v>
      </c>
      <c r="K12" s="79">
        <f>第一季度!K12</f>
        <v>1121</v>
      </c>
      <c r="L12" s="80" t="str">
        <f t="shared" si="3"/>
        <v>1</v>
      </c>
      <c r="M12" s="80" t="str">
        <f t="shared" si="4"/>
        <v>1</v>
      </c>
      <c r="N12" s="80" t="str">
        <f t="shared" si="5"/>
        <v>2</v>
      </c>
      <c r="O12" s="80" t="str">
        <f t="shared" si="6"/>
        <v>1</v>
      </c>
      <c r="P12" s="80" t="str">
        <f t="shared" si="2"/>
        <v/>
      </c>
      <c r="Q12" s="79"/>
      <c r="R12" s="79"/>
      <c r="S12" s="79">
        <v>0</v>
      </c>
      <c r="T12" s="79">
        <v>0</v>
      </c>
      <c r="U12" s="79">
        <v>0</v>
      </c>
      <c r="V12" s="79"/>
      <c r="W12" s="81">
        <f>TRUNC(S12*参数调整!$I$30)+TRUNC(T12*参数调整!$H$30)+TRUNC(U12*参数调整!$G$30)+TRUNC(V12*参数调整!$F$30)+Q12</f>
        <v>0</v>
      </c>
      <c r="X12" s="81">
        <f t="shared" si="1"/>
        <v>-8.420454545454545</v>
      </c>
      <c r="Y12" s="79">
        <v>0</v>
      </c>
      <c r="Z12" s="78">
        <f>Y12+0.53653684*0.46055126*第一季度!W12+第二季度!X12*0.53653684</f>
        <v>0</v>
      </c>
      <c r="AA12" s="78">
        <f>IF(J12="S",Z12*参数调整!$H$11/($X$29*$J$18),IF(J12="B",Z12*参数调整!$H$12/($X$30*$J$18),IF(J12="Q",Z12*参数调整!$H$13/($X$31*$J$18),Z12*参数调整!$H$14/($X$32*$J$18))))</f>
        <v>0</v>
      </c>
      <c r="AD12" s="197"/>
      <c r="AE12" s="103" t="s">
        <v>214</v>
      </c>
      <c r="AF12" s="79">
        <v>0</v>
      </c>
      <c r="AG12" s="78">
        <f>AF12*参数调整!$H$29</f>
        <v>0</v>
      </c>
      <c r="AI12" s="209"/>
      <c r="AJ12" s="183"/>
      <c r="AK12" s="202" t="s">
        <v>247</v>
      </c>
      <c r="AL12" s="203"/>
      <c r="AM12" s="80">
        <f>AM18</f>
        <v>6</v>
      </c>
      <c r="AN12" s="103">
        <f>AM12*参数调整!$J$18*(1+参数调整!$B$12+参数调整!$B$13+参数调整!$B$14+参数调整!$B$15+参数调整!$B$16)</f>
        <v>29073.599999999999</v>
      </c>
      <c r="AO12" s="2"/>
      <c r="AP12" s="2"/>
    </row>
    <row r="13" spans="1:42" ht="15" thickBot="1">
      <c r="A13" s="85" t="s">
        <v>160</v>
      </c>
      <c r="B13" s="96">
        <f>SUMIF($O$3:$O$14,1,$S$3:$S$14)+SUMIF($O$3:$O$14,1,$T$3:$T$14)+SUMIF($O$3:$O$14,1,$U$3:$U$14)+SUMIF($O$3:$O$14,1,$V$3:$V$14)+SUMIF($P$3:$P$14,1,$S$3:$S$14)+SUMIF($P$3:$P$14,1,$T$3:$T$14)+SUMIF($P$3:$P$14,1,$U$3:$U$14)+SUMIF($P$3:$P$14,1,$V$3:$V$14)</f>
        <v>142</v>
      </c>
      <c r="C13" s="87">
        <f>参数调整!D55</f>
        <v>46</v>
      </c>
      <c r="D13" s="8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46</v>
      </c>
      <c r="E13" s="87">
        <f>参数调整!G55</f>
        <v>1</v>
      </c>
      <c r="F13" s="1">
        <f>D13*G13*(参数调整!$B$6+1)</f>
        <v>0</v>
      </c>
      <c r="G13" s="97">
        <f t="shared" si="0"/>
        <v>0</v>
      </c>
      <c r="H13" s="91">
        <v>476</v>
      </c>
      <c r="J13" s="79">
        <f>第一季度!J13</f>
        <v>0</v>
      </c>
      <c r="K13" s="79">
        <f>第一季度!K13</f>
        <v>121</v>
      </c>
      <c r="L13" s="80" t="str">
        <f t="shared" si="3"/>
        <v>1</v>
      </c>
      <c r="M13" s="80" t="str">
        <f t="shared" si="4"/>
        <v>2</v>
      </c>
      <c r="N13" s="80" t="str">
        <f t="shared" si="5"/>
        <v>1</v>
      </c>
      <c r="O13" s="80" t="str">
        <f t="shared" si="6"/>
        <v/>
      </c>
      <c r="P13" s="80" t="str">
        <f t="shared" si="2"/>
        <v/>
      </c>
      <c r="Q13" s="79"/>
      <c r="R13" s="79"/>
      <c r="S13" s="79"/>
      <c r="T13" s="79">
        <v>0</v>
      </c>
      <c r="U13" s="79">
        <v>0</v>
      </c>
      <c r="V13" s="79"/>
      <c r="W13" s="81">
        <f>TRUNC(S13*参数调整!$I$30)+TRUNC(T13*参数调整!$H$30)+TRUNC(U13*参数调整!$G$30)+TRUNC(V13*参数调整!$F$30)+Q13</f>
        <v>0</v>
      </c>
      <c r="X13" s="81">
        <f t="shared" si="1"/>
        <v>-8.420454545454545</v>
      </c>
      <c r="Y13" s="79"/>
      <c r="Z13" s="78">
        <f>Y13+0.53653684*0.46055126*第一季度!W13+第二季度!X13*0.53653684</f>
        <v>0</v>
      </c>
      <c r="AA13" s="78">
        <f>IF(J13="S",Z13*参数调整!$H$11/($X$29*$J$18),IF(J13="B",Z13*参数调整!$H$12/($X$30*$J$18),IF(J13="Q",Z13*参数调整!$H$13/($X$31*$J$18),Z13*参数调整!$H$14/($X$32*$J$18))))</f>
        <v>0</v>
      </c>
      <c r="AD13" s="197"/>
      <c r="AE13" s="103" t="s">
        <v>215</v>
      </c>
      <c r="AF13" s="79">
        <v>0</v>
      </c>
      <c r="AG13" s="78">
        <f>AF13*参数调整!$G$29</f>
        <v>0</v>
      </c>
      <c r="AI13" s="209"/>
      <c r="AJ13" s="183"/>
      <c r="AK13" s="182" t="s">
        <v>248</v>
      </c>
      <c r="AL13" s="103" t="s">
        <v>102</v>
      </c>
      <c r="AM13" s="79">
        <v>1</v>
      </c>
      <c r="AN13" s="110">
        <f>AM13*参数调整!$I$33</f>
        <v>1500</v>
      </c>
      <c r="AO13" s="2"/>
      <c r="AP13" s="2"/>
    </row>
    <row r="14" spans="1:42" ht="15" thickBot="1">
      <c r="A14" s="85" t="s">
        <v>161</v>
      </c>
      <c r="B14" s="96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87">
        <f>参数调整!D56</f>
        <v>50</v>
      </c>
      <c r="D14" s="8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50</v>
      </c>
      <c r="E14" s="87">
        <f>参数调整!G56</f>
        <v>1</v>
      </c>
      <c r="F14" s="1">
        <f>D14*G14*(参数调整!$B$6+1)</f>
        <v>0</v>
      </c>
      <c r="G14" s="97">
        <f t="shared" si="0"/>
        <v>0</v>
      </c>
      <c r="H14" s="91"/>
      <c r="J14" s="79">
        <f>第一季度!J14</f>
        <v>0</v>
      </c>
      <c r="K14" s="79">
        <f>第一季度!K14</f>
        <v>122</v>
      </c>
      <c r="L14" s="80" t="str">
        <f t="shared" si="3"/>
        <v>1</v>
      </c>
      <c r="M14" s="80" t="str">
        <f t="shared" si="4"/>
        <v>2</v>
      </c>
      <c r="N14" s="80" t="str">
        <f t="shared" si="5"/>
        <v>2</v>
      </c>
      <c r="O14" s="80" t="str">
        <f t="shared" si="6"/>
        <v/>
      </c>
      <c r="P14" s="80" t="str">
        <f t="shared" si="2"/>
        <v/>
      </c>
      <c r="Q14" s="79"/>
      <c r="R14" s="79"/>
      <c r="S14" s="79"/>
      <c r="T14" s="79">
        <v>0</v>
      </c>
      <c r="U14" s="79">
        <v>0</v>
      </c>
      <c r="V14" s="79"/>
      <c r="W14" s="81">
        <f>TRUNC(S14*参数调整!$I$30)+TRUNC(T14*参数调整!$H$30)+TRUNC(U14*参数调整!$G$30)+TRUNC(V14*参数调整!$F$30)+Q14</f>
        <v>0</v>
      </c>
      <c r="X14" s="81">
        <f t="shared" si="1"/>
        <v>-8.420454545454545</v>
      </c>
      <c r="Y14" s="79">
        <v>0</v>
      </c>
      <c r="Z14" s="78">
        <f>Y14+0.53653684*0.46055126*第一季度!W14+第二季度!X14*0.53653684</f>
        <v>0</v>
      </c>
      <c r="AA14" s="78">
        <f>IF(J14="S",Z14*参数调整!$H$11/($X$29*$J$18),IF(J14="B",Z14*参数调整!$H$12/($X$30*$J$18),IF(J14="Q",Z14*参数调整!$H$13/($X$31*$J$18),Z14*参数调整!$H$14/($X$32*$J$18))))</f>
        <v>0</v>
      </c>
      <c r="AD14" s="197"/>
      <c r="AE14" s="103" t="s">
        <v>99</v>
      </c>
      <c r="AF14" s="79">
        <v>0</v>
      </c>
      <c r="AG14" s="78">
        <f>AF14*参数调整!$F$29</f>
        <v>0</v>
      </c>
      <c r="AI14" s="209"/>
      <c r="AJ14" s="183"/>
      <c r="AK14" s="183"/>
      <c r="AL14" s="103" t="s">
        <v>272</v>
      </c>
      <c r="AM14" s="79">
        <v>2</v>
      </c>
      <c r="AN14" s="103">
        <f>AM14*参数调整!$F$33</f>
        <v>6000</v>
      </c>
      <c r="AO14" s="2"/>
      <c r="AP14" s="2"/>
    </row>
    <row r="15" spans="1:42" ht="15" thickBot="1">
      <c r="A15" s="85" t="s">
        <v>162</v>
      </c>
      <c r="B15" s="96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87">
        <f>参数调整!D57</f>
        <v>78</v>
      </c>
      <c r="D15" s="8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78</v>
      </c>
      <c r="E15" s="87">
        <f>参数调整!G57</f>
        <v>1</v>
      </c>
      <c r="F15" s="1">
        <f>D15*G15*(参数调整!$B$6+1)</f>
        <v>0</v>
      </c>
      <c r="G15" s="97">
        <f t="shared" si="0"/>
        <v>0</v>
      </c>
      <c r="H15" s="91">
        <v>334</v>
      </c>
      <c r="S15" s="78">
        <f>SUM(S3:S14)</f>
        <v>0</v>
      </c>
      <c r="T15" s="78">
        <f t="shared" ref="T15:V15" si="7">SUM(T3:T14)</f>
        <v>0</v>
      </c>
      <c r="U15" s="78">
        <f t="shared" si="7"/>
        <v>0</v>
      </c>
      <c r="V15" s="78">
        <f t="shared" si="7"/>
        <v>592</v>
      </c>
      <c r="AD15" s="197" t="s">
        <v>217</v>
      </c>
      <c r="AE15" s="197"/>
      <c r="AF15" s="79">
        <v>0</v>
      </c>
      <c r="AG15" s="78">
        <f>AF15*参数调整!$B$31</f>
        <v>0</v>
      </c>
      <c r="AI15" s="209"/>
      <c r="AJ15" s="183"/>
      <c r="AK15" s="183"/>
      <c r="AL15" s="103" t="s">
        <v>101</v>
      </c>
      <c r="AM15" s="79">
        <v>0</v>
      </c>
      <c r="AN15" s="103">
        <f>AM15*参数调整!$H$33</f>
        <v>0</v>
      </c>
      <c r="AO15" s="2"/>
      <c r="AP15" s="2"/>
    </row>
    <row r="16" spans="1:42" ht="15" thickBot="1">
      <c r="A16" s="85" t="s">
        <v>163</v>
      </c>
      <c r="B16" s="96">
        <f>SUMIF($O$3:$O$14,4,$S$3:$S$14)+SUMIF($O$3:$O$14,4,$T$3:$T$14)+SUMIF($O$3:$O$14,4,$U$3:$U$14)+SUMIF($O$3:$O$14,4,$V$3:$V$14)+SUMIF($P$3:$P$14,4,$S$3:$S$14)+SUMIF($P$3:$P$14,4,$T$3:$T$14)+SUMIF($P$3:$P$14,4,$U$3:$U$14)+SUMIF($P$3:$P$14,4,$V$3:$V$14)</f>
        <v>16</v>
      </c>
      <c r="C16" s="87">
        <f>参数调整!D58</f>
        <v>83</v>
      </c>
      <c r="D16" s="8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83</v>
      </c>
      <c r="E16" s="87">
        <f>参数调整!G58</f>
        <v>1</v>
      </c>
      <c r="F16" s="1">
        <f>D16*G16*(参数调整!$B$6+1)</f>
        <v>1553.76</v>
      </c>
      <c r="G16" s="97">
        <f t="shared" si="0"/>
        <v>16</v>
      </c>
      <c r="H16" s="91"/>
      <c r="AC16" s="119" t="s">
        <v>342</v>
      </c>
      <c r="AD16" s="197" t="s">
        <v>218</v>
      </c>
      <c r="AE16" s="197"/>
      <c r="AF16" s="79">
        <v>0</v>
      </c>
      <c r="AG16" s="78">
        <f>AF16*参数调整!$B$32</f>
        <v>0</v>
      </c>
      <c r="AI16" s="209"/>
      <c r="AJ16" s="184"/>
      <c r="AK16" s="184"/>
      <c r="AL16" s="103" t="s">
        <v>273</v>
      </c>
      <c r="AM16" s="79">
        <v>0</v>
      </c>
      <c r="AN16" s="103">
        <f>AM16*参数调整!$G$33</f>
        <v>0</v>
      </c>
      <c r="AO16" s="2"/>
      <c r="AP16" s="2"/>
    </row>
    <row r="17" spans="1:42" ht="13.9" customHeight="1">
      <c r="J17" s="193" t="s">
        <v>197</v>
      </c>
      <c r="K17" s="193"/>
      <c r="P17" s="1">
        <f>SUM(第三季度!R18:V18)-(SUM(第四季度!R18:V18)-SUM(第四季度!R22:V22))</f>
        <v>2189</v>
      </c>
      <c r="Q17" s="78" t="s">
        <v>190</v>
      </c>
      <c r="R17" s="78" t="s">
        <v>191</v>
      </c>
      <c r="S17" s="78" t="s">
        <v>275</v>
      </c>
      <c r="T17" s="78" t="s">
        <v>276</v>
      </c>
      <c r="U17" s="78" t="s">
        <v>312</v>
      </c>
      <c r="V17" s="78" t="s">
        <v>313</v>
      </c>
      <c r="AB17" s="78" t="str">
        <f>J3</f>
        <v>S</v>
      </c>
      <c r="AC17" s="125"/>
      <c r="AD17" s="197" t="s">
        <v>219</v>
      </c>
      <c r="AE17" s="103" t="s">
        <v>220</v>
      </c>
      <c r="AF17" s="79">
        <v>0</v>
      </c>
      <c r="AG17" s="78">
        <f>AF17*参数调整!$F$3</f>
        <v>0</v>
      </c>
      <c r="AI17" s="209"/>
      <c r="AJ17" s="179" t="s">
        <v>249</v>
      </c>
      <c r="AK17" s="180"/>
      <c r="AL17" s="181"/>
      <c r="AM17" s="80">
        <v>1</v>
      </c>
      <c r="AN17" s="103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9" customHeight="1">
      <c r="A18" s="177" t="s">
        <v>199</v>
      </c>
      <c r="B18" s="178"/>
      <c r="G18" s="84">
        <f>SUMIF(E3:E16,0,F3:F16)</f>
        <v>17424.575999999997</v>
      </c>
      <c r="J18" s="194">
        <v>17</v>
      </c>
      <c r="K18" s="195"/>
      <c r="P18" s="1">
        <f>SUM(第三季度!R19:V19)-(SUM(第四季度!R19:V19)-SUM(第四季度!R23:V23))</f>
        <v>2587</v>
      </c>
      <c r="Q18" s="78" t="s">
        <v>178</v>
      </c>
      <c r="R18" s="79">
        <v>502</v>
      </c>
      <c r="S18" s="79">
        <v>425</v>
      </c>
      <c r="T18" s="79">
        <v>425</v>
      </c>
      <c r="U18" s="79">
        <v>476</v>
      </c>
      <c r="V18" s="79">
        <v>561</v>
      </c>
      <c r="AB18" s="78" t="str">
        <f t="shared" ref="AB18:AB28" si="8">J4</f>
        <v>S</v>
      </c>
      <c r="AC18" s="125"/>
      <c r="AD18" s="197"/>
      <c r="AE18" s="103" t="s">
        <v>221</v>
      </c>
      <c r="AF18" s="79">
        <v>0</v>
      </c>
      <c r="AG18" s="78">
        <f>AF18*参数调整!$F$4</f>
        <v>0</v>
      </c>
      <c r="AI18" s="209"/>
      <c r="AJ18" s="211" t="s">
        <v>250</v>
      </c>
      <c r="AK18" s="212"/>
      <c r="AL18" s="103" t="s">
        <v>251</v>
      </c>
      <c r="AM18" s="80">
        <f>AF24+第一季度!AF23+第二季度!AF24</f>
        <v>6</v>
      </c>
      <c r="AN18" s="111">
        <f>AM18*参数调整!$B$10</f>
        <v>6000</v>
      </c>
      <c r="AO18" s="2"/>
      <c r="AP18" s="2"/>
    </row>
    <row r="19" spans="1:42" ht="13.9" customHeight="1">
      <c r="J19" s="194"/>
      <c r="K19" s="195"/>
      <c r="P19" s="1">
        <f>SUM(第三季度!R20:V20)-(SUM(第四季度!R20:V20)-SUM(第四季度!R24:V24))</f>
        <v>2963</v>
      </c>
      <c r="Q19" s="78" t="s">
        <v>179</v>
      </c>
      <c r="R19" s="79">
        <v>541</v>
      </c>
      <c r="S19" s="79">
        <v>510</v>
      </c>
      <c r="T19" s="79">
        <v>646</v>
      </c>
      <c r="U19" s="79">
        <v>561</v>
      </c>
      <c r="V19" s="79">
        <v>595</v>
      </c>
      <c r="AB19" s="78" t="str">
        <f t="shared" si="8"/>
        <v>B</v>
      </c>
      <c r="AC19" s="125"/>
      <c r="AD19" s="197"/>
      <c r="AE19" s="103" t="s">
        <v>222</v>
      </c>
      <c r="AF19" s="79">
        <v>0</v>
      </c>
      <c r="AG19" s="78">
        <f>AF19*参数调整!$F$5</f>
        <v>0</v>
      </c>
      <c r="AI19" s="209"/>
      <c r="AJ19" s="189"/>
      <c r="AK19" s="213"/>
      <c r="AL19" s="103" t="s">
        <v>252</v>
      </c>
      <c r="AM19" s="80">
        <f>AF25+第一季度!AF24+第二季度!AF25</f>
        <v>7</v>
      </c>
      <c r="AN19" s="103">
        <f>AM19*参数调整!$B$10</f>
        <v>7000</v>
      </c>
      <c r="AO19" s="2"/>
      <c r="AP19" s="2"/>
    </row>
    <row r="20" spans="1:42" ht="13.9" customHeight="1">
      <c r="J20" s="194"/>
      <c r="K20" s="195"/>
      <c r="P20" s="1">
        <f>SUM(第三季度!R21:V21)-(SUM(第四季度!R21:V21)-SUM(第四季度!R25:V25))</f>
        <v>2488</v>
      </c>
      <c r="Q20" s="78" t="s">
        <v>180</v>
      </c>
      <c r="R20" s="79">
        <v>634</v>
      </c>
      <c r="S20" s="79">
        <v>595</v>
      </c>
      <c r="T20" s="79">
        <v>595</v>
      </c>
      <c r="U20" s="79">
        <v>850</v>
      </c>
      <c r="V20" s="79">
        <v>680</v>
      </c>
      <c r="X20">
        <f>132-46</f>
        <v>86</v>
      </c>
      <c r="AB20" s="78" t="str">
        <f t="shared" si="8"/>
        <v>Q</v>
      </c>
      <c r="AC20" s="125"/>
      <c r="AD20" s="197"/>
      <c r="AE20" s="103" t="s">
        <v>223</v>
      </c>
      <c r="AF20" s="79">
        <v>0</v>
      </c>
      <c r="AG20" s="78">
        <f>AF20*参数调整!$F$6</f>
        <v>0</v>
      </c>
      <c r="AI20" s="209"/>
      <c r="AJ20" s="211" t="s">
        <v>253</v>
      </c>
      <c r="AK20" s="212"/>
      <c r="AL20" s="103" t="s">
        <v>102</v>
      </c>
      <c r="AM20" s="79">
        <v>0</v>
      </c>
      <c r="AN20" s="103">
        <f>AM20*参数调整!$I$29</f>
        <v>0</v>
      </c>
      <c r="AO20" s="2"/>
      <c r="AP20" s="2"/>
    </row>
    <row r="21" spans="1:42" ht="13.9" customHeight="1">
      <c r="J21" s="193" t="s">
        <v>198</v>
      </c>
      <c r="K21" s="196"/>
      <c r="P21" s="1"/>
      <c r="Q21" s="78" t="s">
        <v>195</v>
      </c>
      <c r="R21" s="79">
        <v>730</v>
      </c>
      <c r="S21" s="79">
        <v>765</v>
      </c>
      <c r="T21" s="79">
        <v>680</v>
      </c>
      <c r="U21" s="79">
        <v>765</v>
      </c>
      <c r="V21" s="79">
        <v>765</v>
      </c>
      <c r="AB21" s="78" t="str">
        <f t="shared" si="8"/>
        <v>Q</v>
      </c>
      <c r="AC21" s="125"/>
      <c r="AD21" s="197"/>
      <c r="AE21" s="103" t="s">
        <v>224</v>
      </c>
      <c r="AF21" s="79">
        <v>0</v>
      </c>
      <c r="AG21" s="78">
        <f>AF21*参数调整!$F$7</f>
        <v>0</v>
      </c>
      <c r="AI21" s="209"/>
      <c r="AJ21" s="188"/>
      <c r="AK21" s="214"/>
      <c r="AL21" s="103" t="s">
        <v>272</v>
      </c>
      <c r="AM21" s="79">
        <v>0</v>
      </c>
      <c r="AN21" s="103">
        <f>AM21*参数调整!$F$29</f>
        <v>0</v>
      </c>
      <c r="AO21" s="2"/>
      <c r="AP21" s="2"/>
    </row>
    <row r="22" spans="1:42" ht="13.9" customHeight="1">
      <c r="J22" s="194">
        <v>17</v>
      </c>
      <c r="K22" s="194"/>
      <c r="Q22" s="185" t="s">
        <v>314</v>
      </c>
      <c r="R22" s="122">
        <f>J22*28</f>
        <v>476</v>
      </c>
      <c r="S22" s="122">
        <f>J22*25</f>
        <v>425</v>
      </c>
      <c r="T22" s="122">
        <f>J22*25</f>
        <v>425</v>
      </c>
      <c r="U22" s="122">
        <f>J22*28</f>
        <v>476</v>
      </c>
      <c r="V22" s="122">
        <f>J22*33</f>
        <v>561</v>
      </c>
      <c r="AB22" s="78" t="str">
        <f t="shared" si="8"/>
        <v>Q</v>
      </c>
      <c r="AC22" s="125"/>
      <c r="AD22" s="197"/>
      <c r="AE22" s="103" t="s">
        <v>225</v>
      </c>
      <c r="AF22" s="79">
        <v>0</v>
      </c>
      <c r="AG22" s="78">
        <f>AF22*参数调整!$F$8</f>
        <v>0</v>
      </c>
      <c r="AI22" s="209"/>
      <c r="AJ22" s="188"/>
      <c r="AK22" s="214"/>
      <c r="AL22" s="103" t="s">
        <v>101</v>
      </c>
      <c r="AM22" s="79">
        <v>0</v>
      </c>
      <c r="AN22" s="103">
        <f>AM22*参数调整!$H$29</f>
        <v>0</v>
      </c>
      <c r="AO22" s="2"/>
      <c r="AP22" s="2"/>
    </row>
    <row r="23" spans="1:42" ht="13.9" customHeight="1">
      <c r="J23" s="194"/>
      <c r="K23" s="194"/>
      <c r="Q23" s="186"/>
      <c r="R23" s="122">
        <f>J22*30</f>
        <v>510</v>
      </c>
      <c r="S23" s="122">
        <f>J22*30</f>
        <v>510</v>
      </c>
      <c r="T23" s="122">
        <f>J22*38</f>
        <v>646</v>
      </c>
      <c r="U23" s="122">
        <f>J22*33</f>
        <v>561</v>
      </c>
      <c r="V23" s="122">
        <f>J22*35</f>
        <v>595</v>
      </c>
      <c r="AB23" s="78" t="str">
        <f t="shared" si="8"/>
        <v>L</v>
      </c>
      <c r="AC23" s="125"/>
      <c r="AD23" s="179" t="s">
        <v>305</v>
      </c>
      <c r="AE23" s="181"/>
      <c r="AF23" s="79">
        <v>0</v>
      </c>
      <c r="AG23" s="78">
        <f>AF23*参数调整!$C$40</f>
        <v>0</v>
      </c>
      <c r="AI23" s="209"/>
      <c r="AJ23" s="189"/>
      <c r="AK23" s="213"/>
      <c r="AL23" s="103" t="s">
        <v>273</v>
      </c>
      <c r="AM23" s="79">
        <v>0</v>
      </c>
      <c r="AN23" s="103">
        <f>AM23*参数调整!$G$29</f>
        <v>0</v>
      </c>
      <c r="AO23" s="2"/>
      <c r="AP23" s="2"/>
    </row>
    <row r="24" spans="1:42">
      <c r="J24" s="194"/>
      <c r="K24" s="194"/>
      <c r="Q24" s="186"/>
      <c r="R24" s="122">
        <f>J22*35</f>
        <v>595</v>
      </c>
      <c r="S24" s="122">
        <f>J22*35</f>
        <v>595</v>
      </c>
      <c r="T24" s="122">
        <f>J22*35</f>
        <v>595</v>
      </c>
      <c r="U24" s="122">
        <f>J22*50</f>
        <v>850</v>
      </c>
      <c r="V24" s="122">
        <f>J22*40</f>
        <v>680</v>
      </c>
      <c r="AB24" s="78" t="str">
        <f t="shared" si="8"/>
        <v>L</v>
      </c>
      <c r="AC24" s="125"/>
      <c r="AD24" s="197" t="s">
        <v>226</v>
      </c>
      <c r="AE24" s="197"/>
      <c r="AF24" s="79">
        <v>0</v>
      </c>
      <c r="AG24" s="78">
        <f>AF24*参数调整!$F$18</f>
        <v>0</v>
      </c>
      <c r="AI24" s="209"/>
      <c r="AJ24" s="211" t="s">
        <v>254</v>
      </c>
      <c r="AK24" s="212"/>
      <c r="AL24" s="103" t="s">
        <v>255</v>
      </c>
      <c r="AM24" s="79">
        <v>0</v>
      </c>
      <c r="AN24" s="103">
        <f>AM24*参数调整!$F$23</f>
        <v>0</v>
      </c>
      <c r="AO24" s="2"/>
      <c r="AP24" s="2"/>
    </row>
    <row r="25" spans="1:42">
      <c r="Q25" s="187"/>
      <c r="R25" s="122">
        <f>J22*40</f>
        <v>680</v>
      </c>
      <c r="S25" s="122">
        <f>J22*45</f>
        <v>765</v>
      </c>
      <c r="T25" s="122">
        <f>J22*40</f>
        <v>680</v>
      </c>
      <c r="U25" s="122">
        <f>J22*45</f>
        <v>765</v>
      </c>
      <c r="V25" s="122">
        <f>J22*45</f>
        <v>765</v>
      </c>
      <c r="AB25" s="78">
        <f t="shared" si="8"/>
        <v>0</v>
      </c>
      <c r="AC25" s="125"/>
      <c r="AD25" s="197" t="s">
        <v>227</v>
      </c>
      <c r="AE25" s="197"/>
      <c r="AF25" s="79">
        <v>2</v>
      </c>
      <c r="AG25" s="78">
        <f>AF25*参数调整!$F$17</f>
        <v>1000</v>
      </c>
      <c r="AI25" s="209"/>
      <c r="AJ25" s="188"/>
      <c r="AK25" s="214"/>
      <c r="AL25" s="103" t="s">
        <v>256</v>
      </c>
      <c r="AM25" s="79">
        <v>0</v>
      </c>
      <c r="AN25" s="103">
        <f>AM25*参数调整!$H$23</f>
        <v>0</v>
      </c>
      <c r="AO25" s="2"/>
      <c r="AP25" s="2"/>
    </row>
    <row r="26" spans="1:42">
      <c r="AB26" s="78">
        <f t="shared" si="8"/>
        <v>0</v>
      </c>
      <c r="AC26" s="125"/>
      <c r="AD26" s="197" t="s">
        <v>228</v>
      </c>
      <c r="AE26" s="197"/>
      <c r="AF26" s="197"/>
      <c r="AG26" s="78">
        <f>SUM(Y3:Y14)</f>
        <v>0</v>
      </c>
      <c r="AI26" s="209"/>
      <c r="AJ26" s="189"/>
      <c r="AK26" s="213"/>
      <c r="AL26" s="103" t="s">
        <v>257</v>
      </c>
      <c r="AM26" s="79">
        <v>0</v>
      </c>
      <c r="AN26" s="103">
        <f>AM26*参数调整!$J$23</f>
        <v>0</v>
      </c>
      <c r="AO26" s="2"/>
      <c r="AP26" s="2"/>
    </row>
    <row r="27" spans="1:42">
      <c r="AB27" s="78">
        <f t="shared" si="8"/>
        <v>0</v>
      </c>
      <c r="AC27" s="125"/>
      <c r="AD27" s="197" t="s">
        <v>229</v>
      </c>
      <c r="AE27" s="197"/>
      <c r="AF27" s="197"/>
      <c r="AG27" s="78">
        <f>G18</f>
        <v>17424.575999999997</v>
      </c>
      <c r="AI27" s="209"/>
      <c r="AJ27" s="179" t="s">
        <v>258</v>
      </c>
      <c r="AK27" s="180"/>
      <c r="AL27" s="181"/>
      <c r="AM27" s="80">
        <f>AM19</f>
        <v>7</v>
      </c>
      <c r="AN27" s="103">
        <f>AM27*参数调整!$J$17*(1+参数调整!$B$12+参数调整!$B$13+参数调整!$B$14+参数调整!$B$15+参数调整!$B$16)</f>
        <v>37687.999999999993</v>
      </c>
      <c r="AO27" s="2"/>
      <c r="AP27" s="2"/>
    </row>
    <row r="28" spans="1:42">
      <c r="J28" s="1"/>
      <c r="P28" s="1"/>
      <c r="Q28" s="78" t="s">
        <v>315</v>
      </c>
      <c r="R28" s="1"/>
      <c r="S28" s="78" t="s">
        <v>316</v>
      </c>
      <c r="T28" s="78" t="s">
        <v>317</v>
      </c>
      <c r="U28" s="78" t="s">
        <v>318</v>
      </c>
      <c r="V28" s="78" t="s">
        <v>319</v>
      </c>
      <c r="W28" s="78" t="s">
        <v>193</v>
      </c>
      <c r="X28" s="78" t="s">
        <v>277</v>
      </c>
      <c r="Y28" s="78" t="s">
        <v>320</v>
      </c>
      <c r="Z28" s="1"/>
      <c r="AB28" s="78">
        <f t="shared" si="8"/>
        <v>0</v>
      </c>
      <c r="AC28" s="126"/>
      <c r="AD28" s="197" t="s">
        <v>230</v>
      </c>
      <c r="AE28" s="197"/>
      <c r="AF28" s="197"/>
      <c r="AG28" s="106">
        <f>AG3+AG4*(1-参数调整!$B$18)-SUM(AG5:AG27)</f>
        <v>33464.373999999996</v>
      </c>
      <c r="AH28" s="106">
        <f>AG28/(1-参数调整!B23)</f>
        <v>34499.354639175253</v>
      </c>
      <c r="AI28" s="209"/>
      <c r="AJ28" s="182" t="s">
        <v>259</v>
      </c>
      <c r="AK28" s="199" t="s">
        <v>260</v>
      </c>
      <c r="AL28" s="217" t="s">
        <v>178</v>
      </c>
      <c r="AM28" s="215">
        <v>0</v>
      </c>
      <c r="AN28" s="182">
        <f>AM28*参数调整!$B$30*参数调整!F11</f>
        <v>0</v>
      </c>
      <c r="AO28" s="2"/>
      <c r="AP28" s="2"/>
    </row>
    <row r="29" spans="1:42">
      <c r="J29" s="78" t="str">
        <f t="shared" ref="J29:J40" si="9">J3</f>
        <v>S</v>
      </c>
      <c r="K29" s="78">
        <f>第二季度!V3-第三季度!Q3+第三季度!R3</f>
        <v>28</v>
      </c>
      <c r="L29" s="78"/>
      <c r="M29" s="78"/>
      <c r="N29" s="78"/>
      <c r="O29" s="78"/>
      <c r="P29" s="78"/>
      <c r="Q29" s="79">
        <v>0</v>
      </c>
      <c r="R29" s="78">
        <f>IF(J29="S",K29*100/(SUM(第二季度!$R$18:$T$18)-$Q$29),IF(第三季度!J29="B",第三季度!K29*100/(SUM(第二季度!$R$19:$T$19)-$Q$30),IF(第三季度!J29="Q",第三季度!K29*100/(SUM(第二季度!$R$20:$T$20)-$Q$31),IF(第一季度!$R$22=0,第三季度!K29*100/(SUM(第二季度!$R$21:$T$21)-$Q$32),第三季度!K29*100/(SUM(第二季度!$R$21:$T$21)-$Q$32)))))</f>
        <v>1.7262638717632552</v>
      </c>
      <c r="S29" s="1">
        <f>IF(J29="S",(第二季度!V3-第三季度!Q3+第一季度!U3-第二季度!Q3)*参数调整!$K$11/(第二季度!$O$17+第一季度!$N$19)-第二季度!AA41,IF(J29="B",(第二季度!V3-第三季度!Q3+第一季度!U3-第二季度!Q3)*参数调整!$K$12/(第一季度!$N$20+第二季度!$O$18)-第二季度!AA41,IF(第三季度!J29="Q",(第二季度!V3-第三季度!Q3+第一季度!U3-第二季度!Q3)*参数调整!$K$13/(第一季度!$N$21+第二季度!$O$19)-第二季度!AA41,IF(第一季度!S22=0,(第二季度!V3-第三季度!Q3)*参数调整!$K$14/第二季度!$O$20-参数调整!$K$14/(第二季度!$G$30+第二季度!$G$31),(第二季度!V3-第三季度!Q3+第一季度!U3-第二季度!Q3)*参数调整!$K$14/(第二季度!$O$20+第一季度!$N$22)-第二季度!AA41))))</f>
        <v>-4.6584401314490279E-2</v>
      </c>
      <c r="T29" s="79">
        <v>0.24</v>
      </c>
      <c r="U29" s="78">
        <f>R29+S29-T29</f>
        <v>1.439679470448765</v>
      </c>
      <c r="V29" s="78">
        <f>IF(J29="S",Z3*参数调整!$H$11/($X$29*$J$18),IF(第三季度!J29="B",第三季度!Z3*参数调整!$H$12/(第三季度!$X$30*第三季度!$J$18),IF(第三季度!J29="Q",第三季度!Z3*参数调整!$H$13/(第三季度!$X$31*第三季度!$J$18),第三季度!Z3*参数调整!$H$14/(第三季度!$X$32*第三季度!$J$18))))</f>
        <v>0.10031314458300782</v>
      </c>
      <c r="W29" s="79">
        <v>13741.761248281015</v>
      </c>
      <c r="X29" s="1">
        <f>W29+第二季度!U18*0.53653684+第一季度!T19*0.53653684*0.46055126</f>
        <v>22107.465037741153</v>
      </c>
      <c r="Y29" s="78">
        <f>U29+V29</f>
        <v>1.5399926150317729</v>
      </c>
      <c r="Z29" s="98">
        <v>8177.9622470810637</v>
      </c>
      <c r="AD29" s="179" t="s">
        <v>322</v>
      </c>
      <c r="AE29" s="180"/>
      <c r="AF29" s="181"/>
      <c r="AG29" s="79">
        <f>10530+12285+10530</f>
        <v>33345</v>
      </c>
      <c r="AI29" s="209"/>
      <c r="AJ29" s="183"/>
      <c r="AK29" s="200"/>
      <c r="AL29" s="218"/>
      <c r="AM29" s="216"/>
      <c r="AN29" s="184"/>
      <c r="AO29" s="2"/>
      <c r="AP29" s="2"/>
    </row>
    <row r="30" spans="1:42">
      <c r="J30" s="78" t="str">
        <f t="shared" si="9"/>
        <v>S</v>
      </c>
      <c r="K30" s="78">
        <f>第二季度!V4-第三季度!Q4+第三季度!R4</f>
        <v>43</v>
      </c>
      <c r="L30" s="78"/>
      <c r="M30" s="78"/>
      <c r="N30" s="78"/>
      <c r="O30" s="78"/>
      <c r="P30" s="78"/>
      <c r="Q30" s="79">
        <v>0</v>
      </c>
      <c r="R30" s="78">
        <f>IF(J30="S",K30*100/(SUM(第二季度!$R$18:$T$18)-$Q$29),IF(第三季度!J30="B",第三季度!K30*100/(SUM(第二季度!$R$19:$T$19)-$Q$30),IF(第三季度!J30="Q",第三季度!K30*100/(SUM(第二季度!$R$20:$T$20)-$Q$31),IF(第一季度!$R$22=0,第三季度!K30*100/(SUM(第二季度!$R$21:$T$21)-$Q$32),第三季度!K30*100/(SUM(第二季度!$R$21:$T$21)-$Q$32)))))</f>
        <v>2.6510480887792847</v>
      </c>
      <c r="S30" s="1">
        <f>IF(J30="S",(第二季度!V4-第三季度!Q4+第一季度!U4-第二季度!Q4)*参数调整!$K$11/(第二季度!$O$17+第一季度!$N$19)-第二季度!AA42,IF(J30="B",(第二季度!V4-第三季度!Q4+第一季度!U4-第二季度!Q4)*参数调整!$K$12/(第一季度!$N$20+第二季度!$O$18)-第二季度!AA42,IF(第三季度!J30="Q",(第二季度!V4-第三季度!Q4+第一季度!U4-第二季度!Q4)*参数调整!$K$13/(第一季度!$N$21+第二季度!$O$19)-第二季度!AA42,IF(第一季度!S23=0,(第二季度!V4-第三季度!Q4)*参数调整!$K$14/第二季度!$O$20-参数调整!$K$14/(第二季度!$G$30+第二季度!$G$31),(第二季度!V4-第三季度!Q4+第一季度!U4-第二季度!Q4)*参数调整!$K$14/(第二季度!$O$20+第一季度!$N$22)-第二季度!AA42))))</f>
        <v>-0.23790957562623105</v>
      </c>
      <c r="T30" s="79">
        <v>0.47</v>
      </c>
      <c r="U30" s="78">
        <f t="shared" ref="U30:U40" si="10">R30+S30-T30</f>
        <v>1.9431385131530534</v>
      </c>
      <c r="V30" s="78">
        <f>IF(J30="S",Z4*参数调整!$H$11/($X$29*$J$18),IF(第三季度!J30="B",第三季度!Z4*参数调整!$H$12/(第三季度!$X$30*第三季度!$J$18),IF(第三季度!J30="Q",第三季度!Z4*参数调整!$H$13/(第三季度!$X$31*第三季度!$J$18),第三季度!Z4*参数调整!$H$14/(第三季度!$X$32*第三季度!$J$18))))</f>
        <v>0.24852338790196585</v>
      </c>
      <c r="W30" s="79">
        <v>11955.500358312915</v>
      </c>
      <c r="X30" s="1">
        <f>W30+第二季度!U19*0.53653684+第一季度!T20*0.53653684*0.46055126</f>
        <v>20708.70027220223</v>
      </c>
      <c r="Y30" s="78">
        <f t="shared" ref="Y30:Y40" si="11">U30+V30</f>
        <v>2.1916619010550193</v>
      </c>
      <c r="Z30" s="98">
        <v>13765.424311402809</v>
      </c>
      <c r="AD30" s="179" t="s">
        <v>230</v>
      </c>
      <c r="AE30" s="180"/>
      <c r="AF30" s="181"/>
      <c r="AG30" s="106">
        <f>AG29*(1-参数调整!B23)+第三季度!AG28</f>
        <v>65809.02399999999</v>
      </c>
      <c r="AI30" s="209"/>
      <c r="AJ30" s="183"/>
      <c r="AK30" s="200"/>
      <c r="AL30" s="217" t="s">
        <v>179</v>
      </c>
      <c r="AM30" s="215">
        <v>0</v>
      </c>
      <c r="AN30" s="182">
        <f>参数调整!F12*AM30*参数调整!$B$30</f>
        <v>0</v>
      </c>
      <c r="AO30" s="2"/>
      <c r="AP30" s="2"/>
    </row>
    <row r="31" spans="1:42">
      <c r="J31" s="78" t="str">
        <f t="shared" si="9"/>
        <v>B</v>
      </c>
      <c r="K31" s="78">
        <f>第二季度!V5-第三季度!Q5+第三季度!R5</f>
        <v>45</v>
      </c>
      <c r="L31" s="78"/>
      <c r="M31" s="78"/>
      <c r="N31" s="78"/>
      <c r="O31" s="78"/>
      <c r="P31" s="78"/>
      <c r="Q31" s="79">
        <v>0</v>
      </c>
      <c r="R31" s="78">
        <f>IF(J31="S",K31*100/(SUM(第二季度!$R$18:$T$18)-$Q$29),IF(第三季度!J31="B",第三季度!K31*100/(SUM(第二季度!$R$19:$T$19)-$Q$30),IF(第三季度!J31="Q",第三季度!K31*100/(SUM(第二季度!$R$20:$T$20)-$Q$31),IF(第一季度!$R$22=0,第三季度!K31*100/(SUM(第二季度!$R$21:$T$21)-$Q$32),第三季度!K31*100/(SUM(第二季度!$R$21:$T$21)-$Q$32)))))</f>
        <v>2.5280898876404496</v>
      </c>
      <c r="S31" s="1">
        <f>IF(J31="S",(第二季度!V5-第三季度!Q5+第一季度!U5-第二季度!Q5)*参数调整!$K$11/(第二季度!$O$17+第一季度!$N$19)-第二季度!AA43,IF(J31="B",(第二季度!V5-第三季度!Q5+第一季度!U5-第二季度!Q5)*参数调整!$K$12/(第一季度!$N$20+第二季度!$O$18)-第二季度!AA43,IF(第三季度!J31="Q",(第二季度!V5-第三季度!Q5+第一季度!U5-第二季度!Q5)*参数调整!$K$13/(第一季度!$N$21+第二季度!$O$19)-第二季度!AA43,IF(第一季度!S24=0,(第二季度!V5-第三季度!Q5)*参数调整!$K$14/第二季度!$O$20-参数调整!$K$14/(第二季度!$G$30+第二季度!$G$31),(第二季度!V5-第三季度!Q5+第一季度!U5-第二季度!Q5)*参数调整!$K$14/(第二季度!$O$20+第一季度!$N$22)-第二季度!AA43))))</f>
        <v>0.25069641071823795</v>
      </c>
      <c r="T31" s="79">
        <v>0.32</v>
      </c>
      <c r="U31" s="78">
        <f t="shared" si="10"/>
        <v>2.4587862983586879</v>
      </c>
      <c r="V31" s="78">
        <f>IF(J31="S",Z5*参数调整!$H$11/($X$29*$J$18),IF(第三季度!J31="B",第三季度!Z5*参数调整!$H$12/(第三季度!$X$30*第三季度!$J$18),IF(第三季度!J31="Q",第三季度!Z5*参数调整!$H$13/(第三季度!$X$31*第三季度!$J$18),第三季度!Z5*参数调整!$H$14/(第三季度!$X$32*第三季度!$J$18))))</f>
        <v>0</v>
      </c>
      <c r="W31" s="79">
        <v>7039.6308676129447</v>
      </c>
      <c r="X31" s="1">
        <f>W31+第二季度!U20*0.53653684+第一季度!T21*0.53653684*0.46055126</f>
        <v>12987.270953634195</v>
      </c>
      <c r="Y31" s="78">
        <f t="shared" si="11"/>
        <v>2.4587862983586879</v>
      </c>
      <c r="Z31" s="98">
        <v>8983.0231020693227</v>
      </c>
      <c r="AI31" s="209"/>
      <c r="AJ31" s="183"/>
      <c r="AK31" s="200"/>
      <c r="AL31" s="218"/>
      <c r="AM31" s="216"/>
      <c r="AN31" s="184"/>
      <c r="AO31" s="2"/>
      <c r="AP31" s="2"/>
    </row>
    <row r="32" spans="1:42">
      <c r="J32" s="78" t="str">
        <f t="shared" si="9"/>
        <v>Q</v>
      </c>
      <c r="K32" s="78">
        <f>第二季度!V6-第三季度!Q6+第三季度!R6</f>
        <v>34</v>
      </c>
      <c r="L32" s="78"/>
      <c r="M32" s="78"/>
      <c r="N32" s="78"/>
      <c r="O32" s="78"/>
      <c r="P32" s="78"/>
      <c r="Q32" s="79">
        <v>0</v>
      </c>
      <c r="R32" s="78">
        <f>IF(J32="S",K32*100/(SUM(第二季度!$R$18:$T$18)-$Q$29),IF(第三季度!J32="B",第三季度!K32*100/(SUM(第二季度!$R$19:$T$19)-$Q$30),IF(第三季度!J32="Q",第三季度!K32*100/(SUM(第二季度!$R$20:$T$20)-$Q$31),IF(第一季度!$R$22=0,第三季度!K32*100/(SUM(第二季度!$R$21:$T$21)-$Q$32),第三季度!K32*100/(SUM(第二季度!$R$21:$T$21)-$Q$32)))))</f>
        <v>1.6666666666666667</v>
      </c>
      <c r="S32" s="1">
        <f>IF(J32="S",(第二季度!V6-第三季度!Q6+第一季度!U6-第二季度!Q6)*参数调整!$K$11/(第二季度!$O$17+第一季度!$N$19)-第二季度!AA44,IF(J32="B",(第二季度!V6-第三季度!Q6+第一季度!U6-第二季度!Q6)*参数调整!$K$12/(第一季度!$N$20+第二季度!$O$18)-第二季度!AA44,IF(第三季度!J32="Q",(第二季度!V6-第三季度!Q6+第一季度!U6-第二季度!Q6)*参数调整!$K$13/(第一季度!$N$21+第二季度!$O$19)-第二季度!AA44,IF(第一季度!S25=0,(第二季度!V6-第三季度!Q6)*参数调整!$K$14/第二季度!$O$20-参数调整!$K$14/(第二季度!$G$30+第二季度!$G$31),(第二季度!V6-第三季度!Q6+第一季度!U6-第二季度!Q6)*参数调整!$K$14/(第二季度!$O$20+第一季度!$N$22)-第二季度!AA44))))</f>
        <v>0.46079828937990025</v>
      </c>
      <c r="T32" s="79">
        <v>0.36</v>
      </c>
      <c r="U32" s="78">
        <f t="shared" si="10"/>
        <v>1.7674649560465672</v>
      </c>
      <c r="V32" s="78">
        <f>IF(J32="S",Z6*参数调整!$H$11/($X$29*$J$18),IF(第三季度!J32="B",第三季度!Z6*参数调整!$H$12/(第三季度!$X$30*第三季度!$J$18),IF(第三季度!J32="Q",第三季度!Z6*参数调整!$H$13/(第三季度!$X$31*第三季度!$J$18),第三季度!Z6*参数调整!$H$14/(第三季度!$X$32*第三季度!$J$18))))</f>
        <v>0</v>
      </c>
      <c r="W32" s="79">
        <v>1754.7037689393937</v>
      </c>
      <c r="X32" s="1">
        <f>W32+第二季度!U21*0.53653684+第一季度!T22*0.53653684*0.46055126</f>
        <v>3715.9085060606058</v>
      </c>
      <c r="Y32" s="78">
        <f t="shared" si="11"/>
        <v>1.7674649560465672</v>
      </c>
      <c r="Z32" s="98">
        <v>1312.3939807107267</v>
      </c>
      <c r="AI32" s="209"/>
      <c r="AJ32" s="183"/>
      <c r="AK32" s="200"/>
      <c r="AL32" s="217" t="s">
        <v>180</v>
      </c>
      <c r="AM32" s="215">
        <v>0</v>
      </c>
      <c r="AN32" s="182">
        <f>参数调整!F13*AM32*参数调整!$B$30</f>
        <v>0</v>
      </c>
      <c r="AO32" s="2"/>
      <c r="AP32" s="2"/>
    </row>
    <row r="33" spans="1:42">
      <c r="A33" s="78" t="s">
        <v>321</v>
      </c>
      <c r="B33" s="78" t="s">
        <v>193</v>
      </c>
      <c r="G33">
        <v>0.06</v>
      </c>
      <c r="J33" s="78" t="str">
        <f t="shared" si="9"/>
        <v>Q</v>
      </c>
      <c r="K33" s="78">
        <f>第二季度!V7-第三季度!Q7+第三季度!R7</f>
        <v>57</v>
      </c>
      <c r="L33" s="78"/>
      <c r="M33" s="78"/>
      <c r="N33" s="78"/>
      <c r="O33" s="78"/>
      <c r="P33" s="78"/>
      <c r="R33" s="78">
        <f>IF(J33="S",K33*100/(SUM(第二季度!$R$18:$T$18)-$Q$29),IF(第三季度!J33="B",第三季度!K33*100/(SUM(第二季度!$R$19:$T$19)-$Q$30),IF(第三季度!J33="Q",第三季度!K33*100/(SUM(第二季度!$R$20:$T$20)-$Q$31),IF(第一季度!$R$22=0,第三季度!K33*100/(SUM(第二季度!$R$21:$T$21)-$Q$32),第三季度!K33*100/(SUM(第二季度!$R$21:$T$21)-$Q$32)))))</f>
        <v>2.7941176470588234</v>
      </c>
      <c r="S33" s="1">
        <f>IF(J33="S",(第二季度!V7-第三季度!Q7+第一季度!U7-第二季度!Q7)*参数调整!$K$11/(第二季度!$O$17+第一季度!$N$19)-第二季度!AA45,IF(J33="B",(第二季度!V7-第三季度!Q7+第一季度!U7-第二季度!Q7)*参数调整!$K$12/(第一季度!$N$20+第二季度!$O$18)-第二季度!AA45,IF(第三季度!J33="Q",(第二季度!V7-第三季度!Q7+第一季度!U7-第二季度!Q7)*参数调整!$K$13/(第一季度!$N$21+第二季度!$O$19)-第二季度!AA45,IF(第一季度!S26=0,(第二季度!V7-第三季度!Q7)*参数调整!$K$14/第二季度!$O$20-参数调整!$K$14/(第二季度!$G$30+第二季度!$G$31),(第二季度!V7-第三季度!Q7+第一季度!U7-第二季度!Q7)*参数调整!$K$14/(第二季度!$O$20+第一季度!$N$22)-第二季度!AA45))))</f>
        <v>-0.46599124325425112</v>
      </c>
      <c r="T33" s="79">
        <v>0.27</v>
      </c>
      <c r="U33" s="78">
        <f t="shared" si="10"/>
        <v>2.0581264038045721</v>
      </c>
      <c r="V33" s="78">
        <f>IF(J33="S",Z7*参数调整!$H$11/($X$29*$J$18),IF(第三季度!J33="B",第三季度!Z7*参数调整!$H$12/(第三季度!$X$30*第三季度!$J$18),IF(第三季度!J33="Q",第三季度!Z7*参数调整!$H$13/(第三季度!$X$31*第三季度!$J$18),第三季度!Z7*参数调整!$H$14/(第三季度!$X$32*第三季度!$J$18))))</f>
        <v>0.31369003905266896</v>
      </c>
      <c r="W33" s="1"/>
      <c r="X33" s="1"/>
      <c r="Y33" s="78">
        <f t="shared" si="11"/>
        <v>2.371816442857241</v>
      </c>
      <c r="Z33" s="1"/>
      <c r="AI33" s="209"/>
      <c r="AJ33" s="183"/>
      <c r="AK33" s="200"/>
      <c r="AL33" s="218"/>
      <c r="AM33" s="216"/>
      <c r="AN33" s="184"/>
      <c r="AO33" s="2"/>
      <c r="AP33" s="2"/>
    </row>
    <row r="34" spans="1:42">
      <c r="A34" s="79">
        <v>0.14000000000000001</v>
      </c>
      <c r="B34" s="78">
        <f>((AB3*参数调整!H11/第三季度!A34)-第一季度!G21*第三季度!$J$18*0.536537*0.46055126-第二季度!K28*第三季度!$J$18*0.536537)/第三季度!$J$18</f>
        <v>18219.758889227593</v>
      </c>
      <c r="G34">
        <v>0.13</v>
      </c>
      <c r="J34" s="78" t="str">
        <f t="shared" si="9"/>
        <v>Q</v>
      </c>
      <c r="K34" s="78">
        <f>第二季度!V8-第三季度!Q8+第三季度!R8</f>
        <v>36</v>
      </c>
      <c r="L34" s="78"/>
      <c r="M34" s="78"/>
      <c r="N34" s="78"/>
      <c r="O34" s="78"/>
      <c r="P34" s="78"/>
      <c r="R34" s="78">
        <f>IF(J34="S",K34*100/(SUM(第二季度!$R$18:$T$18)-$Q$29),IF(第三季度!J34="B",第三季度!K34*100/(SUM(第二季度!$R$19:$T$19)-$Q$30),IF(第三季度!J34="Q",第三季度!K34*100/(SUM(第二季度!$R$20:$T$20)-$Q$31),IF(第一季度!$R$22=0,第三季度!K34*100/(SUM(第二季度!$R$21:$T$21)-$Q$32),第三季度!K34*100/(SUM(第二季度!$R$21:$T$21)-$Q$32)))))</f>
        <v>1.7647058823529411</v>
      </c>
      <c r="S34" s="1">
        <f>IF(J34="S",(第二季度!V8-第三季度!Q8+第一季度!U8-第二季度!Q8)*参数调整!$K$11/(第二季度!$O$17+第一季度!$N$19)-第二季度!AA46,IF(J34="B",(第二季度!V8-第三季度!Q8+第一季度!U8-第二季度!Q8)*参数调整!$K$12/(第一季度!$N$20+第二季度!$O$18)-第二季度!AA46,IF(第三季度!J34="Q",(第二季度!V8-第三季度!Q8+第一季度!U8-第二季度!Q8)*参数调整!$K$13/(第一季度!$N$21+第二季度!$O$19)-第二季度!AA46,IF(第一季度!S27=0,(第二季度!V8-第三季度!Q8)*参数调整!$K$14/第二季度!$O$20-参数调整!$K$14/(第二季度!$G$30+第二季度!$G$31),(第二季度!V8-第三季度!Q8+第一季度!U8-第二季度!Q8)*参数调整!$K$14/(第二季度!$O$20+第一季度!$N$22)-第二季度!AA46))))</f>
        <v>0.19244476122594439</v>
      </c>
      <c r="T34" s="79">
        <v>0.27</v>
      </c>
      <c r="U34" s="78">
        <f t="shared" si="10"/>
        <v>1.6871506435788854</v>
      </c>
      <c r="V34" s="78">
        <f>IF(J34="S",Z8*参数调整!$H$11/($X$29*$J$18),IF(第三季度!J34="B",第三季度!Z8*参数调整!$H$12/(第三季度!$X$30*第三季度!$J$18),IF(第三季度!J34="Q",第三季度!Z8*参数调整!$H$13/(第三季度!$X$31*第三季度!$J$18),第三季度!Z8*参数调整!$H$14/(第三季度!$X$32*第三季度!$J$18))))</f>
        <v>3.6452220063296278E-2</v>
      </c>
      <c r="W34" s="1"/>
      <c r="X34" s="1"/>
      <c r="Y34" s="78">
        <f t="shared" si="11"/>
        <v>1.7236028636421816</v>
      </c>
      <c r="Z34" s="1"/>
      <c r="AI34" s="209"/>
      <c r="AJ34" s="183"/>
      <c r="AK34" s="200"/>
      <c r="AL34" s="217" t="s">
        <v>195</v>
      </c>
      <c r="AM34" s="215">
        <v>0</v>
      </c>
      <c r="AN34" s="182">
        <f>参数调整!F14*AM34*参数调整!$B$30</f>
        <v>0</v>
      </c>
      <c r="AO34" s="2"/>
      <c r="AP34" s="2"/>
    </row>
    <row r="35" spans="1:42">
      <c r="A35" s="79">
        <v>0.41</v>
      </c>
      <c r="B35" s="78">
        <f>((AB4*参数调整!H12/第三季度!A35)-第一季度!G22*第三季度!$J$18*0.536537*0.46055126-第二季度!K29*第三季度!$J$18*0.536537)/第三季度!$J$18</f>
        <v>15950.249556850711</v>
      </c>
      <c r="G35">
        <v>0.11</v>
      </c>
      <c r="J35" s="78" t="str">
        <f t="shared" si="9"/>
        <v>L</v>
      </c>
      <c r="K35" s="78">
        <f>第二季度!V9-第三季度!Q9+第三季度!R9</f>
        <v>116</v>
      </c>
      <c r="L35" s="78"/>
      <c r="M35" s="78"/>
      <c r="N35" s="78"/>
      <c r="O35" s="78"/>
      <c r="P35" s="78"/>
      <c r="R35" s="78">
        <f>IF(J35="S",K35*100/(SUM(第二季度!$R$18:$T$18)-$Q$29),IF(第三季度!J35="B",第三季度!K35*100/(SUM(第二季度!$R$19:$T$19)-$Q$30),IF(第三季度!J35="Q",第三季度!K35*100/(SUM(第二季度!$R$20:$T$20)-$Q$31),IF(第一季度!$R$22=0,第三季度!K35*100/(SUM(第二季度!$R$21:$T$21)-$Q$32),第三季度!K35*100/(SUM(第二季度!$R$21:$T$21)-$Q$32)))))</f>
        <v>4.8739495798319323</v>
      </c>
      <c r="S35" s="1">
        <f>IF(J35="S",(第二季度!V9-第三季度!Q9+第一季度!U9-第二季度!Q9)*参数调整!$K$11/(第二季度!$O$17+第一季度!$N$19)-第二季度!AA47,IF(J35="B",(第二季度!V9-第三季度!Q9+第一季度!U9-第二季度!Q9)*参数调整!$K$12/(第一季度!$N$20+第二季度!$O$18)-第二季度!AA47,IF(第三季度!J35="Q",(第二季度!V9-第三季度!Q9+第一季度!U9-第二季度!Q9)*参数调整!$K$13/(第一季度!$N$21+第二季度!$O$19)-第二季度!AA47,IF(第一季度!S28=0,(第二季度!V9-第三季度!Q9)*参数调整!$K$14/第二季度!$O$20-参数调整!$K$14/(第二季度!$G$30+第二季度!$G$31),(第二季度!V9-第三季度!Q9+第一季度!U9-第二季度!Q9)*参数调整!$K$14/(第二季度!$O$20+第一季度!$N$22)-第二季度!AA47))))</f>
        <v>2.1654311353882183E-2</v>
      </c>
      <c r="T35" s="79">
        <v>0.15</v>
      </c>
      <c r="U35" s="78">
        <f t="shared" si="10"/>
        <v>4.745603891185814</v>
      </c>
      <c r="V35" s="78">
        <f>IF(J35="S",Z9*参数调整!$H$11/($X$29*$J$18),IF(第三季度!J35="B",第三季度!Z9*参数调整!$H$12/(第三季度!$X$30*第三季度!$J$18),IF(第三季度!J35="Q",第三季度!Z9*参数调整!$H$13/(第三季度!$X$31*第三季度!$J$18),第三季度!Z9*参数调整!$H$14/(第三季度!$X$32*第三季度!$J$18))))</f>
        <v>4.2467394631433557E-2</v>
      </c>
      <c r="W35" s="1"/>
      <c r="X35" s="1"/>
      <c r="Y35" s="78">
        <f t="shared" si="11"/>
        <v>4.7880712858172476</v>
      </c>
      <c r="Z35" s="1"/>
      <c r="AI35" s="209"/>
      <c r="AJ35" s="184"/>
      <c r="AK35" s="201"/>
      <c r="AL35" s="218"/>
      <c r="AM35" s="216"/>
      <c r="AN35" s="184"/>
      <c r="AO35" s="103" t="s">
        <v>261</v>
      </c>
      <c r="AP35" s="103" t="s">
        <v>262</v>
      </c>
    </row>
    <row r="36" spans="1:42">
      <c r="A36" s="79">
        <v>0.25</v>
      </c>
      <c r="B36" s="78">
        <f>((AB5*参数调整!H13/第三季度!A36)-第一季度!G23*第三季度!$J$18*0.536537*0.46055126-第二季度!K30*第三季度!$J$18*0.536537)/第三季度!$J$18</f>
        <v>9389.0264455439701</v>
      </c>
      <c r="D36" s="190" t="s">
        <v>311</v>
      </c>
      <c r="E36" s="204" t="s">
        <v>307</v>
      </c>
      <c r="G36">
        <v>0.34</v>
      </c>
      <c r="J36" s="78" t="str">
        <f t="shared" si="9"/>
        <v>L</v>
      </c>
      <c r="K36" s="78">
        <f>第二季度!V10-第三季度!Q10+第三季度!R10</f>
        <v>108</v>
      </c>
      <c r="L36" s="78"/>
      <c r="M36" s="78"/>
      <c r="N36" s="78"/>
      <c r="O36" s="78"/>
      <c r="P36" s="78"/>
      <c r="R36" s="78">
        <f>IF(J36="S",K36*100/(SUM(第二季度!$R$18:$T$18)-$Q$29),IF(第三季度!J36="B",第三季度!K36*100/(SUM(第二季度!$R$19:$T$19)-$Q$30),IF(第三季度!J36="Q",第三季度!K36*100/(SUM(第二季度!$R$20:$T$20)-$Q$31),IF(第一季度!$R$22=0,第三季度!K36*100/(SUM(第二季度!$R$21:$T$21)-$Q$32),第三季度!K36*100/(SUM(第二季度!$R$21:$T$21)-$Q$32)))))</f>
        <v>4.53781512605042</v>
      </c>
      <c r="S36" s="1">
        <f>IF(J36="S",(第二季度!V10-第三季度!Q10+第一季度!U10-第二季度!Q10)*参数调整!$K$11/(第二季度!$O$17+第一季度!$N$19)-第二季度!AA48,IF(J36="B",(第二季度!V10-第三季度!Q10+第一季度!U10-第二季度!Q10)*参数调整!$K$12/(第一季度!$N$20+第二季度!$O$18)-第二季度!AA48,IF(第三季度!J36="Q",(第二季度!V10-第三季度!Q10+第一季度!U10-第二季度!Q10)*参数调整!$K$13/(第一季度!$N$21+第二季度!$O$19)-第二季度!AA48,IF(第一季度!S29=0,(第二季度!V10-第三季度!Q10)*参数调整!$K$14/第二季度!$O$20-参数调整!$K$14/(第二季度!$G$30+第二季度!$G$31),(第二季度!V10-第三季度!Q10+第一季度!U10-第二季度!Q10)*参数调整!$K$14/(第二季度!$O$20+第一季度!$N$22)-第二季度!AA48))))</f>
        <v>4.4869293796332421E-3</v>
      </c>
      <c r="T36" s="79">
        <v>0.15</v>
      </c>
      <c r="U36" s="78">
        <f t="shared" si="10"/>
        <v>4.3923020554300525</v>
      </c>
      <c r="V36" s="78">
        <f>IF(J36="S",Z10*参数调整!$H$11/($X$29*$J$18),IF(第三季度!J36="B",第三季度!Z10*参数调整!$H$12/(第三季度!$X$30*第三季度!$J$18),IF(第三季度!J36="Q",第三季度!Z10*参数调整!$H$13/(第三季度!$X$31*第三季度!$J$18),第三季度!Z10*参数调整!$H$14/(第三季度!$X$32*第三季度!$J$18))))</f>
        <v>0.16986957852573423</v>
      </c>
      <c r="W36" s="1"/>
      <c r="X36" s="1"/>
      <c r="Y36" s="78">
        <f t="shared" si="11"/>
        <v>4.5621716339557867</v>
      </c>
      <c r="Z36" s="1"/>
      <c r="AI36" s="210"/>
      <c r="AJ36" s="179" t="s">
        <v>263</v>
      </c>
      <c r="AK36" s="180"/>
      <c r="AL36" s="180"/>
      <c r="AM36" s="181"/>
      <c r="AN36" s="106">
        <f>AN2-SUM(AN5:AN19)+SUM(AN20:AN26)-SUM(AN27:AN35)+AO36*(1-参数调整!B23)+AP36*(1-参数调整!B24)</f>
        <v>197806.17000000004</v>
      </c>
      <c r="AO36" s="79">
        <v>0</v>
      </c>
      <c r="AP36" s="79">
        <v>0</v>
      </c>
    </row>
    <row r="37" spans="1:42">
      <c r="A37" s="79">
        <v>0.19</v>
      </c>
      <c r="B37" s="78">
        <f>((AB6*参数调整!H14/第三季度!A37)-第一季度!G24*第三季度!$J$18*0.536537*0.46055126-第二季度!K31*第三季度!$J$18*0.536537)/第三季度!$J$18</f>
        <v>2411.7948025599121</v>
      </c>
      <c r="D37" s="190"/>
      <c r="E37" s="204"/>
      <c r="J37" s="78">
        <f t="shared" si="9"/>
        <v>0</v>
      </c>
      <c r="K37" s="78">
        <f>第二季度!V11-第三季度!Q11+第三季度!R11</f>
        <v>0</v>
      </c>
      <c r="L37" s="78"/>
      <c r="M37" s="78"/>
      <c r="N37" s="78"/>
      <c r="O37" s="78"/>
      <c r="P37" s="78"/>
      <c r="R37" s="78">
        <f>IF(J37="S",K37*100/(SUM(第二季度!$R$18:$T$18)-$Q$29),IF(第三季度!J37="B",第三季度!K37*100/(SUM(第二季度!$R$19:$T$19)-$Q$30),IF(第三季度!J37="Q",第三季度!K37*100/(SUM(第二季度!$R$20:$T$20)-$Q$31),IF(第一季度!$R$22=0,第三季度!K37*100/(SUM(第二季度!$R$21:$T$21)-$Q$32)))))</f>
        <v>0</v>
      </c>
      <c r="S37" s="1">
        <f>IF(J37="S",(第二季度!V11-第三季度!Q11+第一季度!U11-第二季度!Q11)*参数调整!$K$11/(第二季度!$O$17+第一季度!$N$19)-第二季度!AA49,IF(J37="B",(第二季度!V11-第三季度!Q11+第一季度!U11-第二季度!Q11)*参数调整!$K$12/(第一季度!$N$20+第二季度!$O$18)-第二季度!AA49,IF(第三季度!J37="Q",(第二季度!V11-第三季度!Q11+第一季度!U11-第二季度!Q11)*参数调整!$K$13/(第一季度!$N$21+第二季度!$O$19)-第二季度!AA49,IF(第一季度!S30=0,(第二季度!V11-第三季度!Q11)*参数调整!$K$14/第二季度!$O$20-参数调整!$K$14/(第二季度!$G$30+第二季度!$G$31),(第二季度!V11-第三季度!Q11+第一季度!U11-第二季度!Q11)*参数调整!$K$14/(第二季度!$O$20+第一季度!$N$22)-第二季度!AA49))))</f>
        <v>-0.22727272727272727</v>
      </c>
      <c r="T37" s="79">
        <v>0</v>
      </c>
      <c r="U37" s="78">
        <f t="shared" si="10"/>
        <v>-0.22727272727272727</v>
      </c>
      <c r="V37" s="78">
        <f>IF(J37="S",Z11*参数调整!$H$11/($X$29*$J$18),IF(第三季度!J37="B",第三季度!Z11*参数调整!$H$12/(第三季度!$X$30*第三季度!$J$18),IF(第三季度!J37="Q",第三季度!Z11*参数调整!$H$13/(第三季度!$X$31*第三季度!$J$18),第三季度!Z11*参数调整!$H$14/(第三季度!$X$32*第三季度!$J$18))))</f>
        <v>0</v>
      </c>
      <c r="Y37" s="78">
        <f t="shared" si="11"/>
        <v>-0.22727272727272727</v>
      </c>
      <c r="AI37" s="205" t="s">
        <v>339</v>
      </c>
      <c r="AJ37" s="179" t="s">
        <v>265</v>
      </c>
      <c r="AK37" s="180"/>
      <c r="AL37" s="180"/>
      <c r="AM37" s="181"/>
      <c r="AN37" s="80">
        <f>AO3-AO36</f>
        <v>129121.2</v>
      </c>
      <c r="AO37" s="2"/>
      <c r="AP37" s="2"/>
    </row>
    <row r="38" spans="1:42">
      <c r="D38" s="2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38</v>
      </c>
      <c r="E38" s="2">
        <f>第二季度!G3+第二季度!H3+第二季度!E38-第二季度!B3</f>
        <v>0</v>
      </c>
      <c r="J38" s="78">
        <f t="shared" si="9"/>
        <v>0</v>
      </c>
      <c r="K38" s="78">
        <f>第二季度!V12-第三季度!Q12+第三季度!R12</f>
        <v>0</v>
      </c>
      <c r="L38" s="78"/>
      <c r="M38" s="78"/>
      <c r="N38" s="78"/>
      <c r="O38" s="78"/>
      <c r="P38" s="78"/>
      <c r="R38" s="78">
        <f>IF(J38="S",K38*100/(SUM(第二季度!$R$18:$T$18)-$Q$29),IF(第三季度!J38="B",第三季度!K38*100/(SUM(第二季度!$R$19:$T$19)-$Q$30),IF(第三季度!J38="Q",第三季度!K38*100/(SUM(第二季度!$R$20:$T$20)-$Q$31),IF(第一季度!$R$22=0,第三季度!K38*100/(SUM(第二季度!$R$21:$T$21)-$Q$32)))))</f>
        <v>0</v>
      </c>
      <c r="S38" s="1">
        <f>IF(J38="S",(第二季度!V12-第三季度!Q12+第一季度!U12-第二季度!Q12)*参数调整!$K$11/(第二季度!$O$17+第一季度!$N$19)-第二季度!AA50,IF(J38="B",(第二季度!V12-第三季度!Q12+第一季度!U12-第二季度!Q12)*参数调整!$K$12/(第一季度!$N$20+第二季度!$O$18)-第二季度!AA50,IF(第三季度!J38="Q",(第二季度!V12-第三季度!Q12+第一季度!U12-第二季度!Q12)*参数调整!$K$13/(第一季度!$N$21+第二季度!$O$19)-第二季度!AA50,IF(第一季度!S31=0,(第二季度!V12-第三季度!Q12)*参数调整!$K$14/第二季度!$O$20-参数调整!$K$14/(第二季度!$G$30+第二季度!$G$31),(第二季度!V12-第三季度!Q12+第一季度!U12-第二季度!Q12)*参数调整!$K$14/(第二季度!$O$20+第一季度!$N$22)-第二季度!AA50))))</f>
        <v>-0.22727272727272727</v>
      </c>
      <c r="T38" s="79">
        <v>0</v>
      </c>
      <c r="U38" s="78">
        <f t="shared" si="10"/>
        <v>-0.22727272727272727</v>
      </c>
      <c r="V38" s="78">
        <f>IF(J38="S",Z12*参数调整!$H$11/($X$29*$J$18),IF(第三季度!J38="B",第三季度!Z12*参数调整!$H$12/(第三季度!$X$30*第三季度!$J$18),IF(第三季度!J38="Q",第三季度!Z12*参数调整!$H$13/(第三季度!$X$31*第三季度!$J$18),第三季度!Z12*参数调整!$H$14/(第三季度!$X$32*第三季度!$J$18))))</f>
        <v>0</v>
      </c>
      <c r="Y38" s="78">
        <f t="shared" si="11"/>
        <v>-0.22727272727272727</v>
      </c>
      <c r="AI38" s="206"/>
      <c r="AJ38" s="179" t="s">
        <v>266</v>
      </c>
      <c r="AK38" s="180"/>
      <c r="AL38" s="180"/>
      <c r="AM38" s="181"/>
      <c r="AN38" s="80">
        <f>(G3*D3*E3+G4*D4*E4+G5*D5*1.5*E5+G6*D6*E6+G7*E7*D7+G8*E8*D8+G9*E9*D9+G10*E10*D10+G11*E11*D11+G12*E12*D12+G13*E13*D13*1.5+G14*E14*D14*1.5+G15*E15*D15*1.5+G16*E16*D16*1.5)*(1+参数调整!B6)</f>
        <v>70344.377999999982</v>
      </c>
      <c r="AO38" s="2"/>
      <c r="AP38" s="2"/>
    </row>
    <row r="39" spans="1:42">
      <c r="D39" s="2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75</v>
      </c>
      <c r="E39" s="2">
        <f>第二季度!G4+第二季度!H4+第二季度!E39-第二季度!B4</f>
        <v>0</v>
      </c>
      <c r="J39" s="78">
        <f t="shared" si="9"/>
        <v>0</v>
      </c>
      <c r="K39" s="78">
        <f>第二季度!V13-第三季度!Q13+第三季度!R13</f>
        <v>0</v>
      </c>
      <c r="L39" s="78"/>
      <c r="M39" s="78"/>
      <c r="N39" s="78"/>
      <c r="O39" s="78"/>
      <c r="P39" s="78"/>
      <c r="R39" s="78">
        <f>IF(J39="S",K39*100/(SUM(第二季度!$R$18:$T$18)-$Q$29),IF(第三季度!J39="B",第三季度!K39*100/(SUM(第二季度!$R$19:$T$19)-$Q$30),IF(第三季度!J39="Q",第三季度!K39*100/(SUM(第二季度!$R$20:$T$20)-$Q$31),IF(第一季度!$R$22=0,第三季度!K39*100/(SUM(第二季度!$R$21:$T$21)-$Q$32)))))</f>
        <v>0</v>
      </c>
      <c r="S39" s="1">
        <f>IF(J39="S",(第二季度!V13-第三季度!Q13+第一季度!U13-第二季度!Q13)*参数调整!$K$11/(第二季度!$O$17+第一季度!$N$19)-第二季度!AA51,IF(J39="B",(第二季度!V13-第三季度!Q13+第一季度!U13-第二季度!Q13)*参数调整!$K$12/(第一季度!$N$20+第二季度!$O$18)-第二季度!AA51,IF(第三季度!J39="Q",(第二季度!V13-第三季度!Q13+第一季度!U13-第二季度!Q13)*参数调整!$K$13/(第一季度!$N$21+第二季度!$O$19)-第二季度!AA51,IF(第一季度!S32=0,(第二季度!V13-第三季度!Q13)*参数调整!$K$14/第二季度!$O$20-参数调整!$K$14/(第二季度!$G$30+第二季度!$G$31),(第二季度!V13-第三季度!Q13+第一季度!U13-第二季度!Q13)*参数调整!$K$14/(第二季度!$O$20+第一季度!$N$22)-第二季度!AA51))))</f>
        <v>-0.22727272727272727</v>
      </c>
      <c r="T39" s="79">
        <v>0</v>
      </c>
      <c r="U39" s="78">
        <f t="shared" si="10"/>
        <v>-0.22727272727272727</v>
      </c>
      <c r="V39" s="78">
        <f>IF(J39="S",Z13*参数调整!$H$11/($X$29*$J$18),IF(第三季度!J39="B",第三季度!Z13*参数调整!$H$12/(第三季度!$X$30*第三季度!$J$18),IF(第三季度!J39="Q",第三季度!Z13*参数调整!$H$13/(第三季度!$X$31*第三季度!$J$18),第三季度!Z13*参数调整!$H$14/(第三季度!$X$32*第三季度!$J$18))))</f>
        <v>0</v>
      </c>
      <c r="Y39" s="78">
        <f t="shared" si="11"/>
        <v>-0.22727272727272727</v>
      </c>
      <c r="AI39" s="206"/>
      <c r="AJ39" s="179" t="s">
        <v>267</v>
      </c>
      <c r="AK39" s="180"/>
      <c r="AL39" s="180"/>
      <c r="AM39" s="181"/>
      <c r="AN39" s="80">
        <f>H5*D40*(1+参数调整!B6)+H13*D48*(1+参数调整!B6)+H14*D49*(1+参数调整!B6)+H15*D50*(1+参数调整!B6)+H16*D51*(1+参数调整!B6)</f>
        <v>92645.747999999992</v>
      </c>
      <c r="AO39" s="2"/>
      <c r="AP39" s="2"/>
    </row>
    <row r="40" spans="1:42">
      <c r="D40" s="2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100.69999999999999</v>
      </c>
      <c r="E40" s="2">
        <f>第二季度!G5+第二季度!H5+第二季度!E40-第二季度!B5</f>
        <v>120</v>
      </c>
      <c r="J40" s="78">
        <f t="shared" si="9"/>
        <v>0</v>
      </c>
      <c r="K40" s="78">
        <f>第二季度!V14-第三季度!Q14+第三季度!R14</f>
        <v>0</v>
      </c>
      <c r="L40" s="78"/>
      <c r="M40" s="78"/>
      <c r="N40" s="78"/>
      <c r="O40" s="78"/>
      <c r="P40" s="78"/>
      <c r="R40" s="78">
        <f>IF(J40="S",K40*100/(SUM(第二季度!$R$18:$T$18)-$Q$29),IF(第三季度!J40="B",第三季度!K40*100/(SUM(第二季度!$R$19:$T$19)-$Q$30),IF(第三季度!J40="Q",第三季度!K40*100/(SUM(第二季度!$R$20:$T$20)-$Q$31),IF(第一季度!$R$22=0,第三季度!K40*100/(SUM(第二季度!$R$21:$T$21)-$Q$32)))))</f>
        <v>0</v>
      </c>
      <c r="S40" s="1">
        <f>IF(J40="S",(第二季度!V14-第三季度!Q14+第一季度!U14-第二季度!Q14)*参数调整!$K$11/(第二季度!$O$17+第一季度!$N$19)-第二季度!AA52,IF(J40="B",(第二季度!V14-第三季度!Q14+第一季度!U14-第二季度!Q14)*参数调整!$K$12/(第一季度!$N$20+第二季度!$O$18)-第二季度!AA52,IF(第三季度!J40="Q",(第二季度!V14-第三季度!Q14+第一季度!U14-第二季度!Q14)*参数调整!$K$13/(第一季度!$N$21+第二季度!$O$19)-第二季度!AA52,IF(第一季度!S33=0,(第二季度!V14-第三季度!Q14)*参数调整!$K$14/第二季度!$O$20-参数调整!$K$14/(第二季度!$G$30+第二季度!$G$31),(第二季度!V14-第三季度!Q14+第一季度!U14-第二季度!Q14)*参数调整!$K$14/(第二季度!$O$20+第一季度!$N$22)-第二季度!AA52))))</f>
        <v>-0.22727272727272727</v>
      </c>
      <c r="T40" s="79">
        <v>0</v>
      </c>
      <c r="U40" s="78">
        <f t="shared" si="10"/>
        <v>-0.22727272727272727</v>
      </c>
      <c r="V40" s="78">
        <f>IF(J40="S",Z14*参数调整!$H$11/($X$29*$J$18),IF(第三季度!J40="B",第三季度!Z14*参数调整!$H$12/(第三季度!$X$30*第三季度!$J$18),IF(第三季度!J40="Q",第三季度!Z14*参数调整!$H$13/(第三季度!$X$31*第三季度!$J$18),第三季度!Z14*参数调整!$H$14/(第三季度!$X$32*第三季度!$J$18))))</f>
        <v>0</v>
      </c>
      <c r="Y40" s="78">
        <f t="shared" si="11"/>
        <v>-0.22727272727272727</v>
      </c>
      <c r="AI40" s="206"/>
      <c r="AJ40" s="179" t="s">
        <v>268</v>
      </c>
      <c r="AK40" s="180"/>
      <c r="AL40" s="180"/>
      <c r="AM40" s="181"/>
      <c r="AN40" s="80">
        <v>10000</v>
      </c>
      <c r="AO40" s="2"/>
      <c r="AP40" s="2"/>
    </row>
    <row r="41" spans="1:42">
      <c r="A41" s="78" t="s">
        <v>309</v>
      </c>
      <c r="B41" s="1"/>
      <c r="C41" s="1"/>
      <c r="D41" s="2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14</v>
      </c>
      <c r="E41" s="2">
        <f>第二季度!G6+第二季度!H6+第二季度!E41-第二季度!B6</f>
        <v>0</v>
      </c>
      <c r="AI41" s="206"/>
      <c r="AJ41" s="179" t="s">
        <v>269</v>
      </c>
      <c r="AK41" s="180"/>
      <c r="AL41" s="180"/>
      <c r="AM41" s="181"/>
      <c r="AN41" s="80">
        <f>(AN2+AO3+AP3-AK2)*参数调整!B6/(1+参数调整!B6)-(F3+F4+F5*1.5+F6+F7+F8+F9+F10+F11+F12+F13*1.5+F14*1.5+F15*1.5+F16*1.5+第二季度!AN39)/(1+参数调整!B6)*参数调整!B6</f>
        <v>72162.246000000014</v>
      </c>
      <c r="AO41" s="2"/>
      <c r="AP41" s="2"/>
    </row>
    <row r="42" spans="1:42">
      <c r="A42" s="162">
        <f t="shared" ref="A42:A53" si="12">ROUNDUP(IF(J3="S",W3*$R$18/SUM($R$18:$V$18),IF(J3="B",W3*$R$19/SUM($R$19:$V$19),IF(J3="Q",W3*$R$20/SUM($R$20:$V$20),W3*$R$21/SUM($R$21:$V$21)))),1)</f>
        <v>13.1</v>
      </c>
      <c r="B42" s="165">
        <f t="shared" ref="B42:B53" si="13">ROUNDUP(IF(J3="S",W3*$S$18/SUM($R$18:$V$18),IF(J3="B",W3*$S$19/SUM($R$19:$V$19),IF(J3="Q",W3*$S$20/SUM($R$20:$V$20),W3*$S$21/SUM($R$21:$V$21)))),1)</f>
        <v>11.1</v>
      </c>
      <c r="C42" s="165"/>
      <c r="D42" s="117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22</v>
      </c>
      <c r="E42" s="117">
        <f>第二季度!G7+第二季度!H7+第二季度!E42-第二季度!B7</f>
        <v>0</v>
      </c>
      <c r="F42" s="165"/>
      <c r="G42" s="165">
        <f t="shared" ref="G42:G53" si="14">ROUNDUP(IF(J3="S",W3*$T$18/SUM($R$18:$V$18),IF(J3="B",W3*$T$19/SUM($R$19:$V$19),IF(J3="Q",W3*$T$20/SUM($R$20:$V$20),W3*$T$21/SUM($R$21:$V$21)))),1)</f>
        <v>11.1</v>
      </c>
      <c r="H42" s="162">
        <f t="shared" ref="H42:H53" si="15">ROUNDUP(IF(J3="S",W3*$U$18/SUM($R$18:$V$18),IF(J3="B",W3*$U$19/SUM($R$19:$V$19),IF(J3="Q",W3*$U$20/SUM($R$20:$V$20),W3*$U$21/SUM($R$21:$V$21)))),1)</f>
        <v>12.4</v>
      </c>
      <c r="I42" s="165">
        <f t="shared" ref="I42:I53" si="16">ROUNDUP(IF(J3="S",W3*$V$18/SUM($R$18:$V$18),IF(J3="B",W3*$V$19/SUM($R$19:$V$19),IF(J3="Q",W3*$V$20/SUM($R$20:$V$20),W3*$V$21/SUM($R$21:$V$21)))),1)</f>
        <v>14.6</v>
      </c>
      <c r="J42" s="114">
        <f t="shared" ref="J42:J53" si="17">W3-TRUNC(A42)-TRUNC(B42)-TRUNC(G42)-TRUNC(H42)-TRUNC(I42)</f>
        <v>1</v>
      </c>
      <c r="AI42" s="206"/>
      <c r="AJ42" s="179" t="s">
        <v>270</v>
      </c>
      <c r="AK42" s="180"/>
      <c r="AL42" s="180"/>
      <c r="AM42" s="181"/>
      <c r="AN42" s="80">
        <f>AN41*(参数调整!$B$7+参数调整!$B$8+参数调整!$B$9)</f>
        <v>8659.4695200000024</v>
      </c>
      <c r="AO42" s="2"/>
      <c r="AP42" s="2"/>
    </row>
    <row r="43" spans="1:42">
      <c r="A43" s="162">
        <f t="shared" si="12"/>
        <v>12.9</v>
      </c>
      <c r="B43" s="165">
        <f t="shared" si="13"/>
        <v>10.9</v>
      </c>
      <c r="C43" s="165"/>
      <c r="D43" s="117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32</v>
      </c>
      <c r="E43" s="117">
        <f>第二季度!G8+第二季度!H8+第二季度!E43-第二季度!B8</f>
        <v>0</v>
      </c>
      <c r="F43" s="165"/>
      <c r="G43" s="165">
        <f t="shared" si="14"/>
        <v>10.9</v>
      </c>
      <c r="H43" s="165">
        <f t="shared" si="15"/>
        <v>12.2</v>
      </c>
      <c r="I43" s="165">
        <f t="shared" si="16"/>
        <v>14.4</v>
      </c>
      <c r="J43" s="114">
        <f t="shared" si="17"/>
        <v>3</v>
      </c>
      <c r="AI43" s="206"/>
      <c r="AJ43" s="179" t="s">
        <v>271</v>
      </c>
      <c r="AK43" s="180"/>
      <c r="AL43" s="180"/>
      <c r="AM43" s="181"/>
      <c r="AN43" s="80">
        <v>25812.720000000001</v>
      </c>
      <c r="AO43" s="2"/>
      <c r="AP43" s="2"/>
    </row>
    <row r="44" spans="1:42">
      <c r="A44" s="162">
        <f t="shared" si="12"/>
        <v>14.299999999999999</v>
      </c>
      <c r="B44" s="162">
        <f t="shared" si="13"/>
        <v>13.5</v>
      </c>
      <c r="C44" s="165"/>
      <c r="D44" s="117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53</v>
      </c>
      <c r="E44" s="117">
        <f>第二季度!G9+第二季度!H9+第二季度!E44-第二季度!B9</f>
        <v>0</v>
      </c>
      <c r="F44" s="165"/>
      <c r="G44" s="165">
        <f t="shared" si="14"/>
        <v>17</v>
      </c>
      <c r="H44" s="165">
        <f t="shared" si="15"/>
        <v>14.799999999999999</v>
      </c>
      <c r="I44" s="165">
        <f t="shared" si="16"/>
        <v>15.7</v>
      </c>
      <c r="J44" s="114">
        <f t="shared" si="17"/>
        <v>2</v>
      </c>
      <c r="AI44" s="207"/>
      <c r="AJ44" s="179" t="s">
        <v>263</v>
      </c>
      <c r="AK44" s="180"/>
      <c r="AL44" s="180"/>
      <c r="AM44" s="181"/>
      <c r="AN44" s="106">
        <f>AN36+AN37-SUM(AN38:AN43)</f>
        <v>47302.808480000065</v>
      </c>
      <c r="AO44" s="2"/>
      <c r="AP44" s="2"/>
    </row>
    <row r="45" spans="1:42">
      <c r="A45" s="162">
        <f t="shared" si="12"/>
        <v>12.9</v>
      </c>
      <c r="B45" s="165">
        <f t="shared" si="13"/>
        <v>12.1</v>
      </c>
      <c r="C45" s="165"/>
      <c r="D45" s="117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73</v>
      </c>
      <c r="E45" s="117">
        <f>第二季度!G10+第二季度!H10+第二季度!E45-第二季度!B10</f>
        <v>0</v>
      </c>
      <c r="F45" s="165"/>
      <c r="G45" s="165">
        <f t="shared" si="14"/>
        <v>12.1</v>
      </c>
      <c r="H45" s="165">
        <f t="shared" si="15"/>
        <v>17.3</v>
      </c>
      <c r="I45" s="165">
        <f t="shared" si="16"/>
        <v>13.799999999999999</v>
      </c>
      <c r="J45" s="114">
        <f t="shared" si="17"/>
        <v>2</v>
      </c>
    </row>
    <row r="46" spans="1:42">
      <c r="A46" s="162">
        <f t="shared" si="12"/>
        <v>15.7</v>
      </c>
      <c r="B46" s="162">
        <f t="shared" si="13"/>
        <v>14.799999999999999</v>
      </c>
      <c r="C46" s="165"/>
      <c r="D46" s="117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115</v>
      </c>
      <c r="E46" s="117">
        <f>第二季度!G11+第二季度!H11+第二季度!E46-第二季度!B11</f>
        <v>0</v>
      </c>
      <c r="F46" s="165"/>
      <c r="G46" s="162">
        <f t="shared" si="14"/>
        <v>14.799999999999999</v>
      </c>
      <c r="H46" s="165">
        <f t="shared" si="15"/>
        <v>21.1</v>
      </c>
      <c r="I46" s="165">
        <f t="shared" si="16"/>
        <v>16.900000000000002</v>
      </c>
      <c r="J46" s="114">
        <f t="shared" si="17"/>
        <v>3</v>
      </c>
    </row>
    <row r="47" spans="1:42">
      <c r="A47" s="162">
        <f t="shared" si="12"/>
        <v>13.5</v>
      </c>
      <c r="B47" s="162">
        <f t="shared" si="13"/>
        <v>12.6</v>
      </c>
      <c r="C47" s="165"/>
      <c r="D47" s="117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117">
        <f>第二季度!G12+第二季度!H12+第二季度!E47-第二季度!B12</f>
        <v>0</v>
      </c>
      <c r="F47" s="165"/>
      <c r="G47" s="162">
        <f t="shared" si="14"/>
        <v>12.6</v>
      </c>
      <c r="H47" s="165">
        <f t="shared" si="15"/>
        <v>18</v>
      </c>
      <c r="I47" s="165">
        <f t="shared" si="16"/>
        <v>14.4</v>
      </c>
      <c r="J47" s="114">
        <f t="shared" si="17"/>
        <v>2</v>
      </c>
    </row>
    <row r="48" spans="1:42">
      <c r="A48" s="162">
        <f t="shared" si="12"/>
        <v>16.200000000000003</v>
      </c>
      <c r="B48" s="162">
        <f t="shared" si="13"/>
        <v>17</v>
      </c>
      <c r="C48" s="165"/>
      <c r="D48" s="117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43.699999999999996</v>
      </c>
      <c r="E48" s="117">
        <f>第二季度!G13+第二季度!H13+第二季度!E48-第二季度!B13</f>
        <v>263</v>
      </c>
      <c r="F48" s="165"/>
      <c r="G48" s="162">
        <f t="shared" si="14"/>
        <v>15.1</v>
      </c>
      <c r="H48" s="162">
        <f t="shared" si="15"/>
        <v>17</v>
      </c>
      <c r="I48" s="165">
        <f t="shared" si="16"/>
        <v>17</v>
      </c>
      <c r="J48" s="114">
        <f t="shared" si="17"/>
        <v>0</v>
      </c>
    </row>
    <row r="49" spans="1:10">
      <c r="A49" s="162">
        <f t="shared" si="12"/>
        <v>33.700000000000003</v>
      </c>
      <c r="B49" s="162">
        <f t="shared" si="13"/>
        <v>35.4</v>
      </c>
      <c r="C49" s="165"/>
      <c r="D49" s="117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50</v>
      </c>
      <c r="E49" s="117">
        <f>第二季度!G14+第二季度!H14+第二季度!E49-第二季度!B14</f>
        <v>0</v>
      </c>
      <c r="F49" s="165"/>
      <c r="G49" s="162">
        <f t="shared" si="14"/>
        <v>31.400000000000002</v>
      </c>
      <c r="H49" s="162">
        <f t="shared" si="15"/>
        <v>35.4</v>
      </c>
      <c r="I49" s="165">
        <f t="shared" si="16"/>
        <v>35.4</v>
      </c>
      <c r="J49" s="114">
        <f t="shared" si="17"/>
        <v>2</v>
      </c>
    </row>
    <row r="50" spans="1:10">
      <c r="A50" s="165">
        <f t="shared" si="12"/>
        <v>0</v>
      </c>
      <c r="B50" s="165">
        <f t="shared" si="13"/>
        <v>0</v>
      </c>
      <c r="C50" s="165"/>
      <c r="D50" s="117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74.099999999999994</v>
      </c>
      <c r="E50" s="117">
        <f>第二季度!G15+第二季度!H15+第二季度!E50-第二季度!B15</f>
        <v>210</v>
      </c>
      <c r="F50" s="165"/>
      <c r="G50" s="165">
        <f t="shared" si="14"/>
        <v>0</v>
      </c>
      <c r="H50" s="165">
        <f t="shared" si="15"/>
        <v>0</v>
      </c>
      <c r="I50" s="165">
        <f t="shared" si="16"/>
        <v>0</v>
      </c>
      <c r="J50" s="114">
        <f t="shared" si="17"/>
        <v>0</v>
      </c>
    </row>
    <row r="51" spans="1:10">
      <c r="A51" s="100">
        <f t="shared" si="12"/>
        <v>0</v>
      </c>
      <c r="B51" s="100">
        <f t="shared" si="13"/>
        <v>0</v>
      </c>
      <c r="C51" s="100"/>
      <c r="D51" s="2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83</v>
      </c>
      <c r="E51" s="2">
        <f>第二季度!G16+第二季度!H16+第二季度!E51-第二季度!B16</f>
        <v>0</v>
      </c>
      <c r="F51" s="100"/>
      <c r="G51" s="100">
        <f t="shared" si="14"/>
        <v>0</v>
      </c>
      <c r="H51" s="100">
        <f t="shared" si="15"/>
        <v>0</v>
      </c>
      <c r="I51" s="100">
        <f t="shared" si="16"/>
        <v>0</v>
      </c>
      <c r="J51" s="114">
        <f t="shared" si="17"/>
        <v>0</v>
      </c>
    </row>
    <row r="52" spans="1:10">
      <c r="A52" s="100">
        <f t="shared" si="12"/>
        <v>0</v>
      </c>
      <c r="B52" s="100">
        <f t="shared" si="13"/>
        <v>0</v>
      </c>
      <c r="C52" s="100"/>
      <c r="F52" s="100"/>
      <c r="G52" s="100">
        <f t="shared" si="14"/>
        <v>0</v>
      </c>
      <c r="H52" s="100">
        <f t="shared" si="15"/>
        <v>0</v>
      </c>
      <c r="I52" s="100">
        <f t="shared" si="16"/>
        <v>0</v>
      </c>
      <c r="J52" s="114">
        <f t="shared" si="17"/>
        <v>0</v>
      </c>
    </row>
    <row r="53" spans="1:10">
      <c r="A53" s="100">
        <f t="shared" si="12"/>
        <v>0</v>
      </c>
      <c r="B53" s="100">
        <f t="shared" si="13"/>
        <v>0</v>
      </c>
      <c r="C53" s="100"/>
      <c r="F53" s="100"/>
      <c r="G53" s="100">
        <f t="shared" si="14"/>
        <v>0</v>
      </c>
      <c r="H53" s="100">
        <f t="shared" si="15"/>
        <v>0</v>
      </c>
      <c r="I53" s="100">
        <f t="shared" si="16"/>
        <v>0</v>
      </c>
      <c r="J53" s="114">
        <f t="shared" si="17"/>
        <v>0</v>
      </c>
    </row>
  </sheetData>
  <mergeCells count="74">
    <mergeCell ref="AN30:AN31"/>
    <mergeCell ref="AL32:AL33"/>
    <mergeCell ref="AM32:AM33"/>
    <mergeCell ref="AN32:AN33"/>
    <mergeCell ref="AL34:AL35"/>
    <mergeCell ref="AM34:AM35"/>
    <mergeCell ref="AN34:AN35"/>
    <mergeCell ref="AO4:AP4"/>
    <mergeCell ref="AO5:AP6"/>
    <mergeCell ref="AL28:AL29"/>
    <mergeCell ref="AM28:AM29"/>
    <mergeCell ref="AN28:AN29"/>
    <mergeCell ref="A18:B18"/>
    <mergeCell ref="Q22:Q25"/>
    <mergeCell ref="B1:B2"/>
    <mergeCell ref="C1:C2"/>
    <mergeCell ref="D1:D2"/>
    <mergeCell ref="E1:E2"/>
    <mergeCell ref="G1:G2"/>
    <mergeCell ref="H1:H2"/>
    <mergeCell ref="J17:K17"/>
    <mergeCell ref="J18:K20"/>
    <mergeCell ref="J21:K21"/>
    <mergeCell ref="J22:K24"/>
    <mergeCell ref="D36:D37"/>
    <mergeCell ref="E36:E37"/>
    <mergeCell ref="AD27:AF27"/>
    <mergeCell ref="AD28:AF28"/>
    <mergeCell ref="AD29:AF29"/>
    <mergeCell ref="AL2:AM3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27:AL27"/>
    <mergeCell ref="AI2:AJ3"/>
    <mergeCell ref="AK2:AK3"/>
    <mergeCell ref="AJ18:AK19"/>
    <mergeCell ref="AJ20:AK23"/>
    <mergeCell ref="AJ24:AK26"/>
    <mergeCell ref="AJ41:AM41"/>
    <mergeCell ref="AD26:AF26"/>
    <mergeCell ref="AD30:AF30"/>
    <mergeCell ref="AJ43:AM43"/>
    <mergeCell ref="AJ44:AM44"/>
    <mergeCell ref="AJ36:AM36"/>
    <mergeCell ref="AI37:AI44"/>
    <mergeCell ref="AJ42:AM42"/>
    <mergeCell ref="AJ37:AM37"/>
    <mergeCell ref="AJ38:AM38"/>
    <mergeCell ref="AJ39:AM39"/>
    <mergeCell ref="AJ40:AM40"/>
    <mergeCell ref="AL30:AL31"/>
    <mergeCell ref="AM30:AM31"/>
    <mergeCell ref="AD2:AG2"/>
    <mergeCell ref="AD3:AF3"/>
    <mergeCell ref="AD5:AD7"/>
    <mergeCell ref="AD8:AD10"/>
    <mergeCell ref="AG8:AG10"/>
    <mergeCell ref="AD4:AF4"/>
    <mergeCell ref="AD11:AD14"/>
    <mergeCell ref="AD15:AE15"/>
    <mergeCell ref="AD17:AD22"/>
    <mergeCell ref="AJ28:AJ35"/>
    <mergeCell ref="AK28:AK35"/>
    <mergeCell ref="AD16:AE16"/>
    <mergeCell ref="AD24:AE24"/>
    <mergeCell ref="AD25:AE25"/>
    <mergeCell ref="AD23:AE23"/>
  </mergeCells>
  <phoneticPr fontId="1" type="noConversion"/>
  <dataValidations count="4">
    <dataValidation type="list" allowBlank="1" showInputMessage="1" showErrorMessage="1" sqref="AE11:AE14" xr:uid="{89EF8099-98E1-496F-9594-99EFBAE920A0}">
      <formula1>"手工线,半自动线,全自动线,柔性线"</formula1>
    </dataValidation>
    <dataValidation type="list" allowBlank="1" showInputMessage="1" showErrorMessage="1" sqref="AE5:AE7" xr:uid="{8778C42C-F6AC-4556-B0B2-B66F9C083A45}">
      <formula1>"购买小厂房,购买中厂房,购买大厂房"</formula1>
    </dataValidation>
    <dataValidation type="list" allowBlank="1" showInputMessage="1" showErrorMessage="1" sqref="AF17:AF23" xr:uid="{5015181A-BDA9-4764-8608-E83809D087F2}">
      <formula1>"1,0"</formula1>
    </dataValidation>
    <dataValidation type="list" allowBlank="1" showInputMessage="1" showErrorMessage="1" sqref="AE8:AE10" xr:uid="{D6A589F2-3BC8-43D7-9A79-6999A60629DE}">
      <formula1>"租用小厂房,租用中厂房,租用大厂房"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08B-8C86-48F0-BE57-431AB42CD155}">
  <dimension ref="A1:AP90"/>
  <sheetViews>
    <sheetView topLeftCell="A13" zoomScale="93" workbookViewId="0">
      <selection activeCell="AQ36" sqref="AQ36"/>
    </sheetView>
  </sheetViews>
  <sheetFormatPr defaultRowHeight="14.25"/>
  <cols>
    <col min="2" max="2" width="12.75" customWidth="1"/>
    <col min="3" max="3" width="8.875" hidden="1" customWidth="1"/>
    <col min="4" max="4" width="12.75" hidden="1" customWidth="1"/>
    <col min="5" max="5" width="16.875" hidden="1" customWidth="1"/>
    <col min="6" max="6" width="8.875" hidden="1" customWidth="1"/>
    <col min="10" max="10" width="9.5" bestFit="1" customWidth="1"/>
    <col min="12" max="16" width="0" hidden="1" customWidth="1"/>
    <col min="17" max="17" width="14.75" customWidth="1"/>
    <col min="18" max="18" width="14" customWidth="1"/>
    <col min="19" max="19" width="13.25" customWidth="1"/>
    <col min="20" max="20" width="12.5" customWidth="1"/>
    <col min="21" max="21" width="13" customWidth="1"/>
    <col min="22" max="22" width="11.5" customWidth="1"/>
    <col min="23" max="23" width="12.5" customWidth="1"/>
    <col min="24" max="24" width="14" customWidth="1"/>
    <col min="25" max="25" width="10.75" customWidth="1"/>
    <col min="26" max="26" width="14" customWidth="1"/>
    <col min="27" max="27" width="11.625" customWidth="1"/>
    <col min="31" max="31" width="16.5" customWidth="1"/>
    <col min="33" max="34" width="12.5" customWidth="1"/>
    <col min="37" max="37" width="14.75" customWidth="1"/>
    <col min="39" max="39" width="11.375" customWidth="1"/>
    <col min="40" max="40" width="12.5" customWidth="1"/>
    <col min="41" max="41" width="20" customWidth="1"/>
    <col min="42" max="42" width="18.625" customWidth="1"/>
  </cols>
  <sheetData>
    <row r="1" spans="1:42">
      <c r="A1" s="1"/>
      <c r="B1" s="182" t="s">
        <v>181</v>
      </c>
      <c r="C1" s="182" t="s">
        <v>182</v>
      </c>
      <c r="D1" s="190" t="s">
        <v>183</v>
      </c>
      <c r="E1" s="190" t="s">
        <v>184</v>
      </c>
      <c r="F1" s="1"/>
      <c r="G1" s="191" t="s">
        <v>185</v>
      </c>
      <c r="H1" s="190" t="s">
        <v>186</v>
      </c>
    </row>
    <row r="2" spans="1:42">
      <c r="A2" s="1"/>
      <c r="B2" s="188"/>
      <c r="C2" s="189"/>
      <c r="D2" s="190"/>
      <c r="E2" s="190"/>
      <c r="F2" s="1"/>
      <c r="G2" s="192"/>
      <c r="H2" s="190"/>
      <c r="J2" s="78" t="s">
        <v>167</v>
      </c>
      <c r="K2" s="78" t="s">
        <v>168</v>
      </c>
      <c r="L2" s="78"/>
      <c r="M2" s="78"/>
      <c r="N2" s="78"/>
      <c r="O2" s="78"/>
      <c r="P2" s="78"/>
      <c r="Q2" s="78" t="s">
        <v>274</v>
      </c>
      <c r="R2" s="78" t="s">
        <v>310</v>
      </c>
      <c r="S2" s="78" t="s">
        <v>169</v>
      </c>
      <c r="T2" s="78" t="s">
        <v>170</v>
      </c>
      <c r="U2" s="78" t="s">
        <v>171</v>
      </c>
      <c r="V2" s="78" t="s">
        <v>172</v>
      </c>
      <c r="W2" s="78" t="s">
        <v>173</v>
      </c>
      <c r="X2" s="78" t="s">
        <v>174</v>
      </c>
      <c r="Y2" s="78" t="s">
        <v>175</v>
      </c>
      <c r="Z2" s="78" t="s">
        <v>279</v>
      </c>
      <c r="AA2" s="78" t="s">
        <v>176</v>
      </c>
      <c r="AD2" s="197" t="s">
        <v>202</v>
      </c>
      <c r="AE2" s="197"/>
      <c r="AF2" s="197"/>
      <c r="AG2" s="197"/>
      <c r="AI2" s="211" t="s">
        <v>233</v>
      </c>
      <c r="AJ2" s="212"/>
      <c r="AK2" s="223">
        <v>7754.46</v>
      </c>
      <c r="AL2" s="211" t="s">
        <v>234</v>
      </c>
      <c r="AM2" s="212"/>
      <c r="AN2" s="223">
        <v>446720.91</v>
      </c>
      <c r="AO2" s="103" t="s">
        <v>235</v>
      </c>
      <c r="AP2" s="103" t="s">
        <v>236</v>
      </c>
    </row>
    <row r="3" spans="1:42" ht="26.25" thickBot="1">
      <c r="A3" s="85" t="s">
        <v>187</v>
      </c>
      <c r="B3" s="86">
        <f>SUMIF($L$3:$L$14,1,$S$3:$S$14)+SUMIF($L$3:$L$14,1,$T$3:$T$14)+SUMIF($L$3:$L$14,1,$U$3:$U$14)+SUMIF($L$3:$L$14,1,$V$3:$V$14)</f>
        <v>870</v>
      </c>
      <c r="C3" s="87">
        <f>参数调整!E45</f>
        <v>36</v>
      </c>
      <c r="D3" s="87">
        <f>IF(G3&lt;=INDEX(参数调整!$C$63:$D$68,1,1),C3,IF(G3&lt;=INDEX(参数调整!$C$63:$D$68,2,1),C3*INDEX(参数调整!$C$63:$D$68,2,2),IF(G3&lt;=INDEX(参数调整!$C$63:$D$68,3,1),C3*INDEX(参数调整!$C$63:$D$68,3,2),IF(G3&lt;=INDEX(参数调整!$C$63:$D$68,4,1),C3*INDEX(参数调整!$C$63:$D$68,4,2),IF(G3&lt;=INDEX(参数调整!$C$63:$D$68,5,1),C3*INDEX(参数调整!$C$63:$D$68,5,2),C3*INDEX(参数调整!$C$63:$D$68,6,2))))))</f>
        <v>32.4</v>
      </c>
      <c r="E3" s="87">
        <f>参数调整!G45</f>
        <v>1</v>
      </c>
      <c r="F3" s="1">
        <f>D3*G3*(参数调整!$B$6+1)</f>
        <v>32979.96</v>
      </c>
      <c r="G3" s="88">
        <f t="shared" ref="G3:G16" si="0">IF(B3-E38&lt;=0,0,B3-E38)</f>
        <v>870</v>
      </c>
      <c r="H3" s="89"/>
      <c r="I3">
        <v>3</v>
      </c>
      <c r="J3" s="79" t="str">
        <f>第一季度!J3</f>
        <v>S</v>
      </c>
      <c r="K3" s="79">
        <f>第一季度!K3</f>
        <v>122</v>
      </c>
      <c r="L3" s="80" t="str">
        <f>LEFT(K3,1)</f>
        <v>1</v>
      </c>
      <c r="M3" s="80" t="str">
        <f>MID(K3,2,1)</f>
        <v>2</v>
      </c>
      <c r="N3" s="80" t="str">
        <f>MID(K3,3,1)</f>
        <v>2</v>
      </c>
      <c r="O3" s="80" t="str">
        <f>MID(K3,4,1)</f>
        <v/>
      </c>
      <c r="P3" s="80" t="str">
        <f>MID(K3,5,1)</f>
        <v/>
      </c>
      <c r="Q3" s="79">
        <v>16</v>
      </c>
      <c r="R3" s="79">
        <v>0</v>
      </c>
      <c r="S3" s="79">
        <v>0</v>
      </c>
      <c r="T3" s="79">
        <v>0</v>
      </c>
      <c r="U3" s="79">
        <v>0</v>
      </c>
      <c r="V3" s="79">
        <v>70</v>
      </c>
      <c r="W3" s="81">
        <f>TRUNC(S3*参数调整!$I$30)+TRUNC(T3*参数调整!$H$30)+TRUNC(U3*参数调整!$G$30)+TRUNC(V3*参数调整!$F$30)+Q3</f>
        <v>79</v>
      </c>
      <c r="X3" s="81">
        <f>ROUNDUP(SUM(R65:X65),0)</f>
        <v>79</v>
      </c>
      <c r="Y3" s="79">
        <v>0</v>
      </c>
      <c r="Z3" s="78">
        <f>Y3+第二季度!X3*0.53653684*0.46055126+第三季度!Y3*0.53653684</f>
        <v>247.10271769841839</v>
      </c>
      <c r="AA3" s="79">
        <v>247</v>
      </c>
      <c r="AD3" s="197" t="s">
        <v>203</v>
      </c>
      <c r="AE3" s="197"/>
      <c r="AF3" s="197"/>
      <c r="AG3" s="79">
        <v>120597.55</v>
      </c>
      <c r="AI3" s="189"/>
      <c r="AJ3" s="213"/>
      <c r="AK3" s="223"/>
      <c r="AL3" s="189"/>
      <c r="AM3" s="213"/>
      <c r="AN3" s="223"/>
      <c r="AO3" s="123">
        <v>95202.9</v>
      </c>
      <c r="AP3" s="123">
        <v>70709.850000000006</v>
      </c>
    </row>
    <row r="4" spans="1:42" ht="27" customHeight="1" thickBot="1">
      <c r="A4" s="85" t="s">
        <v>188</v>
      </c>
      <c r="B4" s="86">
        <f>SUMIF($L$3:$L$14,2,$S$3:$S$14)+SUMIF($L$3:$L$14,2,$T$3:$T$14)+SUMIF($L$3:$L$14,2,$U$3:$U$14)+SUMIF($L$3:$L$14,2,$V$3:$V$14)</f>
        <v>100</v>
      </c>
      <c r="C4" s="87">
        <f>参数调整!E46</f>
        <v>78</v>
      </c>
      <c r="D4" s="87">
        <f>IF(G4&lt;=INDEX(参数调整!$C$63:$D$68,1,1),C4,IF(G4&lt;=INDEX(参数调整!$C$63:$D$68,2,1),C4*INDEX(参数调整!$C$63:$D$68,2,2),IF(G4&lt;=INDEX(参数调整!$C$63:$D$68,3,1),C4*INDEX(参数调整!$C$63:$D$68,3,2),IF(G4&lt;=INDEX(参数调整!$C$63:$D$68,4,1),C4*INDEX(参数调整!$C$63:$D$68,4,2),IF(G4&lt;=INDEX(参数调整!$C$63:$D$68,5,1),C4*INDEX(参数调整!$C$63:$D$68,5,2),C4*INDEX(参数调整!$C$63:$D$68,6,2))))))</f>
        <v>78</v>
      </c>
      <c r="E4" s="87">
        <f>参数调整!G46</f>
        <v>1</v>
      </c>
      <c r="F4" s="1">
        <f>D4*G4*(参数调整!$B$6+1)</f>
        <v>9126</v>
      </c>
      <c r="G4" s="88">
        <f t="shared" si="0"/>
        <v>100</v>
      </c>
      <c r="H4" s="89"/>
      <c r="I4">
        <v>2</v>
      </c>
      <c r="J4" s="79" t="str">
        <f>第一季度!J4</f>
        <v>S</v>
      </c>
      <c r="K4" s="79">
        <f>第一季度!K4</f>
        <v>3334</v>
      </c>
      <c r="L4" s="80" t="str">
        <f>LEFT(K4,1)</f>
        <v>3</v>
      </c>
      <c r="M4" s="80" t="str">
        <f>MID(K4,2,1)</f>
        <v>3</v>
      </c>
      <c r="N4" s="80" t="str">
        <f>MID(K4,3,1)</f>
        <v>3</v>
      </c>
      <c r="O4" s="80" t="str">
        <f>MID(K4,4,1)</f>
        <v>4</v>
      </c>
      <c r="P4" s="80" t="str">
        <f t="shared" ref="P4:P14" si="1">MID(K4,5,1)</f>
        <v/>
      </c>
      <c r="Q4" s="79">
        <v>0</v>
      </c>
      <c r="R4" s="79">
        <v>0</v>
      </c>
      <c r="S4" s="79">
        <v>0</v>
      </c>
      <c r="T4" s="79">
        <v>0</v>
      </c>
      <c r="U4" s="79">
        <v>0</v>
      </c>
      <c r="V4" s="79">
        <v>110</v>
      </c>
      <c r="W4" s="81">
        <f>TRUNC(S4*参数调整!$I$30)+TRUNC(T4*参数调整!$H$30)+TRUNC(U4*参数调整!$G$30)+TRUNC(V4*参数调整!$F$30)+Q4</f>
        <v>99</v>
      </c>
      <c r="X4" s="81">
        <f t="shared" ref="X4:X14" si="2">ROUNDUP(SUM(R66:X66),0)</f>
        <v>98</v>
      </c>
      <c r="Y4" s="79">
        <v>0</v>
      </c>
      <c r="Z4" s="78">
        <f>Y4+第二季度!X4*0.53653684*0.46055126+第三季度!Y4*0.53653684</f>
        <v>1729.7190238889289</v>
      </c>
      <c r="AA4" s="79">
        <v>4679.1930000000002</v>
      </c>
      <c r="AC4">
        <v>63316.83</v>
      </c>
      <c r="AD4" s="197" t="s">
        <v>304</v>
      </c>
      <c r="AE4" s="197"/>
      <c r="AF4" s="197"/>
      <c r="AG4" s="79"/>
      <c r="AI4" s="208" t="s">
        <v>340</v>
      </c>
      <c r="AJ4" s="179" t="s">
        <v>238</v>
      </c>
      <c r="AK4" s="180"/>
      <c r="AL4" s="181"/>
      <c r="AM4" s="103" t="s">
        <v>239</v>
      </c>
      <c r="AN4" s="103" t="s">
        <v>240</v>
      </c>
      <c r="AO4" s="197" t="s">
        <v>343</v>
      </c>
      <c r="AP4" s="197"/>
    </row>
    <row r="5" spans="1:42" ht="26.25" thickBot="1">
      <c r="A5" s="85" t="s">
        <v>152</v>
      </c>
      <c r="B5" s="90">
        <f>SUMIF($L$3:$L$14,3,$S$3:$S$14)+SUMIF($L$3:$L$14,3,$T$3:$T$14)+SUMIF($L$3:$L$14,3,$U$3:$U$14)+SUMIF($L$3:$L$14,3,$V$3:$V$14)</f>
        <v>110</v>
      </c>
      <c r="C5" s="87">
        <f>参数调整!E47</f>
        <v>112</v>
      </c>
      <c r="D5" s="87">
        <f>IF(G5&lt;=INDEX(参数调整!$C$63:$D$68,1,1),C5,IF(G5&lt;=INDEX(参数调整!$C$63:$D$68,2,1),C5*INDEX(参数调整!$C$63:$D$68,2,2),IF(G5&lt;=INDEX(参数调整!$C$63:$D$68,3,1),C5*INDEX(参数调整!$C$63:$D$68,3,2),IF(G5&lt;=INDEX(参数调整!$C$63:$D$68,4,1),C5*INDEX(参数调整!$C$63:$D$68,4,2),IF(G5&lt;=INDEX(参数调整!$C$63:$D$68,5,1),C5*INDEX(参数调整!$C$63:$D$68,5,2),C5*INDEX(参数调整!$C$63:$D$68,6,2))))))</f>
        <v>112</v>
      </c>
      <c r="E5" s="87">
        <f>参数调整!G47</f>
        <v>1</v>
      </c>
      <c r="F5" s="1">
        <f>D5*G5*(参数调整!$B$6+1)</f>
        <v>0</v>
      </c>
      <c r="G5" s="88">
        <f t="shared" si="0"/>
        <v>0</v>
      </c>
      <c r="H5" s="91">
        <v>0</v>
      </c>
      <c r="I5">
        <v>3</v>
      </c>
      <c r="J5" s="79" t="str">
        <f>第一季度!J5</f>
        <v>B</v>
      </c>
      <c r="K5" s="79">
        <f>第一季度!K5</f>
        <v>1111</v>
      </c>
      <c r="L5" s="80" t="str">
        <f>LEFT(K5,1)</f>
        <v>1</v>
      </c>
      <c r="M5" s="80" t="str">
        <f>MID(K5,2,1)</f>
        <v>1</v>
      </c>
      <c r="N5" s="80" t="str">
        <f>MID(K5,3,1)</f>
        <v>1</v>
      </c>
      <c r="O5" s="80" t="str">
        <f>MID(K5,4,1)</f>
        <v>1</v>
      </c>
      <c r="P5" s="80" t="str">
        <f t="shared" si="1"/>
        <v/>
      </c>
      <c r="Q5" s="79">
        <v>14</v>
      </c>
      <c r="R5" s="79">
        <v>0</v>
      </c>
      <c r="S5" s="79">
        <v>0</v>
      </c>
      <c r="T5" s="79">
        <v>0</v>
      </c>
      <c r="U5" s="79">
        <v>0</v>
      </c>
      <c r="V5" s="79">
        <v>92</v>
      </c>
      <c r="W5" s="81">
        <f>TRUNC(S5*参数调整!$I$30)+TRUNC(T5*参数调整!$H$30)+TRUNC(U5*参数调整!$G$30)+TRUNC(V5*参数调整!$F$30)+Q5</f>
        <v>96</v>
      </c>
      <c r="X5" s="81">
        <f t="shared" si="2"/>
        <v>96</v>
      </c>
      <c r="Y5" s="79">
        <v>0</v>
      </c>
      <c r="Z5" s="78">
        <f>Y5+第二季度!X5*0.53653684*0.46055126+第三季度!Y5*0.53653684</f>
        <v>0</v>
      </c>
      <c r="AA5" s="79">
        <v>3061.4850000000001</v>
      </c>
      <c r="AD5" s="197" t="s">
        <v>204</v>
      </c>
      <c r="AE5" s="103" t="s">
        <v>205</v>
      </c>
      <c r="AF5" s="79">
        <v>1</v>
      </c>
      <c r="AG5" s="78">
        <f>AF5*参数调整!$J$23</f>
        <v>50000</v>
      </c>
      <c r="AI5" s="209"/>
      <c r="AJ5" s="182" t="s">
        <v>241</v>
      </c>
      <c r="AK5" s="182" t="s">
        <v>242</v>
      </c>
      <c r="AL5" s="103" t="s">
        <v>102</v>
      </c>
      <c r="AM5" s="80">
        <f>SUM(S3:S14)</f>
        <v>180</v>
      </c>
      <c r="AN5" s="103">
        <f>AM5*参数调整!$I$32</f>
        <v>5400</v>
      </c>
      <c r="AO5" s="219">
        <f>AN2+AO36*(1-参数调整!B23)+AP36*(1-参数调整!B24)</f>
        <v>446720.91</v>
      </c>
      <c r="AP5" s="219"/>
    </row>
    <row r="6" spans="1:42" ht="14.45" customHeight="1" thickBot="1">
      <c r="A6" s="85" t="s">
        <v>153</v>
      </c>
      <c r="B6" s="92">
        <f>SUMIF($M$3:$M$14,1,$S$3:$S$14)+SUMIF($M$3:$M$14,1,$T$3:$T$14)+SUMIF($M$3:$M$14,1,$U$3:$U$14)+SUMIF($M$3:$M$14,1,$V$3:$V$14)</f>
        <v>414</v>
      </c>
      <c r="C6" s="87">
        <f>参数调整!E48</f>
        <v>12</v>
      </c>
      <c r="D6" s="87">
        <f>IF(G6&lt;=INDEX(参数调整!$C$63:$D$68,1,1),C6,IF(G6&lt;=INDEX(参数调整!$C$63:$D$68,2,1),C6*INDEX(参数调整!$C$63:$D$68,2,2),IF(G6&lt;=INDEX(参数调整!$C$63:$D$68,3,1),C6*INDEX(参数调整!$C$63:$D$68,3,2),IF(G6&lt;=INDEX(参数调整!$C$63:$D$68,4,1),C6*INDEX(参数调整!$C$63:$D$68,4,2),IF(G6&lt;=INDEX(参数调整!$C$63:$D$68,5,1),C6*INDEX(参数调整!$C$63:$D$68,5,2),C6*INDEX(参数调整!$C$63:$D$68,6,2))))))</f>
        <v>11.399999999999999</v>
      </c>
      <c r="E6" s="87">
        <f>参数调整!G48</f>
        <v>0</v>
      </c>
      <c r="F6" s="1">
        <f>D6*G6*(参数调整!$B$6+1)</f>
        <v>5521.9319999999989</v>
      </c>
      <c r="G6" s="93">
        <f t="shared" si="0"/>
        <v>414</v>
      </c>
      <c r="H6" s="89"/>
      <c r="I6">
        <v>3</v>
      </c>
      <c r="J6" s="79" t="str">
        <f>第一季度!J6</f>
        <v>Q</v>
      </c>
      <c r="K6" s="79">
        <f>第一季度!K6</f>
        <v>212</v>
      </c>
      <c r="L6" s="80" t="str">
        <f>LEFT(K6,1)</f>
        <v>2</v>
      </c>
      <c r="M6" s="80" t="str">
        <f>MID(K6,2,1)</f>
        <v>1</v>
      </c>
      <c r="N6" s="80" t="str">
        <f>MID(K6,3,1)</f>
        <v>2</v>
      </c>
      <c r="O6" s="80" t="str">
        <f>MID(K6,4,1)</f>
        <v/>
      </c>
      <c r="P6" s="80" t="str">
        <f t="shared" si="1"/>
        <v/>
      </c>
      <c r="Q6" s="79">
        <v>0</v>
      </c>
      <c r="R6" s="79">
        <v>0</v>
      </c>
      <c r="S6" s="79">
        <v>0</v>
      </c>
      <c r="T6" s="79">
        <v>0</v>
      </c>
      <c r="U6" s="79">
        <v>0</v>
      </c>
      <c r="V6" s="79">
        <v>100</v>
      </c>
      <c r="W6" s="81">
        <f>TRUNC(S6*参数调整!$I$30)+TRUNC(T6*参数调整!$H$30)+TRUNC(U6*参数调整!$G$30)+TRUNC(V6*参数调整!$F$30)+Q6</f>
        <v>90</v>
      </c>
      <c r="X6" s="81">
        <f t="shared" si="2"/>
        <v>90</v>
      </c>
      <c r="Y6" s="79">
        <v>0</v>
      </c>
      <c r="Z6" s="78">
        <f>Y6+第二季度!X6*0.53653684*0.46055126+第三季度!Y6*0.53653684</f>
        <v>0</v>
      </c>
      <c r="AA6" s="79">
        <v>247.1027</v>
      </c>
      <c r="AD6" s="197"/>
      <c r="AE6" s="103" t="s">
        <v>206</v>
      </c>
      <c r="AF6" s="79">
        <v>0</v>
      </c>
      <c r="AG6" s="78">
        <f>AF6*参数调整!$H$23</f>
        <v>0</v>
      </c>
      <c r="AI6" s="209"/>
      <c r="AJ6" s="183"/>
      <c r="AK6" s="183"/>
      <c r="AL6" s="103" t="s">
        <v>272</v>
      </c>
      <c r="AM6" s="80">
        <f>SUM(V3:V14)</f>
        <v>900</v>
      </c>
      <c r="AN6" s="103">
        <f>AM6*参数调整!$F$32</f>
        <v>9000</v>
      </c>
      <c r="AO6" s="219"/>
      <c r="AP6" s="219"/>
    </row>
    <row r="7" spans="1:42" ht="14.45" customHeight="1" thickBot="1">
      <c r="A7" s="85" t="s">
        <v>154</v>
      </c>
      <c r="B7" s="92">
        <f>SUMIF($M$3:$M$14,2,$S$3:$S$14)+SUMIF($M$3:$M$14,2,$T$3:$T$14)+SUMIF($M$3:$M$14,2,$U$3:$U$14)+SUMIF($M$3:$M$14,2,$V$3:$V$14)</f>
        <v>556</v>
      </c>
      <c r="C7" s="87">
        <f>参数调整!E49</f>
        <v>25</v>
      </c>
      <c r="D7" s="87">
        <f>IF(G7&lt;=INDEX(参数调整!$C$63:$D$68,1,1),C7,IF(G7&lt;=INDEX(参数调整!$C$63:$D$68,2,1),C7*INDEX(参数调整!$C$63:$D$68,2,2),IF(G7&lt;=INDEX(参数调整!$C$63:$D$68,3,1),C7*INDEX(参数调整!$C$63:$D$68,3,2),IF(G7&lt;=INDEX(参数调整!$C$63:$D$68,4,1),C7*INDEX(参数调整!$C$63:$D$68,4,2),IF(G7&lt;=INDEX(参数调整!$C$63:$D$68,5,1),C7*INDEX(参数调整!$C$63:$D$68,5,2),C7*INDEX(参数调整!$C$63:$D$68,6,2))))))</f>
        <v>22.5</v>
      </c>
      <c r="E7" s="87">
        <f>参数调整!G49</f>
        <v>1</v>
      </c>
      <c r="F7" s="1">
        <f>D7*G7*(参数调整!$B$6+1)</f>
        <v>14636.699999999999</v>
      </c>
      <c r="G7" s="93">
        <f t="shared" si="0"/>
        <v>556</v>
      </c>
      <c r="H7" s="89"/>
      <c r="I7">
        <v>2</v>
      </c>
      <c r="J7" s="79" t="str">
        <f>第一季度!J7</f>
        <v>Q</v>
      </c>
      <c r="K7" s="79">
        <f>第一季度!K7</f>
        <v>1121</v>
      </c>
      <c r="L7" s="80" t="str">
        <f t="shared" ref="L7:L14" si="3">LEFT(K7,1)</f>
        <v>1</v>
      </c>
      <c r="M7" s="80" t="str">
        <f t="shared" ref="M7:M14" si="4">MID(K7,2,1)</f>
        <v>1</v>
      </c>
      <c r="N7" s="80" t="str">
        <f t="shared" ref="N7:N14" si="5">MID(K7,3,1)</f>
        <v>2</v>
      </c>
      <c r="O7" s="80" t="str">
        <f t="shared" ref="O7:O14" si="6">MID(K7,4,1)</f>
        <v>1</v>
      </c>
      <c r="P7" s="80" t="str">
        <f t="shared" si="1"/>
        <v/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116</v>
      </c>
      <c r="W7" s="81">
        <f>TRUNC(S7*参数调整!$I$30)+TRUNC(T7*参数调整!$H$30)+TRUNC(U7*参数调整!$G$30)+TRUNC(V7*参数调整!$F$30)+Q7</f>
        <v>104</v>
      </c>
      <c r="X7" s="81">
        <f t="shared" si="2"/>
        <v>105</v>
      </c>
      <c r="Y7" s="79">
        <v>0</v>
      </c>
      <c r="Z7" s="78">
        <f>Y7+第二季度!X7*0.53653684*0.46055126+第三季度!Y7*0.53653684</f>
        <v>988.41087079367355</v>
      </c>
      <c r="AD7" s="197"/>
      <c r="AE7" s="103" t="s">
        <v>207</v>
      </c>
      <c r="AF7" s="79">
        <v>0</v>
      </c>
      <c r="AG7" s="78">
        <f>AF7*参数调整!$F$23</f>
        <v>0</v>
      </c>
      <c r="AI7" s="209"/>
      <c r="AJ7" s="183"/>
      <c r="AK7" s="183"/>
      <c r="AL7" s="103" t="s">
        <v>101</v>
      </c>
      <c r="AM7" s="80">
        <f>SUM(T3:T14)</f>
        <v>0</v>
      </c>
      <c r="AN7" s="103">
        <f>AM7*参数调整!H32</f>
        <v>0</v>
      </c>
      <c r="AO7" s="2"/>
      <c r="AP7" s="2"/>
    </row>
    <row r="8" spans="1:42" ht="14.45" customHeight="1" thickBot="1">
      <c r="A8" s="85" t="s">
        <v>155</v>
      </c>
      <c r="B8" s="92">
        <f>SUMIF($M$3:$M$14,3,$S$3:$S$14)+SUMIF($M$3:$M$14,3,$T$3:$T$14)+SUMIF($M$3:$M$14,3,$U$3:$U$14)+SUMIF($M$3:$M$14,3,$V$3:$V$14)</f>
        <v>110</v>
      </c>
      <c r="C8" s="87">
        <f>参数调整!E50</f>
        <v>37</v>
      </c>
      <c r="D8" s="87">
        <f>IF(G8&lt;=INDEX(参数调整!$C$63:$D$68,1,1),C8,IF(G8&lt;=INDEX(参数调整!$C$63:$D$68,2,1),C8*INDEX(参数调整!$C$63:$D$68,2,2),IF(G8&lt;=INDEX(参数调整!$C$63:$D$68,3,1),C8*INDEX(参数调整!$C$63:$D$68,3,2),IF(G8&lt;=INDEX(参数调整!$C$63:$D$68,4,1),C8*INDEX(参数调整!$C$63:$D$68,4,2),IF(G8&lt;=INDEX(参数调整!$C$63:$D$68,5,1),C8*INDEX(参数调整!$C$63:$D$68,5,2),C8*INDEX(参数调整!$C$63:$D$68,6,2))))))</f>
        <v>37</v>
      </c>
      <c r="E8" s="87">
        <f>参数调整!G50</f>
        <v>1</v>
      </c>
      <c r="F8" s="1">
        <f>D8*G8*(参数调整!$B$6+1)</f>
        <v>4761.8999999999996</v>
      </c>
      <c r="G8" s="93">
        <f t="shared" si="0"/>
        <v>110</v>
      </c>
      <c r="H8" s="89"/>
      <c r="I8">
        <v>13</v>
      </c>
      <c r="J8" s="79" t="str">
        <f>第一季度!J8</f>
        <v>Q</v>
      </c>
      <c r="K8" s="79">
        <f>第一季度!K8</f>
        <v>112</v>
      </c>
      <c r="L8" s="80" t="str">
        <f t="shared" si="3"/>
        <v>1</v>
      </c>
      <c r="M8" s="80" t="str">
        <f t="shared" si="4"/>
        <v>1</v>
      </c>
      <c r="N8" s="80" t="str">
        <f t="shared" si="5"/>
        <v>2</v>
      </c>
      <c r="O8" s="80" t="str">
        <f t="shared" si="6"/>
        <v/>
      </c>
      <c r="P8" s="80" t="str">
        <f t="shared" si="1"/>
        <v/>
      </c>
      <c r="Q8" s="79">
        <v>0</v>
      </c>
      <c r="R8" s="79">
        <v>0</v>
      </c>
      <c r="S8" s="79"/>
      <c r="T8" s="79">
        <v>0</v>
      </c>
      <c r="U8" s="79">
        <v>0</v>
      </c>
      <c r="V8" s="79">
        <v>106</v>
      </c>
      <c r="W8" s="81">
        <f>TRUNC(S8*参数调整!$I$30)+TRUNC(T8*参数调整!$H$30)+TRUNC(U8*参数调整!$G$30)+TRUNC(V8*参数调整!$F$30)+Q8</f>
        <v>95</v>
      </c>
      <c r="X8" s="81">
        <f t="shared" si="2"/>
        <v>94</v>
      </c>
      <c r="Y8" s="79">
        <v>0</v>
      </c>
      <c r="Z8" s="78">
        <f>Y8+第二季度!X8*0.53653684*0.46055126+第三季度!Y8*0.53653684</f>
        <v>247.10271769841839</v>
      </c>
      <c r="AD8" s="197" t="s">
        <v>208</v>
      </c>
      <c r="AE8" s="103" t="s">
        <v>209</v>
      </c>
      <c r="AF8" s="79">
        <v>1</v>
      </c>
      <c r="AG8" s="185">
        <v>0</v>
      </c>
      <c r="AI8" s="209"/>
      <c r="AJ8" s="183"/>
      <c r="AK8" s="184"/>
      <c r="AL8" s="103" t="s">
        <v>273</v>
      </c>
      <c r="AM8" s="80">
        <f>SUM(U3:U14)</f>
        <v>0</v>
      </c>
      <c r="AN8" s="103">
        <f>AM8*参数调整!G32</f>
        <v>0</v>
      </c>
      <c r="AO8" s="2"/>
      <c r="AP8" s="2"/>
    </row>
    <row r="9" spans="1:42" ht="14.45" customHeight="1" thickBot="1">
      <c r="A9" s="85" t="s">
        <v>156</v>
      </c>
      <c r="B9" s="94">
        <f>SUMIF($N$3:$N$14,1,$S$3:$S$14)+SUMIF($N$3:$N$14,1,$T$3:$T$14)+SUMIF($N$3:$N$14,1,$U$3:$U$14)+SUMIF($N$3:$N$14,1,$V$3:$V$14)</f>
        <v>240</v>
      </c>
      <c r="C9" s="87">
        <f>参数调整!E51</f>
        <v>50</v>
      </c>
      <c r="D9" s="87">
        <f>IF(G9&lt;=INDEX(参数调整!$C$63:$D$68,1,1),C9,IF(G9&lt;=INDEX(参数调整!$C$63:$D$68,2,1),C9*INDEX(参数调整!$C$63:$D$68,2,2),IF(G9&lt;=INDEX(参数调整!$C$63:$D$68,3,1),C9*INDEX(参数调整!$C$63:$D$68,3,2),IF(G9&lt;=INDEX(参数调整!$C$63:$D$68,4,1),C9*INDEX(参数调整!$C$63:$D$68,4,2),IF(G9&lt;=INDEX(参数调整!$C$63:$D$68,5,1),C9*INDEX(参数调整!$C$63:$D$68,5,2),C9*INDEX(参数调整!$C$63:$D$68,6,2))))))</f>
        <v>47.5</v>
      </c>
      <c r="E9" s="87">
        <f>参数调整!G51</f>
        <v>0</v>
      </c>
      <c r="F9" s="1">
        <f>D9*G9*(参数调整!$B$6+1)</f>
        <v>13338</v>
      </c>
      <c r="G9" s="95">
        <f t="shared" si="0"/>
        <v>240</v>
      </c>
      <c r="H9" s="89"/>
      <c r="I9">
        <v>2</v>
      </c>
      <c r="J9" s="79" t="str">
        <f>第一季度!J9</f>
        <v>L</v>
      </c>
      <c r="K9" s="79">
        <f>第一季度!K9</f>
        <v>121</v>
      </c>
      <c r="L9" s="80" t="str">
        <f t="shared" si="3"/>
        <v>1</v>
      </c>
      <c r="M9" s="80" t="str">
        <f t="shared" si="4"/>
        <v>2</v>
      </c>
      <c r="N9" s="80" t="str">
        <f t="shared" si="5"/>
        <v>1</v>
      </c>
      <c r="O9" s="80" t="str">
        <f t="shared" si="6"/>
        <v/>
      </c>
      <c r="P9" s="80" t="str">
        <f t="shared" si="1"/>
        <v/>
      </c>
      <c r="Q9" s="79">
        <v>0</v>
      </c>
      <c r="R9" s="79">
        <v>0</v>
      </c>
      <c r="S9" s="79">
        <v>0</v>
      </c>
      <c r="T9" s="79">
        <v>0</v>
      </c>
      <c r="U9" s="79">
        <v>0</v>
      </c>
      <c r="V9" s="79">
        <v>148</v>
      </c>
      <c r="W9" s="81">
        <f>TRUNC(S9*参数调整!$I$30)+TRUNC(T9*参数调整!$H$30)+TRUNC(U9*参数调整!$G$30)+TRUNC(V9*参数调整!$F$30)+Q9</f>
        <v>133</v>
      </c>
      <c r="X9" s="81">
        <f t="shared" si="2"/>
        <v>132</v>
      </c>
      <c r="Y9" s="79">
        <v>0</v>
      </c>
      <c r="Z9" s="78">
        <f>Y9+第二季度!X9*0.53653684*0.46055126+第三季度!Y9*0.53653684</f>
        <v>247.10271769841839</v>
      </c>
      <c r="AD9" s="197"/>
      <c r="AE9" s="103" t="s">
        <v>210</v>
      </c>
      <c r="AF9" s="79"/>
      <c r="AG9" s="186"/>
      <c r="AI9" s="209"/>
      <c r="AJ9" s="183"/>
      <c r="AK9" s="182" t="s">
        <v>243</v>
      </c>
      <c r="AL9" s="103" t="s">
        <v>244</v>
      </c>
      <c r="AM9" s="80">
        <v>2</v>
      </c>
      <c r="AN9" s="103">
        <f>AM9*参数调整!$J$24</f>
        <v>10000</v>
      </c>
      <c r="AO9" s="2"/>
      <c r="AP9" s="2"/>
    </row>
    <row r="10" spans="1:42" ht="14.45" customHeight="1" thickBot="1">
      <c r="A10" s="85" t="s">
        <v>157</v>
      </c>
      <c r="B10" s="94">
        <f>SUMIF($N$3:$N$14,2,$S$3:$S$14)+SUMIF($N$3:$N$14,2,$T$3:$T$14)+SUMIF($N$3:$N$14,2,$U$3:$U$14)+SUMIF($N$3:$N$14,2,$V$3:$V$14)</f>
        <v>730</v>
      </c>
      <c r="C10" s="87">
        <f>参数调整!E52</f>
        <v>72</v>
      </c>
      <c r="D10" s="87">
        <f>IF(G10&lt;=INDEX(参数调整!$C$63:$D$68,1,1),C10,IF(G10&lt;=INDEX(参数调整!$C$63:$D$68,2,1),C10*INDEX(参数调整!$C$63:$D$68,2,2),IF(G10&lt;=INDEX(参数调整!$C$63:$D$68,3,1),C10*INDEX(参数调整!$C$63:$D$68,3,2),IF(G10&lt;=INDEX(参数调整!$C$63:$D$68,4,1),C10*INDEX(参数调整!$C$63:$D$68,4,2),IF(G10&lt;=INDEX(参数调整!$C$63:$D$68,5,1),C10*INDEX(参数调整!$C$63:$D$68,5,2),C10*INDEX(参数调整!$C$63:$D$68,6,2))))))</f>
        <v>64.8</v>
      </c>
      <c r="E10" s="87">
        <f>参数调整!G52</f>
        <v>1</v>
      </c>
      <c r="F10" s="1">
        <f>D10*G10*(参数调整!$B$6+1)</f>
        <v>55345.679999999993</v>
      </c>
      <c r="G10" s="95">
        <f t="shared" si="0"/>
        <v>730</v>
      </c>
      <c r="H10" s="89"/>
      <c r="I10">
        <v>0</v>
      </c>
      <c r="J10" s="79" t="str">
        <f>第一季度!J10</f>
        <v>L</v>
      </c>
      <c r="K10" s="79">
        <f>第一季度!K10</f>
        <v>122</v>
      </c>
      <c r="L10" s="80" t="str">
        <f t="shared" si="3"/>
        <v>1</v>
      </c>
      <c r="M10" s="80" t="str">
        <f t="shared" si="4"/>
        <v>2</v>
      </c>
      <c r="N10" s="80" t="str">
        <f t="shared" si="5"/>
        <v>2</v>
      </c>
      <c r="O10" s="80" t="str">
        <f t="shared" si="6"/>
        <v/>
      </c>
      <c r="P10" s="80" t="str">
        <f t="shared" si="1"/>
        <v/>
      </c>
      <c r="Q10" s="79">
        <v>0</v>
      </c>
      <c r="R10" s="79">
        <v>0</v>
      </c>
      <c r="S10" s="79">
        <v>180</v>
      </c>
      <c r="T10" s="79">
        <v>0</v>
      </c>
      <c r="U10" s="79">
        <v>0</v>
      </c>
      <c r="V10" s="79">
        <v>158</v>
      </c>
      <c r="W10" s="81">
        <f>TRUNC(S10*参数调整!$I$30)+TRUNC(T10*参数调整!$H$30)+TRUNC(U10*参数调整!$G$30)+TRUNC(V10*参数调整!$F$30)+Q10</f>
        <v>277</v>
      </c>
      <c r="X10" s="81">
        <f t="shared" si="2"/>
        <v>278</v>
      </c>
      <c r="Y10" s="79">
        <v>0</v>
      </c>
      <c r="Z10" s="78">
        <f>Y10+第二季度!X10*0.53653684*0.46055126+第三季度!Y10*0.53653684</f>
        <v>988.41087079367355</v>
      </c>
      <c r="AD10" s="197"/>
      <c r="AE10" s="103" t="s">
        <v>211</v>
      </c>
      <c r="AF10" s="79">
        <v>0</v>
      </c>
      <c r="AG10" s="187"/>
      <c r="AI10" s="209"/>
      <c r="AJ10" s="183"/>
      <c r="AK10" s="183"/>
      <c r="AL10" s="103" t="s">
        <v>245</v>
      </c>
      <c r="AM10" s="80">
        <v>0</v>
      </c>
      <c r="AN10" s="103">
        <f>AM10*参数调整!$H$24</f>
        <v>0</v>
      </c>
      <c r="AO10" s="2"/>
      <c r="AP10" s="2"/>
    </row>
    <row r="11" spans="1:42" ht="14.45" customHeight="1" thickBot="1">
      <c r="A11" s="85" t="s">
        <v>158</v>
      </c>
      <c r="B11" s="94">
        <f>SUMIF($N$3:$N$14,3,$S$3:$S$14)+SUMIF($N$3:$N$14,3,$T$3:$T$14)+SUMIF($N$3:$N$14,3,$U$3:$U$14)+SUMIF($N$3:$N$14,3,$V$3:$V$14)</f>
        <v>110</v>
      </c>
      <c r="C11" s="87">
        <f>参数调整!E53</f>
        <v>118</v>
      </c>
      <c r="D11" s="87">
        <f>IF(G11&lt;=INDEX(参数调整!$C$63:$D$68,1,1),C11,IF(G11&lt;=INDEX(参数调整!$C$63:$D$68,2,1),C11*INDEX(参数调整!$C$63:$D$68,2,2),IF(G11&lt;=INDEX(参数调整!$C$63:$D$68,3,1),C11*INDEX(参数调整!$C$63:$D$68,3,2),IF(G11&lt;=INDEX(参数调整!$C$63:$D$68,4,1),C11*INDEX(参数调整!$C$63:$D$68,4,2),IF(G11&lt;=INDEX(参数调整!$C$63:$D$68,5,1),C11*INDEX(参数调整!$C$63:$D$68,5,2),C11*INDEX(参数调整!$C$63:$D$68,6,2))))))</f>
        <v>118</v>
      </c>
      <c r="E11" s="87">
        <f>参数调整!G53</f>
        <v>0</v>
      </c>
      <c r="F11" s="1">
        <f>D11*G11*(参数调整!$B$6+1)</f>
        <v>15186.599999999999</v>
      </c>
      <c r="G11" s="95">
        <f t="shared" si="0"/>
        <v>110</v>
      </c>
      <c r="H11" s="89"/>
      <c r="J11" s="79">
        <f>第一季度!J11</f>
        <v>0</v>
      </c>
      <c r="K11" s="79">
        <f>第一季度!K11</f>
        <v>212</v>
      </c>
      <c r="L11" s="80" t="str">
        <f t="shared" si="3"/>
        <v>2</v>
      </c>
      <c r="M11" s="80" t="str">
        <f t="shared" si="4"/>
        <v>1</v>
      </c>
      <c r="N11" s="80" t="str">
        <f t="shared" si="5"/>
        <v>2</v>
      </c>
      <c r="O11" s="80" t="str">
        <f t="shared" si="6"/>
        <v/>
      </c>
      <c r="P11" s="80" t="str">
        <f t="shared" si="1"/>
        <v/>
      </c>
      <c r="Q11" s="79"/>
      <c r="R11" s="79"/>
      <c r="S11" s="79">
        <v>0</v>
      </c>
      <c r="T11" s="79">
        <v>0</v>
      </c>
      <c r="U11" s="79">
        <v>0</v>
      </c>
      <c r="V11" s="79"/>
      <c r="W11" s="81">
        <f>TRUNC(S11*参数调整!$I$30)+TRUNC(T11*参数调整!$H$30)+TRUNC(U11*参数调整!$G$30)+TRUNC(V11*参数调整!$F$30)+Q11</f>
        <v>0</v>
      </c>
      <c r="X11" s="81">
        <f t="shared" si="2"/>
        <v>13</v>
      </c>
      <c r="Y11" s="79">
        <v>0</v>
      </c>
      <c r="Z11" s="78">
        <f>Y11+第二季度!X11*0.53653684*0.46055126+第三季度!Y11*0.53653684</f>
        <v>0</v>
      </c>
      <c r="AD11" s="197" t="s">
        <v>212</v>
      </c>
      <c r="AE11" s="103" t="s">
        <v>213</v>
      </c>
      <c r="AF11" s="79">
        <v>1</v>
      </c>
      <c r="AG11" s="78">
        <f>AF11*参数调整!$I$29</f>
        <v>50000</v>
      </c>
      <c r="AI11" s="209"/>
      <c r="AJ11" s="183"/>
      <c r="AK11" s="184"/>
      <c r="AL11" s="103" t="s">
        <v>246</v>
      </c>
      <c r="AM11" s="80">
        <v>0</v>
      </c>
      <c r="AN11" s="103">
        <f>AM11*参数调整!$F$24</f>
        <v>0</v>
      </c>
      <c r="AO11" s="2"/>
      <c r="AP11" s="2"/>
    </row>
    <row r="12" spans="1:42" ht="14.45" customHeight="1" thickBot="1">
      <c r="A12" s="85" t="s">
        <v>159</v>
      </c>
      <c r="B12" s="94">
        <f>SUMIF($N$3:$N$14,4,$S$3:$S$14)+SUMIF($N$3:$N$14,4,$T$3:$T$14)+SUMIF($N$3:$N$14,4,$U$3:$U$14)+SUMIF($N$3:$N$14,4,$V$3:$V$14)</f>
        <v>0</v>
      </c>
      <c r="C12" s="87">
        <f>参数调整!E54</f>
        <v>150</v>
      </c>
      <c r="D12" s="87">
        <f>IF(G12&lt;=INDEX(参数调整!$C$63:$D$68,1,1),C12,IF(G12&lt;=INDEX(参数调整!$C$63:$D$68,2,1),C12*INDEX(参数调整!$C$63:$D$68,2,2),IF(G12&lt;=INDEX(参数调整!$C$63:$D$68,3,1),C12*INDEX(参数调整!$C$63:$D$68,3,2),IF(G12&lt;=INDEX(参数调整!$C$63:$D$68,4,1),C12*INDEX(参数调整!$C$63:$D$68,4,2),IF(G12&lt;=INDEX(参数调整!$C$63:$D$68,5,1),C12*INDEX(参数调整!$C$63:$D$68,5,2),C12*INDEX(参数调整!$C$63:$D$68,6,2))))))</f>
        <v>150</v>
      </c>
      <c r="E12" s="87">
        <f>参数调整!G54</f>
        <v>1</v>
      </c>
      <c r="F12" s="1">
        <f>D12*G12*(参数调整!$B$6+1)</f>
        <v>0</v>
      </c>
      <c r="G12" s="95">
        <f t="shared" si="0"/>
        <v>0</v>
      </c>
      <c r="H12" s="89"/>
      <c r="J12" s="79">
        <f>第一季度!J12</f>
        <v>0</v>
      </c>
      <c r="K12" s="79">
        <f>第一季度!K12</f>
        <v>1121</v>
      </c>
      <c r="L12" s="80" t="str">
        <f t="shared" si="3"/>
        <v>1</v>
      </c>
      <c r="M12" s="80" t="str">
        <f t="shared" si="4"/>
        <v>1</v>
      </c>
      <c r="N12" s="80" t="str">
        <f t="shared" si="5"/>
        <v>2</v>
      </c>
      <c r="O12" s="80" t="str">
        <f t="shared" si="6"/>
        <v>1</v>
      </c>
      <c r="P12" s="80" t="str">
        <f t="shared" si="1"/>
        <v/>
      </c>
      <c r="Q12" s="79"/>
      <c r="R12" s="79"/>
      <c r="S12" s="79">
        <v>0</v>
      </c>
      <c r="T12" s="79">
        <v>0</v>
      </c>
      <c r="U12" s="79">
        <v>0</v>
      </c>
      <c r="V12" s="79"/>
      <c r="W12" s="81">
        <f>TRUNC(S12*参数调整!$I$30)+TRUNC(T12*参数调整!$H$30)+TRUNC(U12*参数调整!$G$30)+TRUNC(V12*参数调整!$F$30)+Q12</f>
        <v>0</v>
      </c>
      <c r="X12" s="81">
        <f t="shared" si="2"/>
        <v>13</v>
      </c>
      <c r="Y12" s="79">
        <v>0</v>
      </c>
      <c r="Z12" s="78">
        <f>Y12+第二季度!X12*0.53653684*0.46055126+第三季度!Y12*0.53653684</f>
        <v>0</v>
      </c>
      <c r="AD12" s="197"/>
      <c r="AE12" s="103" t="s">
        <v>214</v>
      </c>
      <c r="AF12" s="79">
        <v>0</v>
      </c>
      <c r="AG12" s="78">
        <f>AF12*参数调整!$H$29</f>
        <v>0</v>
      </c>
      <c r="AI12" s="209"/>
      <c r="AJ12" s="183"/>
      <c r="AK12" s="202" t="s">
        <v>247</v>
      </c>
      <c r="AL12" s="203"/>
      <c r="AM12" s="80">
        <f>AM18</f>
        <v>12</v>
      </c>
      <c r="AN12" s="103">
        <f>AM12*参数调整!$J$18*(1+参数调整!$B$12+参数调整!$B$13+参数调整!$B$14+参数调整!$B$15+参数调整!$B$16)</f>
        <v>58147.199999999997</v>
      </c>
      <c r="AO12" s="2"/>
      <c r="AP12" s="2"/>
    </row>
    <row r="13" spans="1:42" ht="14.45" customHeight="1" thickBot="1">
      <c r="A13" s="85" t="s">
        <v>160</v>
      </c>
      <c r="B13" s="96">
        <f>SUMIF($O$3:$O$14,1,$S$3:$S$14)+SUMIF($O$3:$O$14,1,$T$3:$T$14)+SUMIF($O$3:$O$14,1,$U$3:$U$14)+SUMIF($O$3:$O$14,1,$V$3:$V$14)+SUMIF($P$3:$P$14,1,$S$3:$S$14)+SUMIF($P$3:$P$14,1,$T$3:$T$14)+SUMIF($P$3:$P$14,1,$U$3:$U$14)+SUMIF($P$3:$P$14,1,$V$3:$V$14)</f>
        <v>208</v>
      </c>
      <c r="C13" s="87">
        <f>参数调整!E55</f>
        <v>44</v>
      </c>
      <c r="D13" s="87">
        <f>IF(G13&lt;=INDEX(参数调整!$C$63:$D$68,1,1),C13,IF(G13&lt;=INDEX(参数调整!$C$63:$D$68,2,1),C13*INDEX(参数调整!$C$63:$D$68,2,2),IF(G13&lt;=INDEX(参数调整!$C$63:$D$68,3,1),C13*INDEX(参数调整!$C$63:$D$68,3,2),IF(G13&lt;=INDEX(参数调整!$C$63:$D$68,4,1),C13*INDEX(参数调整!$C$63:$D$68,4,2),IF(G13&lt;=INDEX(参数调整!$C$63:$D$68,5,1),C13*INDEX(参数调整!$C$63:$D$68,5,2),C13*INDEX(参数调整!$C$63:$D$68,6,2))))))</f>
        <v>44</v>
      </c>
      <c r="E13" s="87">
        <f>参数调整!G55</f>
        <v>1</v>
      </c>
      <c r="F13" s="1">
        <f>D13*G13*(参数调整!$B$6+1)</f>
        <v>0</v>
      </c>
      <c r="G13" s="97">
        <f t="shared" si="0"/>
        <v>0</v>
      </c>
      <c r="H13" s="91">
        <v>0</v>
      </c>
      <c r="J13" s="79">
        <f>第一季度!J13</f>
        <v>0</v>
      </c>
      <c r="K13" s="79">
        <f>第一季度!K13</f>
        <v>121</v>
      </c>
      <c r="L13" s="80" t="str">
        <f t="shared" si="3"/>
        <v>1</v>
      </c>
      <c r="M13" s="80" t="str">
        <f t="shared" si="4"/>
        <v>2</v>
      </c>
      <c r="N13" s="80" t="str">
        <f t="shared" si="5"/>
        <v>1</v>
      </c>
      <c r="O13" s="80" t="str">
        <f t="shared" si="6"/>
        <v/>
      </c>
      <c r="P13" s="80" t="str">
        <f t="shared" si="1"/>
        <v/>
      </c>
      <c r="Q13" s="79"/>
      <c r="R13" s="79"/>
      <c r="S13" s="79"/>
      <c r="T13" s="79">
        <v>0</v>
      </c>
      <c r="U13" s="79">
        <v>0</v>
      </c>
      <c r="V13" s="79"/>
      <c r="W13" s="81">
        <f>TRUNC(S13*参数调整!$I$30)+TRUNC(T13*参数调整!$H$30)+TRUNC(U13*参数调整!$G$30)+TRUNC(V13*参数调整!$F$30)+Q13</f>
        <v>0</v>
      </c>
      <c r="X13" s="81">
        <f t="shared" si="2"/>
        <v>13</v>
      </c>
      <c r="Y13" s="79"/>
      <c r="Z13" s="78">
        <f>Y13+第二季度!X13*0.53653684*0.46055126+第三季度!Y13*0.53653684</f>
        <v>0</v>
      </c>
      <c r="AD13" s="197"/>
      <c r="AE13" s="103" t="s">
        <v>215</v>
      </c>
      <c r="AF13" s="79">
        <v>0</v>
      </c>
      <c r="AG13" s="78">
        <f>AF13*参数调整!$G$29</f>
        <v>0</v>
      </c>
      <c r="AI13" s="209"/>
      <c r="AJ13" s="183"/>
      <c r="AK13" s="182" t="s">
        <v>248</v>
      </c>
      <c r="AL13" s="103" t="s">
        <v>102</v>
      </c>
      <c r="AM13" s="79">
        <v>1</v>
      </c>
      <c r="AN13" s="110">
        <f>AM13*参数调整!$I$33</f>
        <v>1500</v>
      </c>
      <c r="AO13" s="2"/>
      <c r="AP13" s="2"/>
    </row>
    <row r="14" spans="1:42" ht="14.45" customHeight="1" thickBot="1">
      <c r="A14" s="85" t="s">
        <v>161</v>
      </c>
      <c r="B14" s="96">
        <f>SUMIF($O$3:$O$14,2,$S$3:$S$14)+SUMIF($O$3:$O$14,2,$T$3:$T$14)+SUMIF($O$3:$O$14,2,$U$3:$U$14)+SUMIF($O$3:$O$14,2,$V$3:$V$14)+SUMIF($P$3:$P$14,2,$S$3:$S$14)+SUMIF($P$3:$P$14,2,$T$3:$T$14)+SUMIF($P$3:$P$14,2,$U$3:$U$14)+SUMIF($P$3:$P$14,2,$V$3:$V$14)</f>
        <v>0</v>
      </c>
      <c r="C14" s="87">
        <f>参数调整!E56</f>
        <v>52</v>
      </c>
      <c r="D14" s="87">
        <f>IF(G14&lt;=INDEX(参数调整!$C$63:$D$68,1,1),C14,IF(G14&lt;=INDEX(参数调整!$C$63:$D$68,2,1),C14*INDEX(参数调整!$C$63:$D$68,2,2),IF(G14&lt;=INDEX(参数调整!$C$63:$D$68,3,1),C14*INDEX(参数调整!$C$63:$D$68,3,2),IF(G14&lt;=INDEX(参数调整!$C$63:$D$68,4,1),C14*INDEX(参数调整!$C$63:$D$68,4,2),IF(G14&lt;=INDEX(参数调整!$C$63:$D$68,5,1),C14*INDEX(参数调整!$C$63:$D$68,5,2),C14*INDEX(参数调整!$C$63:$D$68,6,2))))))</f>
        <v>52</v>
      </c>
      <c r="E14" s="87">
        <f>参数调整!G56</f>
        <v>1</v>
      </c>
      <c r="F14" s="1">
        <f>D14*G14*(参数调整!$B$6+1)</f>
        <v>0</v>
      </c>
      <c r="G14" s="97">
        <f t="shared" si="0"/>
        <v>0</v>
      </c>
      <c r="H14" s="91"/>
      <c r="J14" s="79">
        <f>第一季度!J14</f>
        <v>0</v>
      </c>
      <c r="K14" s="79">
        <f>第一季度!K14</f>
        <v>122</v>
      </c>
      <c r="L14" s="80" t="str">
        <f t="shared" si="3"/>
        <v>1</v>
      </c>
      <c r="M14" s="80" t="str">
        <f t="shared" si="4"/>
        <v>2</v>
      </c>
      <c r="N14" s="80" t="str">
        <f t="shared" si="5"/>
        <v>2</v>
      </c>
      <c r="O14" s="80" t="str">
        <f t="shared" si="6"/>
        <v/>
      </c>
      <c r="P14" s="80" t="str">
        <f t="shared" si="1"/>
        <v/>
      </c>
      <c r="Q14" s="79"/>
      <c r="R14" s="79"/>
      <c r="S14" s="79"/>
      <c r="T14" s="79">
        <v>0</v>
      </c>
      <c r="U14" s="79">
        <v>0</v>
      </c>
      <c r="V14" s="79"/>
      <c r="W14" s="81">
        <f>TRUNC(S14*参数调整!$I$30)+TRUNC(T14*参数调整!$H$30)+TRUNC(U14*参数调整!$G$30)+TRUNC(V14*参数调整!$F$30)+Q14</f>
        <v>0</v>
      </c>
      <c r="X14" s="81">
        <f t="shared" si="2"/>
        <v>13</v>
      </c>
      <c r="Y14" s="79">
        <v>0</v>
      </c>
      <c r="Z14" s="78">
        <f>Y14+第二季度!X14*0.53653684*0.46055126+第三季度!Y14*0.53653684</f>
        <v>0</v>
      </c>
      <c r="AD14" s="197"/>
      <c r="AE14" s="103" t="s">
        <v>99</v>
      </c>
      <c r="AF14" s="79">
        <v>0</v>
      </c>
      <c r="AG14" s="78">
        <f>AF14*参数调整!$F$29</f>
        <v>0</v>
      </c>
      <c r="AI14" s="209"/>
      <c r="AJ14" s="183"/>
      <c r="AK14" s="183"/>
      <c r="AL14" s="103" t="s">
        <v>272</v>
      </c>
      <c r="AM14" s="79">
        <v>2</v>
      </c>
      <c r="AN14" s="103">
        <f>AM14*参数调整!$F$33</f>
        <v>6000</v>
      </c>
      <c r="AO14" s="2"/>
      <c r="AP14" s="2"/>
    </row>
    <row r="15" spans="1:42" ht="14.45" customHeight="1" thickBot="1">
      <c r="A15" s="85" t="s">
        <v>162</v>
      </c>
      <c r="B15" s="96">
        <f>SUMIF($O$3:$O$14,3,$S$3:$S$14)+SUMIF($O$3:$O$14,3,$T$3:$T$14)+SUMIF($O$3:$O$14,3,$U$3:$U$14)+SUMIF($O$3:$O$14,3,$V$3:$V$14)+SUMIF($P$3:$P$14,3,$S$3:$S$14)+SUMIF($P$3:$P$14,3,$T$3:$T$14)+SUMIF($P$3:$P$14,3,$U$3:$U$14)+SUMIF($P$3:$P$14,3,$V$3:$V$14)</f>
        <v>0</v>
      </c>
      <c r="C15" s="87">
        <f>参数调整!E57</f>
        <v>75</v>
      </c>
      <c r="D15" s="87">
        <f>IF(G15&lt;=INDEX(参数调整!$C$63:$D$68,1,1),C15,IF(G15&lt;=INDEX(参数调整!$C$63:$D$68,2,1),C15*INDEX(参数调整!$C$63:$D$68,2,2),IF(G15&lt;=INDEX(参数调整!$C$63:$D$68,3,1),C15*INDEX(参数调整!$C$63:$D$68,3,2),IF(G15&lt;=INDEX(参数调整!$C$63:$D$68,4,1),C15*INDEX(参数调整!$C$63:$D$68,4,2),IF(G15&lt;=INDEX(参数调整!$C$63:$D$68,5,1),C15*INDEX(参数调整!$C$63:$D$68,5,2),C15*INDEX(参数调整!$C$63:$D$68,6,2))))))</f>
        <v>75</v>
      </c>
      <c r="E15" s="87">
        <f>参数调整!G57</f>
        <v>1</v>
      </c>
      <c r="F15" s="1">
        <f>D15*G15*(参数调整!$B$6+1)</f>
        <v>0</v>
      </c>
      <c r="G15" s="97">
        <f t="shared" si="0"/>
        <v>0</v>
      </c>
      <c r="H15" s="91">
        <v>0</v>
      </c>
      <c r="S15" s="80">
        <f>SUM(S3:S14)</f>
        <v>180</v>
      </c>
      <c r="T15" s="80">
        <f t="shared" ref="T15:V15" si="7">SUM(T3:T14)</f>
        <v>0</v>
      </c>
      <c r="U15" s="80">
        <f t="shared" si="7"/>
        <v>0</v>
      </c>
      <c r="V15" s="80">
        <f t="shared" si="7"/>
        <v>900</v>
      </c>
      <c r="AD15" s="197" t="s">
        <v>217</v>
      </c>
      <c r="AE15" s="197"/>
      <c r="AF15" s="79">
        <v>0</v>
      </c>
      <c r="AG15" s="78">
        <f>AF15*参数调整!$B$31</f>
        <v>0</v>
      </c>
      <c r="AI15" s="209"/>
      <c r="AJ15" s="183"/>
      <c r="AK15" s="183"/>
      <c r="AL15" s="103" t="s">
        <v>101</v>
      </c>
      <c r="AM15" s="79">
        <v>0</v>
      </c>
      <c r="AN15" s="103">
        <f>AM15*参数调整!$H$33</f>
        <v>0</v>
      </c>
      <c r="AO15" s="2"/>
      <c r="AP15" s="2"/>
    </row>
    <row r="16" spans="1:42" ht="14.45" customHeight="1" thickBot="1">
      <c r="A16" s="85" t="s">
        <v>163</v>
      </c>
      <c r="B16" s="96">
        <f>SUMIF($O$3:$O$14,4,$S$3:$S$14)+SUMIF($O$3:$O$14,4,$T$3:$T$14)+SUMIF($O$3:$O$14,4,$U$3:$U$14)+SUMIF($O$3:$O$14,4,$V$3:$V$14)+SUMIF($P$3:$P$14,4,$S$3:$S$14)+SUMIF($P$3:$P$14,4,$T$3:$T$14)+SUMIF($P$3:$P$14,4,$U$3:$U$14)+SUMIF($P$3:$P$14,4,$V$3:$V$14)</f>
        <v>110</v>
      </c>
      <c r="C16" s="87">
        <f>参数调整!E58</f>
        <v>85</v>
      </c>
      <c r="D16" s="87">
        <f>IF(G16&lt;=INDEX(参数调整!$C$63:$D$68,1,1),C16,IF(G16&lt;=INDEX(参数调整!$C$63:$D$68,2,1),C16*INDEX(参数调整!$C$63:$D$68,2,2),IF(G16&lt;=INDEX(参数调整!$C$63:$D$68,3,1),C16*INDEX(参数调整!$C$63:$D$68,3,2),IF(G16&lt;=INDEX(参数调整!$C$63:$D$68,4,1),C16*INDEX(参数调整!$C$63:$D$68,4,2),IF(G16&lt;=INDEX(参数调整!$C$63:$D$68,5,1),C16*INDEX(参数调整!$C$63:$D$68,5,2),C16*INDEX(参数调整!$C$63:$D$68,6,2))))))</f>
        <v>85</v>
      </c>
      <c r="E16" s="87">
        <f>参数调整!G58</f>
        <v>1</v>
      </c>
      <c r="F16" s="1">
        <f>D16*G16*(参数调整!$B$6+1)</f>
        <v>10939.5</v>
      </c>
      <c r="G16" s="97">
        <f t="shared" si="0"/>
        <v>110</v>
      </c>
      <c r="H16" s="91"/>
      <c r="Z16">
        <f>1307-28</f>
        <v>1279</v>
      </c>
      <c r="AD16" s="197" t="s">
        <v>218</v>
      </c>
      <c r="AE16" s="197"/>
      <c r="AF16" s="79">
        <v>0</v>
      </c>
      <c r="AG16" s="78">
        <f>AF16*参数调整!$B$32</f>
        <v>0</v>
      </c>
      <c r="AI16" s="209"/>
      <c r="AJ16" s="184"/>
      <c r="AK16" s="184"/>
      <c r="AL16" s="103" t="s">
        <v>273</v>
      </c>
      <c r="AM16" s="79">
        <v>0</v>
      </c>
      <c r="AN16" s="103">
        <f>AM16*参数调整!$G$33</f>
        <v>0</v>
      </c>
      <c r="AO16" s="2"/>
      <c r="AP16" s="2"/>
    </row>
    <row r="17" spans="1:42" ht="13.9" customHeight="1">
      <c r="J17" s="193" t="s">
        <v>197</v>
      </c>
      <c r="K17" s="193"/>
      <c r="Q17" s="78" t="s">
        <v>190</v>
      </c>
      <c r="R17" s="78" t="s">
        <v>191</v>
      </c>
      <c r="S17" s="78" t="s">
        <v>275</v>
      </c>
      <c r="T17" s="78" t="s">
        <v>276</v>
      </c>
      <c r="U17" s="78" t="s">
        <v>312</v>
      </c>
      <c r="V17" s="78" t="s">
        <v>313</v>
      </c>
      <c r="W17" s="78" t="s">
        <v>323</v>
      </c>
      <c r="X17" s="78" t="s">
        <v>324</v>
      </c>
      <c r="AD17" s="197" t="s">
        <v>219</v>
      </c>
      <c r="AE17" s="103" t="s">
        <v>220</v>
      </c>
      <c r="AF17" s="79">
        <v>0</v>
      </c>
      <c r="AG17" s="78">
        <f>AF17*参数调整!$F$3</f>
        <v>0</v>
      </c>
      <c r="AI17" s="209"/>
      <c r="AJ17" s="179" t="s">
        <v>249</v>
      </c>
      <c r="AK17" s="180"/>
      <c r="AL17" s="181"/>
      <c r="AM17" s="80">
        <v>1</v>
      </c>
      <c r="AN17" s="103">
        <f>AM17*参数调整!$B$11*(1+参数调整!$B$12+参数调整!$B$13+参数调整!$B$14+参数调整!$B$15+参数调整!$B$16)</f>
        <v>13459.999999999998</v>
      </c>
      <c r="AO17" s="2"/>
      <c r="AP17" s="2"/>
    </row>
    <row r="18" spans="1:42" ht="13.9" customHeight="1">
      <c r="A18" s="177" t="s">
        <v>199</v>
      </c>
      <c r="B18" s="178"/>
      <c r="G18" s="84">
        <f>SUMIF(E3:E16,0,F3:F16)</f>
        <v>34046.531999999999</v>
      </c>
      <c r="J18" s="194">
        <v>17</v>
      </c>
      <c r="K18" s="195"/>
      <c r="Q18" s="78" t="s">
        <v>178</v>
      </c>
      <c r="R18" s="79">
        <v>490</v>
      </c>
      <c r="S18" s="79">
        <v>346</v>
      </c>
      <c r="T18" s="79">
        <v>442</v>
      </c>
      <c r="U18" s="79">
        <v>432</v>
      </c>
      <c r="V18" s="79">
        <v>598</v>
      </c>
      <c r="W18" s="79">
        <v>0</v>
      </c>
      <c r="X18" s="79">
        <v>595</v>
      </c>
      <c r="AD18" s="197"/>
      <c r="AE18" s="103" t="s">
        <v>221</v>
      </c>
      <c r="AF18" s="79">
        <v>0</v>
      </c>
      <c r="AG18" s="78">
        <f>AF18*参数调整!$F$4</f>
        <v>0</v>
      </c>
      <c r="AI18" s="209"/>
      <c r="AJ18" s="211" t="s">
        <v>250</v>
      </c>
      <c r="AK18" s="212"/>
      <c r="AL18" s="103" t="s">
        <v>251</v>
      </c>
      <c r="AM18" s="80">
        <v>12</v>
      </c>
      <c r="AN18" s="111">
        <f>AM18*参数调整!$B$10</f>
        <v>12000</v>
      </c>
      <c r="AO18" s="2"/>
      <c r="AP18" s="2"/>
    </row>
    <row r="19" spans="1:42" ht="13.9" customHeight="1">
      <c r="J19" s="194"/>
      <c r="K19" s="195"/>
      <c r="Q19" s="78" t="s">
        <v>179</v>
      </c>
      <c r="R19" s="79">
        <v>479</v>
      </c>
      <c r="S19" s="79">
        <v>450</v>
      </c>
      <c r="T19" s="79">
        <v>566</v>
      </c>
      <c r="U19" s="79">
        <v>556</v>
      </c>
      <c r="V19" s="79">
        <v>646</v>
      </c>
      <c r="W19" s="79">
        <v>0</v>
      </c>
      <c r="X19" s="79">
        <v>680</v>
      </c>
      <c r="AD19" s="197"/>
      <c r="AE19" s="103" t="s">
        <v>222</v>
      </c>
      <c r="AF19" s="79">
        <v>0</v>
      </c>
      <c r="AG19" s="78">
        <f>AF19*参数调整!$F$5</f>
        <v>0</v>
      </c>
      <c r="AI19" s="209"/>
      <c r="AJ19" s="189"/>
      <c r="AK19" s="213"/>
      <c r="AL19" s="103" t="s">
        <v>252</v>
      </c>
      <c r="AM19" s="80">
        <v>7</v>
      </c>
      <c r="AN19" s="103">
        <f>AM19*参数调整!$B$10</f>
        <v>7000</v>
      </c>
      <c r="AO19" s="2"/>
      <c r="AP19" s="2"/>
    </row>
    <row r="20" spans="1:42" ht="13.9" customHeight="1">
      <c r="J20" s="194"/>
      <c r="K20" s="195"/>
      <c r="Q20" s="78" t="s">
        <v>180</v>
      </c>
      <c r="R20" s="79">
        <v>548</v>
      </c>
      <c r="S20" s="79">
        <v>558</v>
      </c>
      <c r="T20" s="79">
        <v>573</v>
      </c>
      <c r="U20" s="79">
        <v>791</v>
      </c>
      <c r="V20" s="79">
        <v>794</v>
      </c>
      <c r="W20" s="79">
        <v>0</v>
      </c>
      <c r="X20" s="79">
        <v>765</v>
      </c>
      <c r="AD20" s="197"/>
      <c r="AE20" s="103" t="s">
        <v>223</v>
      </c>
      <c r="AF20" s="79">
        <v>0</v>
      </c>
      <c r="AG20" s="78">
        <f>AF20*参数调整!$F$6</f>
        <v>0</v>
      </c>
      <c r="AI20" s="209"/>
      <c r="AJ20" s="211" t="s">
        <v>253</v>
      </c>
      <c r="AK20" s="212"/>
      <c r="AL20" s="103" t="s">
        <v>102</v>
      </c>
      <c r="AM20" s="79">
        <v>0</v>
      </c>
      <c r="AN20" s="103">
        <f>AM20*参数调整!$I$29</f>
        <v>0</v>
      </c>
      <c r="AO20" s="2"/>
      <c r="AP20" s="2"/>
    </row>
    <row r="21" spans="1:42" ht="13.9" customHeight="1">
      <c r="J21" s="193" t="s">
        <v>198</v>
      </c>
      <c r="K21" s="196"/>
      <c r="Q21" s="78" t="s">
        <v>195</v>
      </c>
      <c r="R21" s="79">
        <v>724</v>
      </c>
      <c r="S21" s="79">
        <v>952</v>
      </c>
      <c r="T21" s="79">
        <v>833</v>
      </c>
      <c r="U21" s="79">
        <v>952</v>
      </c>
      <c r="V21" s="79">
        <v>1071</v>
      </c>
      <c r="W21" s="79">
        <v>0</v>
      </c>
      <c r="X21" s="79">
        <v>935</v>
      </c>
      <c r="AD21" s="197"/>
      <c r="AE21" s="103" t="s">
        <v>224</v>
      </c>
      <c r="AF21" s="79">
        <v>0</v>
      </c>
      <c r="AG21" s="78">
        <f>AF21*参数调整!$F$7</f>
        <v>0</v>
      </c>
      <c r="AI21" s="209"/>
      <c r="AJ21" s="188"/>
      <c r="AK21" s="214"/>
      <c r="AL21" s="103" t="s">
        <v>272</v>
      </c>
      <c r="AM21" s="79">
        <v>0</v>
      </c>
      <c r="AN21" s="103">
        <f>AM21*参数调整!$F$29</f>
        <v>0</v>
      </c>
      <c r="AO21" s="2"/>
      <c r="AP21" s="2"/>
    </row>
    <row r="22" spans="1:42" ht="13.9" customHeight="1">
      <c r="J22" s="194">
        <v>17</v>
      </c>
      <c r="K22" s="194"/>
      <c r="Q22" s="185" t="s">
        <v>314</v>
      </c>
      <c r="R22" s="122">
        <f>$J$22*25</f>
        <v>425</v>
      </c>
      <c r="S22" s="122">
        <f>$J$22*20</f>
        <v>340</v>
      </c>
      <c r="T22" s="122">
        <f>$J$22*20</f>
        <v>340</v>
      </c>
      <c r="U22" s="122">
        <f>$J$22*25</f>
        <v>425</v>
      </c>
      <c r="V22" s="122">
        <f>$J$22*34</f>
        <v>578</v>
      </c>
      <c r="W22" s="122">
        <f>$J$22*35</f>
        <v>595</v>
      </c>
      <c r="X22" s="122">
        <f>$J$22*35</f>
        <v>595</v>
      </c>
      <c r="AD22" s="197"/>
      <c r="AE22" s="103" t="s">
        <v>225</v>
      </c>
      <c r="AF22" s="79">
        <v>0</v>
      </c>
      <c r="AG22" s="78">
        <f>AF22*参数调整!$F$8</f>
        <v>0</v>
      </c>
      <c r="AI22" s="209"/>
      <c r="AJ22" s="188"/>
      <c r="AK22" s="214"/>
      <c r="AL22" s="103" t="s">
        <v>101</v>
      </c>
      <c r="AM22" s="79">
        <v>0</v>
      </c>
      <c r="AN22" s="103">
        <f>AM22*参数调整!$H$29</f>
        <v>0</v>
      </c>
      <c r="AO22" s="2"/>
      <c r="AP22" s="2"/>
    </row>
    <row r="23" spans="1:42" ht="13.9" customHeight="1">
      <c r="J23" s="194"/>
      <c r="K23" s="194"/>
      <c r="Q23" s="186"/>
      <c r="R23" s="122">
        <f>$J$22*24</f>
        <v>408</v>
      </c>
      <c r="S23" s="122">
        <f>$J$22*25</f>
        <v>425</v>
      </c>
      <c r="T23" s="122">
        <f>$J$22*29</f>
        <v>493</v>
      </c>
      <c r="U23" s="122">
        <f>$J$22*30</f>
        <v>510</v>
      </c>
      <c r="V23" s="122">
        <f>$J$22*35</f>
        <v>595</v>
      </c>
      <c r="W23" s="122">
        <f>$J$22*44</f>
        <v>748</v>
      </c>
      <c r="X23" s="122">
        <f>$J$22*40</f>
        <v>680</v>
      </c>
      <c r="AD23" s="179" t="s">
        <v>305</v>
      </c>
      <c r="AE23" s="181"/>
      <c r="AF23" s="79">
        <v>0</v>
      </c>
      <c r="AG23" s="78">
        <f>AF23*参数调整!$C$40</f>
        <v>0</v>
      </c>
      <c r="AI23" s="209"/>
      <c r="AJ23" s="189"/>
      <c r="AK23" s="213"/>
      <c r="AL23" s="103" t="s">
        <v>273</v>
      </c>
      <c r="AM23" s="79">
        <v>0</v>
      </c>
      <c r="AN23" s="103">
        <f>AM23*参数调整!$G$29</f>
        <v>0</v>
      </c>
      <c r="AO23" s="2"/>
      <c r="AP23" s="2"/>
    </row>
    <row r="24" spans="1:42" ht="13.9" customHeight="1">
      <c r="J24" s="194"/>
      <c r="K24" s="194"/>
      <c r="Q24" s="186"/>
      <c r="R24" s="122">
        <f>$J$22*30</f>
        <v>510</v>
      </c>
      <c r="S24" s="122">
        <f>$J$22*30</f>
        <v>510</v>
      </c>
      <c r="T24" s="122">
        <f>$J$22*30</f>
        <v>510</v>
      </c>
      <c r="U24" s="122">
        <f>$J$22*39</f>
        <v>663</v>
      </c>
      <c r="V24" s="122">
        <f>$J$22*40</f>
        <v>680</v>
      </c>
      <c r="W24" s="122">
        <f>$J$22*45</f>
        <v>765</v>
      </c>
      <c r="X24" s="122">
        <f>$J$22*45</f>
        <v>765</v>
      </c>
      <c r="AD24" s="197" t="s">
        <v>226</v>
      </c>
      <c r="AE24" s="197"/>
      <c r="AF24" s="79">
        <v>5</v>
      </c>
      <c r="AG24" s="78">
        <f>AF24*参数调整!$F$18</f>
        <v>1500</v>
      </c>
      <c r="AI24" s="209"/>
      <c r="AJ24" s="211" t="s">
        <v>254</v>
      </c>
      <c r="AK24" s="212"/>
      <c r="AL24" s="103" t="s">
        <v>255</v>
      </c>
      <c r="AM24" s="79">
        <v>0</v>
      </c>
      <c r="AN24" s="103">
        <f>AM24*参数调整!$F$23</f>
        <v>0</v>
      </c>
      <c r="AO24" s="2"/>
      <c r="AP24" s="2"/>
    </row>
    <row r="25" spans="1:42" ht="13.9" customHeight="1">
      <c r="Q25" s="187"/>
      <c r="R25" s="122">
        <f>$J$22*35</f>
        <v>595</v>
      </c>
      <c r="S25" s="122">
        <f>$J$22*40</f>
        <v>680</v>
      </c>
      <c r="T25" s="122">
        <f>$J$22*35</f>
        <v>595</v>
      </c>
      <c r="U25" s="122">
        <f>$J$22*40</f>
        <v>680</v>
      </c>
      <c r="V25" s="122">
        <f>$J$22*45</f>
        <v>765</v>
      </c>
      <c r="W25" s="122">
        <f>$J$22*50</f>
        <v>850</v>
      </c>
      <c r="X25" s="122">
        <f>$J$22*55</f>
        <v>935</v>
      </c>
      <c r="AD25" s="197" t="s">
        <v>227</v>
      </c>
      <c r="AE25" s="197"/>
      <c r="AF25" s="79">
        <v>1</v>
      </c>
      <c r="AG25" s="78">
        <f>AF25*参数调整!$F$17</f>
        <v>500</v>
      </c>
      <c r="AI25" s="209"/>
      <c r="AJ25" s="188"/>
      <c r="AK25" s="214"/>
      <c r="AL25" s="103" t="s">
        <v>256</v>
      </c>
      <c r="AM25" s="79">
        <v>0</v>
      </c>
      <c r="AN25" s="103">
        <f>AM25*参数调整!$H$23</f>
        <v>0</v>
      </c>
      <c r="AO25" s="2"/>
      <c r="AP25" s="2"/>
    </row>
    <row r="26" spans="1:42" ht="13.9" customHeight="1">
      <c r="AD26" s="197" t="s">
        <v>228</v>
      </c>
      <c r="AE26" s="197"/>
      <c r="AF26" s="197"/>
      <c r="AG26" s="78">
        <f>SUM(Y3:Y14)</f>
        <v>0</v>
      </c>
      <c r="AI26" s="209"/>
      <c r="AJ26" s="189"/>
      <c r="AK26" s="213"/>
      <c r="AL26" s="103" t="s">
        <v>257</v>
      </c>
      <c r="AM26" s="79">
        <v>0</v>
      </c>
      <c r="AN26" s="103">
        <f>AM26*参数调整!$J$23</f>
        <v>0</v>
      </c>
      <c r="AO26" s="2"/>
      <c r="AP26" s="2"/>
    </row>
    <row r="27" spans="1:42" ht="13.9" customHeight="1">
      <c r="AD27" s="197" t="s">
        <v>229</v>
      </c>
      <c r="AE27" s="197"/>
      <c r="AF27" s="197"/>
      <c r="AG27" s="78">
        <f>G18</f>
        <v>34046.531999999999</v>
      </c>
      <c r="AI27" s="209"/>
      <c r="AJ27" s="179" t="s">
        <v>258</v>
      </c>
      <c r="AK27" s="180"/>
      <c r="AL27" s="181"/>
      <c r="AM27" s="80">
        <f>AM19</f>
        <v>7</v>
      </c>
      <c r="AN27" s="103">
        <f>AM27*参数调整!$J$17*(1+参数调整!$B$12+参数调整!$B$13+参数调整!$B$14+参数调整!$B$15+参数调整!$B$16)</f>
        <v>37687.999999999993</v>
      </c>
      <c r="AO27" s="2"/>
      <c r="AP27" s="2"/>
    </row>
    <row r="28" spans="1:42" ht="13.9" customHeight="1">
      <c r="I28" s="78" t="s">
        <v>315</v>
      </c>
      <c r="J28" s="78" t="s">
        <v>327</v>
      </c>
      <c r="K28" s="78" t="s">
        <v>328</v>
      </c>
      <c r="Q28" s="78" t="s">
        <v>329</v>
      </c>
      <c r="R28" s="78" t="s">
        <v>330</v>
      </c>
      <c r="S28" s="78" t="s">
        <v>325</v>
      </c>
      <c r="T28" s="78" t="s">
        <v>326</v>
      </c>
      <c r="U28" s="78" t="s">
        <v>316</v>
      </c>
      <c r="V28" s="78" t="s">
        <v>317</v>
      </c>
      <c r="W28" s="78" t="s">
        <v>193</v>
      </c>
      <c r="X28" s="78" t="s">
        <v>277</v>
      </c>
      <c r="Y28" s="1"/>
      <c r="AD28" s="197" t="s">
        <v>230</v>
      </c>
      <c r="AE28" s="197"/>
      <c r="AF28" s="197"/>
      <c r="AG28" s="106">
        <f>AG3+AG4*(1-参数调整!$B$18)-SUM(AG5:AG27)</f>
        <v>-15448.982000000004</v>
      </c>
      <c r="AH28" s="106">
        <f>AG28/(1-参数调整!B23)</f>
        <v>-15926.785567010313</v>
      </c>
      <c r="AI28" s="209"/>
      <c r="AJ28" s="182" t="s">
        <v>259</v>
      </c>
      <c r="AK28" s="199" t="s">
        <v>260</v>
      </c>
      <c r="AL28" s="217" t="s">
        <v>178</v>
      </c>
      <c r="AM28" s="215">
        <v>0</v>
      </c>
      <c r="AN28" s="182">
        <f>AM28*参数调整!$B$30*参数调整!F11</f>
        <v>0</v>
      </c>
      <c r="AO28" s="2"/>
      <c r="AP28" s="2"/>
    </row>
    <row r="29" spans="1:42" ht="13.9" customHeight="1">
      <c r="G29" s="78" t="str">
        <f>J3</f>
        <v>S</v>
      </c>
      <c r="H29" s="78">
        <f>第三季度!W3-第四季度!Q3+第四季度!R3</f>
        <v>46</v>
      </c>
      <c r="I29" s="79">
        <v>0</v>
      </c>
      <c r="J29" s="78">
        <f>IF(G29="S",H29*100/(SUM(第三季度!$R$18:$V$18)-$I$29)+U29-V29+Z3*参数调整!$H$11/($X$29*第四季度!$J$18),IF(G29="B",H29*100/(SUM(第三季度!$R$19:$V$19)-第四季度!$I$30)+U29-V29+第四季度!Z3*参数调整!$H$12/(第四季度!$X$30*第四季度!$J$18),IF(第四季度!G29="Q",第四季度!H29*100/(SUM(第三季度!$R$20:$V$20)-第四季度!$I$31)+U29-V29+第四季度!Z3*参数调整!$H$13/(第四季度!$X$31*第四季度!$J$18),第四季度!H29*100/(SUM(第三季度!$R$21:$V$21)-第四季度!$I$32)+U29-V29+第四季度!Z3*参数调整!$H$14/(第四季度!$X$32*第四季度!$J$18))))</f>
        <v>1.7872631517807418</v>
      </c>
      <c r="K29" s="79">
        <v>1331</v>
      </c>
      <c r="Q29" s="104">
        <f>IF(G29="S",H29*100/(SUM(第三季度!$R$18:$V$18)-第四季度!$I$29-第四季度!$K$29)+(U29-V29)*(SUM(第三季度!$R$18:$V$18)-第四季度!$I$29)/(SUM(第三季度!$R$18:$V$18)-第四季度!$I$29-第四季度!$K$29)+Z3*参数调整!$H$11/($X$29*($J$18-$K$32)),IF(G29="B",H29*100/(SUM(第三季度!$R$19:$V$19)-第四季度!$I$30-第四季度!$K$30)+(U29-V29)*(SUM(第三季度!$R$19:$V$19)-第四季度!$I$30)/(SUM(第三季度!$R$19:$V$19)-第四季度!$I$30-第四季度!$K$30)+Z3*参数调整!$H$12/(第四季度!$X$30*(第四季度!$J$18-第四季度!$K$32)),第四季度!J29))</f>
        <v>4.0377789846903216</v>
      </c>
      <c r="R29" s="82">
        <v>2005</v>
      </c>
      <c r="S29" s="104">
        <f>IF(G29="S",H29*100/(SUM(第三季度!$R$18:$V$18)-第四季度!$R$29/2-第四季度!$I$29)+(U29-V29)*(SUM(第三季度!$R$18:$V$18)-第四季度!$I$29)/(SUM(第三季度!$R$18:$V$18)-第四季度!$R$29/2-第四季度!$I$29)+Z3*参数调整!$H$11/($X$29*($J$18-$R$34/2)),IF(第四季度!G29="B",第四季度!H29*100/(SUM(第三季度!$R$19:$V$19)-第四季度!$R$30/2-第四季度!$I$30)+(U29-V29)*(SUM(第三季度!$R$19:$V$19)-第四季度!$I$30)/(SUM(第三季度!$R$19:$V$19)-第四季度!$R$30/2-第四季度!$I$30)+Z3*参数调整!$H$12/(第四季度!$X$30*(第四季度!$J$18-第四季度!$R$34/2)),IF(第四季度!G29="Q",第四季度!H29*100/(SUM(第三季度!$R$20:$V$20)-第四季度!$R$31/2-第四季度!$I$31)+(U29-V29)*(SUM(第三季度!$R$20:$V$20)-第四季度!$I$31)/(SUM(第三季度!$R$20:$V$20)-第四季度!$R$31/2-第四季度!$I$31)+Z3*参数调整!$H$13/(第四季度!$X$31*(第四季度!$J$18-第四季度!$R$34/2)),第四季度!H29*100/(SUM(第三季度!$R$21:$V$21)-第四季度!$R$32/2-第四季度!$I$32)+(U29-V29)*(SUM(第三季度!$R$21:$V$21)-第四季度!$I$32)/(SUM(第三季度!$R$21:$V$21)-第四季度!$R$32/2-第四季度!$I$32)+Z3*参数调整!$H$14/(第四季度!$X$32*(第四季度!$J$18-第四季度!$R$34/2)))))</f>
        <v>3.0744714016407788</v>
      </c>
      <c r="T29" s="104">
        <f>IF(G29="S",(第三季度!W3-第四季度!Q3+第二季度!V3-第三季度!Q3+第一季度!U3-第二季度!Q3)*参数调整!$K$11/(第二季度!$O$17+第三季度!$P$17+第一季度!$N$19),IF(第四季度!G29="B",(第三季度!W3-第四季度!Q3+第二季度!V3-第三季度!Q3+第一季度!U3-第二季度!Q3)*参数调整!$K$12/(第一季度!$N$20+第二季度!$O$18+第三季度!$P$18),IF(第四季度!G29="Q",(第三季度!W3-第四季度!Q3+第二季度!V3-第三季度!Q3+第一季度!U3-第二季度!Q3)*参数调整!$K$13/(第一季度!$N$21+第二季度!$O$19+第三季度!$P$19),(第三季度!W3-第四季度!Q3+第二季度!V3-第三季度!Q3+第一季度!U3-第二季度!Q3)*参数调整!$K$14/(第一季度!$N$22+第二季度!$O$20+第三季度!$P$20))))</f>
        <v>0.10549001814882032</v>
      </c>
      <c r="U29" s="78">
        <f>T29-(第三季度!S29+第二季度!AA41)</f>
        <v>-4.135420134149248E-4</v>
      </c>
      <c r="V29" s="82">
        <v>0.15</v>
      </c>
      <c r="W29" s="82">
        <v>7530.0220401197939</v>
      </c>
      <c r="X29" s="78">
        <f>W29+第三季度!W29*0.53653684+第二季度!U18*0.53653684*0.46055126</f>
        <v>17893.671132591473</v>
      </c>
      <c r="Y29" s="124">
        <v>7530.0220401197939</v>
      </c>
      <c r="AD29" s="179" t="s">
        <v>322</v>
      </c>
      <c r="AE29" s="180"/>
      <c r="AF29" s="181"/>
      <c r="AG29" s="79">
        <v>28444</v>
      </c>
      <c r="AI29" s="209"/>
      <c r="AJ29" s="183"/>
      <c r="AK29" s="200"/>
      <c r="AL29" s="218"/>
      <c r="AM29" s="216"/>
      <c r="AN29" s="184"/>
      <c r="AO29" s="2"/>
      <c r="AP29" s="2"/>
    </row>
    <row r="30" spans="1:42" ht="13.9" customHeight="1">
      <c r="G30" s="78" t="str">
        <f t="shared" ref="G30:G40" si="8">J4</f>
        <v>S</v>
      </c>
      <c r="H30" s="78">
        <f>第三季度!W4-第四季度!Q4+第四季度!R4</f>
        <v>61</v>
      </c>
      <c r="I30" s="79">
        <v>0</v>
      </c>
      <c r="J30" s="78">
        <f>IF(G30="S",H30*100/(SUM(第三季度!$R$18:$V$18)-$I$29)+U30-V30+Z4*参数调整!$H$11/($X$29*第四季度!$J$18),IF(G30="B",H30*100/(SUM(第三季度!$R$19:$V$19)-第四季度!$I$30)+U30-V30+第四季度!Z4*参数调整!$H$12/(第四季度!$X$30*第四季度!$J$18),IF(第四季度!G30="Q",第四季度!H30*100/(SUM(第三季度!$R$20:$V$20)-第四季度!$I$31)+U30-V30+第四季度!Z4*参数调整!$H$13/(第四季度!$X$31*第四季度!$J$18),第四季度!H30*100/(SUM(第三季度!$R$21:$V$21)-第四季度!$I$32)+U30-V30+第四季度!Z4*参数调整!$H$14/(第四季度!$X$32*第四季度!$J$18))))</f>
        <v>2.2248404189729243</v>
      </c>
      <c r="K30" s="79">
        <v>1557</v>
      </c>
      <c r="Q30" s="104">
        <f>IF(G30="S",H30*100/(SUM(第三季度!$R$18:$V$18)-第四季度!$I$29-第四季度!$K$29)+(U30-V30)*(SUM(第三季度!$R$18:$V$18)-第四季度!$I$29)/(SUM(第三季度!$R$18:$V$18)-第四季度!$I$29-第四季度!$K$29)+Z4*参数调整!$H$11/($X$29*($J$18-$K$32)),IF(G30="B",H30*100/(SUM(第三季度!$R$19:$V$19)-第四季度!$I$30-第四季度!$K$30)+(U30-V30)*(SUM(第三季度!$R$19:$V$19)-第四季度!$I$30)/(SUM(第三季度!$R$19:$V$19)-第四季度!$I$30-第四季度!$K$30)+Z4*参数调整!$H$12/(第四季度!$X$30*(第四季度!$J$18-第四季度!$K$32)),第四季度!J30))</f>
        <v>5.0383111855515059</v>
      </c>
      <c r="R30" s="79">
        <v>1875</v>
      </c>
      <c r="S30" s="104">
        <f>IF(G30="S",H30*100/(SUM(第三季度!$R$18:$V$18)-第四季度!$R$29/2-第四季度!$I$29)+(U30-V30)*(SUM(第三季度!$R$18:$V$18)-第四季度!$I$29)/(SUM(第三季度!$R$18:$V$18)-第四季度!$R$29/2-第四季度!$I$29)+Z4*参数调整!$H$11/($X$29*($J$18-$R$34/2)),IF(第四季度!G30="B",第四季度!H30*100/(SUM(第三季度!$R$19:$V$19)-第四季度!$R$30/2-第四季度!$I$30)+(U30-V30)*(SUM(第三季度!$R$19:$V$19)-第四季度!$I$30)/(SUM(第三季度!$R$19:$V$19)-第四季度!$R$30/2-第四季度!$I$30)+Z4*参数调整!$H$12/(第四季度!$X$30*(第四季度!$J$18-第四季度!$R$34/2)),IF(第四季度!G30="Q",第四季度!H30*100/(SUM(第三季度!$R$20:$V$20)-第四季度!$R$31/2-第四季度!$I$31)+(U30-V30)*(SUM(第三季度!$R$20:$V$20)-第四季度!$I$31)/(SUM(第三季度!$R$20:$V$20)-第四季度!$R$31/2-第四季度!$I$31)+Z4*参数调整!$H$13/(第四季度!$X$31*(第四季度!$J$18-第四季度!$R$34/2)),第四季度!H30*100/(SUM(第三季度!$R$21:$V$21)-第四季度!$R$32/2-第四季度!$I$32)+(U30-V30)*(SUM(第三季度!$R$21:$V$21)-第四季度!$I$32)/(SUM(第三季度!$R$21:$V$21)-第四季度!$R$32/2-第四季度!$I$32)+Z4*参数调整!$H$14/(第四季度!$X$32*(第四季度!$J$18-第四季度!$R$34/2)))))</f>
        <v>3.7980701495287033</v>
      </c>
      <c r="T30" s="104">
        <f>IF(G30="S",(第三季度!W4-第四季度!Q4+第二季度!V4-第三季度!Q4+第一季度!U4-第二季度!Q4)*参数调整!$K$11/(第二季度!$O$17+第三季度!$P$17+第一季度!$N$19),IF(第四季度!G30="B",(第三季度!W4-第四季度!Q4+第二季度!V4-第三季度!Q4+第一季度!U4-第二季度!Q4)*参数调整!$K$12/(第一季度!$N$20+第二季度!$O$18+第三季度!$P$18),IF(第四季度!G30="Q",(第三季度!W4-第四季度!Q4+第二季度!V4-第三季度!Q4+第一季度!U4-第二季度!Q4)*参数调整!$K$13/(第一季度!$N$21+第二季度!$O$19+第三季度!$P$19),(第三季度!W4-第四季度!Q4+第二季度!V4-第三季度!Q4+第一季度!U4-第二季度!Q4)*参数调整!$K$14/(第一季度!$N$22+第二季度!$O$20+第三季度!$P$20))))</f>
        <v>0.18375680580762249</v>
      </c>
      <c r="U30" s="78">
        <f>T30-(第三季度!S30+第二季度!AA42)</f>
        <v>-4.3823185179308555E-2</v>
      </c>
      <c r="V30" s="79">
        <v>0.37</v>
      </c>
      <c r="W30" s="79">
        <v>12587.523555763204</v>
      </c>
      <c r="X30" s="78">
        <f>W30+第三季度!W30*0.53653684+第二季度!U19*0.53653684*0.46055126</f>
        <v>22245.697895130528</v>
      </c>
      <c r="Y30" s="98">
        <v>12587.523555763204</v>
      </c>
      <c r="AD30" s="179" t="s">
        <v>230</v>
      </c>
      <c r="AE30" s="180"/>
      <c r="AF30" s="181"/>
      <c r="AG30" s="106">
        <f>AG29*(1-参数调整!B23)+第四季度!AG28</f>
        <v>12141.697999999997</v>
      </c>
      <c r="AI30" s="209"/>
      <c r="AJ30" s="183"/>
      <c r="AK30" s="200"/>
      <c r="AL30" s="217" t="s">
        <v>179</v>
      </c>
      <c r="AM30" s="215">
        <v>0</v>
      </c>
      <c r="AN30" s="182">
        <f>参数调整!F12*AM30*参数调整!$B$30</f>
        <v>0</v>
      </c>
      <c r="AO30" s="2"/>
      <c r="AP30" s="2"/>
    </row>
    <row r="31" spans="1:42" ht="13.9" customHeight="1">
      <c r="G31" s="78" t="str">
        <f t="shared" si="8"/>
        <v>B</v>
      </c>
      <c r="H31" s="78">
        <f>第三季度!W5-第四季度!Q5+第四季度!R5</f>
        <v>61</v>
      </c>
      <c r="I31" s="79">
        <v>0</v>
      </c>
      <c r="J31" s="78">
        <f>IF(G31="S",H31*100/(SUM(第三季度!$R$18:$V$18)-$I$29)+U31-V31+Z5*参数调整!$H$11/($X$29*第四季度!$J$18),IF(G31="B",H31*100/(SUM(第三季度!$R$19:$V$19)-第四季度!$I$30)+U31-V31+第四季度!Z5*参数调整!$H$12/(第四季度!$X$30*第四季度!$J$18),IF(第四季度!G31="Q",第四季度!H31*100/(SUM(第三季度!$R$20:$V$20)-第四季度!$I$31)+U31-V31+第四季度!Z5*参数调整!$H$13/(第四季度!$X$31*第四季度!$J$18),第四季度!H31*100/(SUM(第三季度!$R$21:$V$21)-第四季度!$I$32)+U31-V31+第四季度!Z5*参数调整!$H$14/(第四季度!$X$32*第四季度!$J$18))))</f>
        <v>1.9852433693770806</v>
      </c>
      <c r="K31" s="78" t="s">
        <v>331</v>
      </c>
      <c r="Q31" s="104">
        <f>IF(G31="S",H31*100/(SUM(第三季度!$R$18:$V$18)-第四季度!$I$29-第四季度!$K$29)+(U31-V31)*(SUM(第三季度!$R$18:$V$18)-第四季度!$I$29)/(SUM(第三季度!$R$18:$V$18)-第四季度!$I$29-第四季度!$K$29)+Z5*参数调整!$H$11/($X$29*($J$18-$K$32)),IF(G31="B",H31*100/(SUM(第三季度!$R$19:$V$19)-第四季度!$I$30-第四季度!$K$30)+(U31-V31)*(SUM(第三季度!$R$19:$V$19)-第四季度!$I$30)/(SUM(第三季度!$R$19:$V$19)-第四季度!$I$30-第四季度!$K$30)+Z5*参数调整!$H$12/(第四季度!$X$30*(第四季度!$J$18-第四季度!$K$32)),第四季度!J31))</f>
        <v>4.3702926950870449</v>
      </c>
      <c r="R31" s="79">
        <v>1531</v>
      </c>
      <c r="S31" s="104">
        <f>IF(G31="S",H31*100/(SUM(第三季度!$R$18:$V$18)-第四季度!$R$29/2-第四季度!$I$29)+(U31-V31)*(SUM(第三季度!$R$18:$V$18)-第四季度!$I$29)/(SUM(第三季度!$R$18:$V$18)-第四季度!$R$29/2-第四季度!$I$29)+Z5*参数调整!$H$11/($X$29*($J$18-$R$34/2)),IF(第四季度!G31="B",第四季度!H31*100/(SUM(第三季度!$R$19:$V$19)-第四季度!$R$30/2-第四季度!$I$30)+(U31-V31)*(SUM(第三季度!$R$19:$V$19)-第四季度!$I$30)/(SUM(第三季度!$R$19:$V$19)-第四季度!$R$30/2-第四季度!$I$30)+Z5*参数调整!$H$12/(第四季度!$X$30*(第四季度!$J$18-第四季度!$R$34/2)),IF(第四季度!G31="Q",第四季度!H31*100/(SUM(第三季度!$R$20:$V$20)-第四季度!$R$31/2-第四季度!$I$31)+(U31-V31)*(SUM(第三季度!$R$20:$V$20)-第四季度!$I$31)/(SUM(第三季度!$R$20:$V$20)-第四季度!$R$31/2-第四季度!$I$31)+Z5*参数调整!$H$13/(第四季度!$X$31*(第四季度!$J$18-第四季度!$R$34/2)),第四季度!H31*100/(SUM(第三季度!$R$21:$V$21)-第四季度!$R$32/2-第四季度!$I$32)+(U31-V31)*(SUM(第三季度!$R$21:$V$21)-第四季度!$I$32)/(SUM(第三季度!$R$21:$V$21)-第四季度!$R$32/2-第四季度!$I$32)+Z5*参数调整!$H$14/(第四季度!$X$32*(第四季度!$J$18-第四季度!$R$34/2)))))</f>
        <v>2.9568777514136313</v>
      </c>
      <c r="T31" s="104">
        <f>IF(G31="S",(第三季度!W5-第四季度!Q5+第二季度!V5-第三季度!Q5+第一季度!U5-第二季度!Q5)*参数调整!$K$11/(第二季度!$O$17+第三季度!$P$17+第一季度!$N$19),IF(第四季度!G31="B",(第三季度!W5-第四季度!Q5+第二季度!V5-第三季度!Q5+第一季度!U5-第二季度!Q5)*参数调整!$K$12/(第一季度!$N$20+第二季度!$O$18+第三季度!$P$18),IF(第四季度!G31="Q",(第三季度!W5-第四季度!Q5+第二季度!V5-第三季度!Q5+第一季度!U5-第二季度!Q5)*参数调整!$K$13/(第一季度!$N$21+第二季度!$O$19+第三季度!$P$19),(第三季度!W5-第四季度!Q5+第二季度!V5-第三季度!Q5+第一季度!U5-第二季度!Q5)*参数调整!$K$14/(第一季度!$N$22+第二季度!$O$20+第三季度!$P$20))))</f>
        <v>8.4659322725418193E-2</v>
      </c>
      <c r="U31" s="78">
        <f>T31-(第三季度!S31+第二季度!AA43)</f>
        <v>3.7143124021314519E-2</v>
      </c>
      <c r="V31" s="79">
        <v>0.19</v>
      </c>
      <c r="W31" s="79">
        <v>5947.4370822765441</v>
      </c>
      <c r="X31" s="78">
        <f>W31+第三季度!W31*0.53653684+第二季度!U20*0.53653684*0.46055126</f>
        <v>11687.432912175878</v>
      </c>
      <c r="Y31" s="98">
        <v>5947.4370822765441</v>
      </c>
      <c r="AI31" s="209"/>
      <c r="AJ31" s="183"/>
      <c r="AK31" s="200"/>
      <c r="AL31" s="218"/>
      <c r="AM31" s="216"/>
      <c r="AN31" s="184"/>
      <c r="AO31" s="2"/>
      <c r="AP31" s="2"/>
    </row>
    <row r="32" spans="1:42" ht="13.9" customHeight="1">
      <c r="G32" s="78" t="str">
        <f t="shared" si="8"/>
        <v>Q</v>
      </c>
      <c r="H32" s="78">
        <f>第三季度!W6-第四季度!Q6+第四季度!R6</f>
        <v>68</v>
      </c>
      <c r="I32" s="79">
        <v>0</v>
      </c>
      <c r="J32" s="78">
        <f>IF(G32="S",H32*100/(SUM(第三季度!$R$18:$V$18)-$I$29)+U32-V32+Z6*参数调整!$H$11/($X$29*第四季度!$J$18),IF(G32="B",H32*100/(SUM(第三季度!$R$19:$V$19)-第四季度!$I$30)+U32-V32+第四季度!Z6*参数调整!$H$12/(第四季度!$X$30*第四季度!$J$18),IF(第四季度!G32="Q",第四季度!H32*100/(SUM(第三季度!$R$20:$V$20)-第四季度!$I$31)+U32-V32+第四季度!Z6*参数调整!$H$13/(第四季度!$X$31*第四季度!$J$18),第四季度!H32*100/(SUM(第三季度!$R$21:$V$21)-第四季度!$I$32)+U32-V32+第四季度!Z6*参数调整!$H$14/(第四季度!$X$32*第四季度!$J$18))))</f>
        <v>1.9285444171898385</v>
      </c>
      <c r="K32" s="79">
        <v>10</v>
      </c>
      <c r="Q32" s="104">
        <f>IF(G32="S",H32*100/(SUM(第三季度!$R$18:$V$18)-第四季度!$I$29-第四季度!$K$29)+(U32-V32)*(SUM(第三季度!$R$18:$V$18)-第四季度!$I$29)/(SUM(第三季度!$R$18:$V$18)-第四季度!$I$29-第四季度!$K$29)+Z6*参数调整!$H$11/($X$29*($J$18-$K$32)),IF(G32="B",H32*100/(SUM(第三季度!$R$19:$V$19)-第四季度!$I$30-第四季度!$K$30)+(U32-V32)*(SUM(第三季度!$R$19:$V$19)-第四季度!$I$30)/(SUM(第三季度!$R$19:$V$19)-第四季度!$I$30-第四季度!$K$30)+Z6*参数调整!$H$12/(第四季度!$X$30*(第四季度!$J$18-第四季度!$K$32)),第四季度!J32))</f>
        <v>1.9285444171898385</v>
      </c>
      <c r="R32" s="79">
        <v>1483</v>
      </c>
      <c r="S32" s="104">
        <f>IF(G32="S",H32*100/(SUM(第三季度!$R$18:$V$18)-第四季度!$R$29/2-第四季度!$I$29)+(U32-V32)*(SUM(第三季度!$R$18:$V$18)-第四季度!$I$29)/(SUM(第三季度!$R$18:$V$18)-第四季度!$R$29/2-第四季度!$I$29)+Z6*参数调整!$H$11/($X$29*($J$18-$R$34/2)),IF(第四季度!G32="B",第四季度!H32*100/(SUM(第三季度!$R$19:$V$19)-第四季度!$R$30/2-第四季度!$I$30)+(U32-V32)*(SUM(第三季度!$R$19:$V$19)-第四季度!$I$30)/(SUM(第三季度!$R$19:$V$19)-第四季度!$R$30/2-第四季度!$I$30)+Z6*参数调整!$H$12/(第四季度!$X$30*(第四季度!$J$18-第四季度!$R$34/2)),IF(第四季度!G32="Q",第四季度!H32*100/(SUM(第三季度!$R$20:$V$20)-第四季度!$R$31/2-第四季度!$I$31)+(U32-V32)*(SUM(第三季度!$R$20:$V$20)-第四季度!$I$31)/(SUM(第三季度!$R$20:$V$20)-第四季度!$R$31/2-第四季度!$I$31)+Z6*参数调整!$H$13/(第四季度!$X$31*(第四季度!$J$18-第四季度!$R$34/2)),第四季度!H32*100/(SUM(第三季度!$R$21:$V$21)-第四季度!$R$32/2-第四季度!$I$32)+(U32-V32)*(SUM(第三季度!$R$21:$V$21)-第四季度!$I$32)/(SUM(第三季度!$R$21:$V$21)-第四季度!$R$32/2-第四季度!$I$32)+Z6*参数调整!$H$14/(第四季度!$X$32*(第四季度!$J$18-第四季度!$R$34/2)))))</f>
        <v>2.4988750145855589</v>
      </c>
      <c r="T32" s="104">
        <f>IF(G32="S",(第三季度!W6-第四季度!Q6+第二季度!V6-第三季度!Q6+第一季度!U6-第二季度!Q6)*参数调整!$K$11/(第二季度!$O$17+第三季度!$P$17+第一季度!$N$19),IF(第四季度!G32="B",(第三季度!W6-第四季度!Q6+第二季度!V6-第三季度!Q6+第一季度!U6-第二季度!Q6)*参数调整!$K$12/(第一季度!$N$20+第二季度!$O$18+第三季度!$P$18),IF(第四季度!G32="Q",(第三季度!W6-第四季度!Q6+第二季度!V6-第三季度!Q6+第一季度!U6-第二季度!Q6)*参数调整!$K$13/(第一季度!$N$21+第二季度!$O$19+第三季度!$P$19),(第三季度!W6-第四季度!Q6+第二季度!V6-第三季度!Q6+第一季度!U6-第二季度!Q6)*参数调整!$K$14/(第一季度!$N$22+第二季度!$O$20+第三季度!$P$20))))</f>
        <v>0.21060842433697347</v>
      </c>
      <c r="U32" s="78">
        <f>T32-(第三季度!S32+第二季度!AA44)</f>
        <v>0.14111448278316019</v>
      </c>
      <c r="V32" s="79">
        <v>0.24</v>
      </c>
      <c r="W32" s="79">
        <v>1498.6335219803559</v>
      </c>
      <c r="X32" s="78">
        <f>W32+第三季度!W32*0.53653684+第二季度!U21*0.53653684*0.46055126</f>
        <v>3343.3320501023318</v>
      </c>
      <c r="Y32" s="98">
        <v>1498.6335219803559</v>
      </c>
      <c r="AI32" s="209"/>
      <c r="AJ32" s="183"/>
      <c r="AK32" s="200"/>
      <c r="AL32" s="217" t="s">
        <v>180</v>
      </c>
      <c r="AM32" s="215">
        <v>0</v>
      </c>
      <c r="AN32" s="182">
        <f>参数调整!F13*AM32*参数调整!$B$30</f>
        <v>0</v>
      </c>
      <c r="AO32" s="2"/>
      <c r="AP32" s="2"/>
    </row>
    <row r="33" spans="1:42" ht="13.9" customHeight="1">
      <c r="G33" s="78" t="str">
        <f t="shared" si="8"/>
        <v>Q</v>
      </c>
      <c r="H33" s="78">
        <f>第三季度!W7-第四季度!Q7+第四季度!R7</f>
        <v>83</v>
      </c>
      <c r="I33" s="1"/>
      <c r="J33" s="78">
        <f>IF(G33="S",H33*100/(SUM(第三季度!$R$18:$V$18)-$I$29)+U33-V33+Z7*参数调整!$H$11/($X$29*第四季度!$J$18),IF(G33="B",H33*100/(SUM(第三季度!$R$19:$V$19)-第四季度!$I$30)+U33-V33+第四季度!Z7*参数调整!$H$12/(第四季度!$X$30*第四季度!$J$18),IF(第四季度!G33="Q",第四季度!H33*100/(SUM(第三季度!$R$20:$V$20)-第四季度!$I$31)+U33-V33+第四季度!Z7*参数调整!$H$13/(第四季度!$X$31*第四季度!$J$18),第四季度!H33*100/(SUM(第三季度!$R$21:$V$21)-第四季度!$I$32)+U33-V33+第四季度!Z7*参数调整!$H$14/(第四季度!$X$32*第四季度!$J$18))))</f>
        <v>2.2393445610395211</v>
      </c>
      <c r="K33" s="1"/>
      <c r="Q33" s="104">
        <f>IF(G33="S",H33*100/(SUM(第三季度!$R$18:$V$18)-第四季度!$I$29-第四季度!$K$29)+(U33-V33)*(SUM(第三季度!$R$18:$V$18)-第四季度!$I$29)/(SUM(第三季度!$R$18:$V$18)-第四季度!$I$29-第四季度!$K$29)+Z7*参数调整!$H$11/($X$29*($J$18-$K$32)),IF(G33="B",H33*100/(SUM(第三季度!$R$19:$V$19)-第四季度!$I$30-第四季度!$K$30)+(U33-V33)*(SUM(第三季度!$R$19:$V$19)-第四季度!$I$30)/(SUM(第三季度!$R$19:$V$19)-第四季度!$I$30-第四季度!$K$30)+Z7*参数调整!$H$12/(第四季度!$X$30*(第四季度!$J$18-第四季度!$K$32)),第四季度!J33))</f>
        <v>2.2393445610395211</v>
      </c>
      <c r="R33" s="78" t="s">
        <v>331</v>
      </c>
      <c r="S33" s="104">
        <f>IF(G33="S",H33*100/(SUM(第三季度!$R$18:$V$18)-第四季度!$R$29/2-第四季度!$I$29)+(U33-V33)*(SUM(第三季度!$R$18:$V$18)-第四季度!$I$29)/(SUM(第三季度!$R$18:$V$18)-第四季度!$R$29/2-第四季度!$I$29)+Z7*参数调整!$H$11/($X$29*($J$18-$R$34/2)),IF(第四季度!G33="B",第四季度!H33*100/(SUM(第三季度!$R$19:$V$19)-第四季度!$R$30/2-第四季度!$I$30)+(U33-V33)*(SUM(第三季度!$R$19:$V$19)-第四季度!$I$30)/(SUM(第三季度!$R$19:$V$19)-第四季度!$R$30/2-第四季度!$I$30)+Z7*参数调整!$H$12/(第四季度!$X$30*(第四季度!$J$18-第四季度!$R$34/2)),IF(第四季度!G33="Q",第四季度!H33*100/(SUM(第三季度!$R$20:$V$20)-第四季度!$R$31/2-第四季度!$I$31)+(U33-V33)*(SUM(第三季度!$R$20:$V$20)-第四季度!$I$31)/(SUM(第三季度!$R$20:$V$20)-第四季度!$R$31/2-第四季度!$I$31)+Z7*参数调整!$H$13/(第四季度!$X$31*(第四季度!$J$18-第四季度!$R$34/2)),第四季度!H33*100/(SUM(第三季度!$R$21:$V$21)-第四季度!$R$32/2-第四季度!$I$32)+(U33-V33)*(SUM(第三季度!$R$21:$V$21)-第四季度!$I$32)/(SUM(第三季度!$R$21:$V$21)-第四季度!$R$32/2-第四季度!$I$32)+Z7*参数调整!$H$14/(第四季度!$X$32*(第四季度!$J$18-第四季度!$R$34/2)))))</f>
        <v>2.9024809877743181</v>
      </c>
      <c r="T33" s="104">
        <f>IF(G33="S",(第三季度!W7-第四季度!Q7+第二季度!V7-第三季度!Q7+第一季度!U7-第二季度!Q7)*参数调整!$K$11/(第二季度!$O$17+第三季度!$P$17+第一季度!$N$19),IF(第四季度!G33="B",(第三季度!W7-第四季度!Q7+第二季度!V7-第三季度!Q7+第一季度!U7-第二季度!Q7)*参数调整!$K$12/(第一季度!$N$20+第二季度!$O$18+第三季度!$P$18),IF(第四季度!G33="Q",(第三季度!W7-第四季度!Q7+第二季度!V7-第三季度!Q7+第一季度!U7-第二季度!Q7)*参数调整!$K$13/(第一季度!$N$21+第二季度!$O$19+第三季度!$P$19),(第三季度!W7-第四季度!Q7+第二季度!V7-第三季度!Q7+第一季度!U7-第二季度!Q7)*参数调整!$K$14/(第一季度!$N$22+第二季度!$O$20+第三季度!$P$20))))</f>
        <v>0.51482059282371295</v>
      </c>
      <c r="U33" s="78">
        <f>T33-(第三季度!S33+第二季度!AA45)</f>
        <v>-9.9933505536942802E-2</v>
      </c>
      <c r="V33" s="79">
        <v>0.21</v>
      </c>
      <c r="W33" s="1"/>
      <c r="X33" s="1"/>
      <c r="Y33" s="1"/>
      <c r="AA33">
        <v>1242</v>
      </c>
      <c r="AB33">
        <v>812</v>
      </c>
      <c r="AC33">
        <f>AA33+AB33*2</f>
        <v>2866</v>
      </c>
      <c r="AI33" s="209"/>
      <c r="AJ33" s="183"/>
      <c r="AK33" s="200"/>
      <c r="AL33" s="218"/>
      <c r="AM33" s="216"/>
      <c r="AN33" s="184"/>
      <c r="AO33" s="2"/>
      <c r="AP33" s="2"/>
    </row>
    <row r="34" spans="1:42" ht="13.9" customHeight="1">
      <c r="G34" s="78" t="str">
        <f t="shared" si="8"/>
        <v>Q</v>
      </c>
      <c r="H34" s="78">
        <f>第三季度!W8-第四季度!Q8+第四季度!R8</f>
        <v>71</v>
      </c>
      <c r="I34" s="1"/>
      <c r="J34" s="78">
        <f>IF(G34="S",H34*100/(SUM(第三季度!$R$18:$V$18)-$I$29)+U34-V34+Z8*参数调整!$H$11/($X$29*第四季度!$J$18),IF(G34="B",H34*100/(SUM(第三季度!$R$19:$V$19)-第四季度!$I$30)+U34-V34+第四季度!Z8*参数调整!$H$12/(第四季度!$X$30*第四季度!$J$18),IF(第四季度!G34="Q",第四季度!H34*100/(SUM(第三季度!$R$20:$V$20)-第四季度!$I$31)+U34-V34+第四季度!Z8*参数调整!$H$13/(第四季度!$X$31*第四季度!$J$18),第四季度!H34*100/(SUM(第三季度!$R$21:$V$21)-第四季度!$I$32)+U34-V34+第四季度!Z8*参数调整!$H$14/(第四季度!$X$32*第四季度!$J$18))))</f>
        <v>2.0112969750976566</v>
      </c>
      <c r="K34" s="1"/>
      <c r="Q34" s="104">
        <f>IF(G34="S",H34*100/(SUM(第三季度!$R$18:$V$18)-第四季度!$I$29-第四季度!$K$29)+(U34-V34)*(SUM(第三季度!$R$18:$V$18)-第四季度!$I$29)/(SUM(第三季度!$R$18:$V$18)-第四季度!$I$29-第四季度!$K$29)+Z8*参数调整!$H$11/($X$29*($J$18-$K$32)),IF(G34="B",H34*100/(SUM(第三季度!$R$19:$V$19)-第四季度!$I$30-第四季度!$K$30)+(U34-V34)*(SUM(第三季度!$R$19:$V$19)-第四季度!$I$30)/(SUM(第三季度!$R$19:$V$19)-第四季度!$I$30-第四季度!$K$30)+Z8*参数调整!$H$12/(第四季度!$X$30*(第四季度!$J$18-第四季度!$K$32)),第四季度!J34))</f>
        <v>2.0112969750976566</v>
      </c>
      <c r="R34" s="79">
        <v>8</v>
      </c>
      <c r="S34" s="104">
        <f>IF(G34="S",H34*100/(SUM(第三季度!$R$18:$V$18)-第四季度!$R$29/2-第四季度!$I$29)+(U34-V34)*(SUM(第三季度!$R$18:$V$18)-第四季度!$I$29)/(SUM(第三季度!$R$18:$V$18)-第四季度!$R$29/2-第四季度!$I$29)+Z8*参数调整!$H$11/($X$29*($J$18-$R$34/2)),IF(第四季度!G34="B",第四季度!H34*100/(SUM(第三季度!$R$19:$V$19)-第四季度!$R$30/2-第四季度!$I$30)+(U34-V34)*(SUM(第三季度!$R$19:$V$19)-第四季度!$I$30)/(SUM(第三季度!$R$19:$V$19)-第四季度!$R$30/2-第四季度!$I$30)+Z8*参数调整!$H$12/(第四季度!$X$30*(第四季度!$J$18-第四季度!$R$34/2)),IF(第四季度!G34="Q",第四季度!H34*100/(SUM(第三季度!$R$20:$V$20)-第四季度!$R$31/2-第四季度!$I$31)+(U34-V34)*(SUM(第三季度!$R$20:$V$20)-第四季度!$I$31)/(SUM(第三季度!$R$20:$V$20)-第四季度!$R$31/2-第四季度!$I$31)+Z8*参数调整!$H$13/(第四季度!$X$31*(第四季度!$J$18-第四季度!$R$34/2)),第四季度!H34*100/(SUM(第三季度!$R$21:$V$21)-第四季度!$R$32/2-第四季度!$I$32)+(U34-V34)*(SUM(第三季度!$R$21:$V$21)-第四季度!$I$32)/(SUM(第三季度!$R$21:$V$21)-第四季度!$R$32/2-第四季度!$I$32)+Z8*参数调整!$H$14/(第四季度!$X$32*(第四季度!$J$18-第四季度!$R$34/2)))))</f>
        <v>2.6063232177938409</v>
      </c>
      <c r="T34" s="104">
        <f>IF(G34="S",(第三季度!W8-第四季度!Q8+第二季度!V8-第三季度!Q8+第一季度!U8-第二季度!Q8)*参数调整!$K$11/(第二季度!$O$17+第三季度!$P$17+第一季度!$N$19),IF(第四季度!G34="B",(第三季度!W8-第四季度!Q8+第二季度!V8-第三季度!Q8+第一季度!U8-第二季度!Q8)*参数调整!$K$12/(第一季度!$N$20+第二季度!$O$18+第三季度!$P$18),IF(第四季度!G34="Q",(第三季度!W8-第四季度!Q8+第二季度!V8-第三季度!Q8+第一季度!U8-第二季度!Q8)*参数调整!$K$13/(第一季度!$N$21+第二季度!$O$19+第三季度!$P$19),(第三季度!W8-第四季度!Q8+第二季度!V8-第三季度!Q8+第一季度!U8-第二季度!Q8)*参数调整!$K$14/(第一季度!$N$22+第二季度!$O$20+第三季度!$P$20))))</f>
        <v>0.27821112844513779</v>
      </c>
      <c r="U34" s="78">
        <f>T34-(第三季度!S34+第二季度!AA46)</f>
        <v>8.5766367219193396E-2</v>
      </c>
      <c r="V34" s="79">
        <v>0.21</v>
      </c>
      <c r="W34" s="1"/>
      <c r="X34" s="1"/>
      <c r="Y34" s="1"/>
      <c r="AA34">
        <v>1246</v>
      </c>
      <c r="AB34">
        <v>984</v>
      </c>
      <c r="AC34">
        <f t="shared" ref="AC34:AC36" si="9">AA34+AB34*2</f>
        <v>3214</v>
      </c>
      <c r="AI34" s="209"/>
      <c r="AJ34" s="183"/>
      <c r="AK34" s="200"/>
      <c r="AL34" s="217" t="s">
        <v>195</v>
      </c>
      <c r="AM34" s="215">
        <v>0</v>
      </c>
      <c r="AN34" s="182">
        <f>参数调整!F14*AM34*参数调整!$B$30</f>
        <v>0</v>
      </c>
      <c r="AO34" s="2"/>
      <c r="AP34" s="2"/>
    </row>
    <row r="35" spans="1:42" ht="13.9" customHeight="1">
      <c r="G35" s="78" t="str">
        <f t="shared" si="8"/>
        <v>L</v>
      </c>
      <c r="H35" s="78">
        <f>第三季度!W9-第四季度!Q9+第四季度!R9</f>
        <v>82</v>
      </c>
      <c r="I35" s="1"/>
      <c r="J35" s="78">
        <f>IF(G35="S",H35*100/(SUM(第三季度!$R$18:$V$18)-$I$29)+U35-V35+Z9*参数调整!$H$11/($X$29*第四季度!$J$18),IF(G35="B",H35*100/(SUM(第三季度!$R$19:$V$19)-第四季度!$I$30)+U35-V35+第四季度!Z9*参数调整!$H$12/(第四季度!$X$30*第四季度!$J$18),IF(第四季度!G35="Q",第四季度!H35*100/(SUM(第三季度!$R$20:$V$20)-第四季度!$I$31)+U35-V35+第四季度!Z9*参数调整!$H$13/(第四季度!$X$31*第四季度!$J$18),第四季度!H35*100/(SUM(第三季度!$R$21:$V$21)-第四季度!$I$32)+U35-V35+第四季度!Z9*参数调整!$H$14/(第四季度!$X$32*第四季度!$J$18))))</f>
        <v>2.306887073429817</v>
      </c>
      <c r="K35" s="1"/>
      <c r="Q35" s="104">
        <f>IF(G35="S",H35*100/(SUM(第三季度!$R$18:$V$18)-第四季度!$I$29-第四季度!$K$29)+(U35-V35)*(SUM(第三季度!$R$18:$V$18)-第四季度!$I$29)/(SUM(第三季度!$R$18:$V$18)-第四季度!$I$29-第四季度!$K$29)+Z9*参数调整!$H$11/($X$29*($J$18-$K$32)),IF(G35="B",H35*100/(SUM(第三季度!$R$19:$V$19)-第四季度!$I$30-第四季度!$K$30)+(U35-V35)*(SUM(第三季度!$R$19:$V$19)-第四季度!$I$30)/(SUM(第三季度!$R$19:$V$19)-第四季度!$I$30-第四季度!$K$30)+Z9*参数调整!$H$12/(第四季度!$X$30*(第四季度!$J$18-第四季度!$K$32)),第四季度!J35))</f>
        <v>2.306887073429817</v>
      </c>
      <c r="R35" s="1"/>
      <c r="S35" s="104">
        <f>IF(G35="S",H35*100/(SUM(第三季度!$R$18:$V$18)-第四季度!$R$29/2-第四季度!$I$29)+(U35-V35)*(SUM(第三季度!$R$18:$V$18)-第四季度!$I$29)/(SUM(第三季度!$R$18:$V$18)-第四季度!$R$29/2-第四季度!$I$29)+Z9*参数调整!$H$11/($X$29*($J$18-$R$34/2)),IF(第四季度!G35="B",第四季度!H35*100/(SUM(第三季度!$R$19:$V$19)-第四季度!$R$30/2-第四季度!$I$30)+(U35-V35)*(SUM(第三季度!$R$19:$V$19)-第四季度!$I$30)/(SUM(第三季度!$R$19:$V$19)-第四季度!$R$30/2-第四季度!$I$30)+Z9*参数调整!$H$12/(第四季度!$X$30*(第四季度!$J$18-第四季度!$R$34/2)),IF(第四季度!G35="Q",第四季度!H35*100/(SUM(第三季度!$R$20:$V$20)-第四季度!$R$31/2-第四季度!$I$31)+(U35-V35)*(SUM(第三季度!$R$20:$V$20)-第四季度!$I$31)/(SUM(第三季度!$R$20:$V$20)-第四季度!$R$31/2-第四季度!$I$31)+Z9*参数调整!$H$13/(第四季度!$X$31*(第四季度!$J$18-第四季度!$R$34/2)),第四季度!H35*100/(SUM(第三季度!$R$21:$V$21)-第四季度!$R$32/2-第四季度!$I$32)+(U35-V35)*(SUM(第三季度!$R$21:$V$21)-第四季度!$I$32)/(SUM(第三季度!$R$21:$V$21)-第四季度!$R$32/2-第四季度!$I$32)+Z9*参数调整!$H$14/(第四季度!$X$32*(第四季度!$J$18-第四季度!$R$34/2)))))</f>
        <v>2.8853448920404663</v>
      </c>
      <c r="T35" s="104">
        <f>IF(G35="S",(第三季度!W9-第四季度!Q9+第二季度!V9-第三季度!Q9+第一季度!U9-第二季度!Q9)*参数调整!$K$11/(第二季度!$O$17+第三季度!$P$17+第一季度!$N$19),IF(第四季度!G35="B",(第三季度!W9-第四季度!Q9+第二季度!V9-第三季度!Q9+第一季度!U9-第二季度!Q9)*参数调整!$K$12/(第一季度!$N$20+第二季度!$O$18+第三季度!$P$18),IF(第四季度!G35="Q",(第三季度!W9-第四季度!Q9+第二季度!V9-第三季度!Q9+第一季度!U9-第二季度!Q9)*参数调整!$K$13/(第一季度!$N$21+第二季度!$O$19+第三季度!$P$19),(第三季度!W9-第四季度!Q9+第二季度!V9-第三季度!Q9+第一季度!U9-第二季度!Q9)*参数调整!$K$14/(第一季度!$N$22+第二季度!$O$20+第三季度!$P$20))))</f>
        <v>0.20357803824799506</v>
      </c>
      <c r="U35" s="78">
        <f>T35-(第三季度!S35+第二季度!AA47)</f>
        <v>0.18192372689411287</v>
      </c>
      <c r="V35" s="79">
        <v>0.11</v>
      </c>
      <c r="W35" s="1"/>
      <c r="X35" s="1"/>
      <c r="Y35" s="1"/>
      <c r="AA35">
        <v>1148</v>
      </c>
      <c r="AB35">
        <v>933</v>
      </c>
      <c r="AC35">
        <f t="shared" si="9"/>
        <v>3014</v>
      </c>
      <c r="AI35" s="209"/>
      <c r="AJ35" s="184"/>
      <c r="AK35" s="201"/>
      <c r="AL35" s="218"/>
      <c r="AM35" s="216"/>
      <c r="AN35" s="184"/>
      <c r="AO35" s="103" t="s">
        <v>261</v>
      </c>
      <c r="AP35" s="103" t="s">
        <v>262</v>
      </c>
    </row>
    <row r="36" spans="1:42" ht="13.9" customHeight="1">
      <c r="D36" s="190" t="s">
        <v>311</v>
      </c>
      <c r="E36" s="204" t="s">
        <v>307</v>
      </c>
      <c r="G36" s="78" t="str">
        <f t="shared" si="8"/>
        <v>L</v>
      </c>
      <c r="H36" s="78">
        <f>第三季度!W10-第四季度!Q10+第四季度!R10</f>
        <v>171</v>
      </c>
      <c r="I36" s="1"/>
      <c r="J36" s="78">
        <f>IF(G36="S",H36*100/(SUM(第三季度!$R$18:$V$18)-$I$29)+U36-V36+Z10*参数调整!$H$11/($X$29*第四季度!$J$18),IF(G36="B",H36*100/(SUM(第三季度!$R$19:$V$19)-第四季度!$I$30)+U36-V36+第四季度!Z10*参数调整!$H$12/(第四季度!$X$30*第四季度!$J$18),IF(第四季度!G36="Q",第四季度!H36*100/(SUM(第三季度!$R$20:$V$20)-第四季度!$I$31)+U36-V36+第四季度!Z10*参数调整!$H$13/(第四季度!$X$31*第四季度!$J$18),第四季度!H36*100/(SUM(第三季度!$R$21:$V$21)-第四季度!$I$32)+U36-V36+第四季度!Z10*参数调整!$H$14/(第四季度!$X$32*第四季度!$J$18))))</f>
        <v>4.8747095506531775</v>
      </c>
      <c r="K36" s="1"/>
      <c r="Q36" s="104">
        <f>IF(G36="S",H36*100/(SUM(第三季度!$R$18:$V$18)-第四季度!$I$29-第四季度!$K$29)+(U36-V36)*(SUM(第三季度!$R$18:$V$18)-第四季度!$I$29)/(SUM(第三季度!$R$18:$V$18)-第四季度!$I$29-第四季度!$K$29)+Z10*参数调整!$H$11/($X$29*($J$18-$K$32)),IF(G36="B",H36*100/(SUM(第三季度!$R$19:$V$19)-第四季度!$I$30-第四季度!$K$30)+(U36-V36)*(SUM(第三季度!$R$19:$V$19)-第四季度!$I$30)/(SUM(第三季度!$R$19:$V$19)-第四季度!$I$30-第四季度!$K$30)+Z10*参数调整!$H$12/(第四季度!$X$30*(第四季度!$J$18-第四季度!$K$32)),第四季度!J36))</f>
        <v>4.8747095506531775</v>
      </c>
      <c r="R36" s="1"/>
      <c r="S36" s="104">
        <f>IF(G36="S",H36*100/(SUM(第三季度!$R$18:$V$18)-第四季度!$R$29/2-第四季度!$I$29)+(U36-V36)*(SUM(第三季度!$R$18:$V$18)-第四季度!$I$29)/(SUM(第三季度!$R$18:$V$18)-第四季度!$R$29/2-第四季度!$I$29)+Z10*参数调整!$H$11/($X$29*($J$18-$R$34/2)),IF(第四季度!G36="B",第四季度!H36*100/(SUM(第三季度!$R$19:$V$19)-第四季度!$R$30/2-第四季度!$I$30)+(U36-V36)*(SUM(第三季度!$R$19:$V$19)-第四季度!$I$30)/(SUM(第三季度!$R$19:$V$19)-第四季度!$R$30/2-第四季度!$I$30)+Z10*参数调整!$H$12/(第四季度!$X$30*(第四季度!$J$18-第四季度!$R$34/2)),IF(第四季度!G36="Q",第四季度!H36*100/(SUM(第三季度!$R$20:$V$20)-第四季度!$R$31/2-第四季度!$I$31)+(U36-V36)*(SUM(第三季度!$R$20:$V$20)-第四季度!$I$31)/(SUM(第三季度!$R$20:$V$20)-第四季度!$R$31/2-第四季度!$I$31)+Z10*参数调整!$H$13/(第四季度!$X$31*(第四季度!$J$18-第四季度!$R$34/2)),第四季度!H36*100/(SUM(第三季度!$R$21:$V$21)-第四季度!$R$32/2-第四季度!$I$32)+(U36-V36)*(SUM(第三季度!$R$21:$V$21)-第四季度!$I$32)/(SUM(第三季度!$R$21:$V$21)-第四季度!$R$32/2-第四季度!$I$32)+Z10*参数调整!$H$14/(第四季度!$X$32*(第四季度!$J$18-第四季度!$R$34/2)))))</f>
        <v>6.0994131287962956</v>
      </c>
      <c r="T36" s="104">
        <f>IF(G36="S",(第三季度!W10-第四季度!Q10+第二季度!V10-第三季度!Q10+第一季度!U10-第二季度!Q10)*参数调整!$K$11/(第二季度!$O$17+第三季度!$P$17+第一季度!$N$19),IF(第四季度!G36="B",(第三季度!W10-第四季度!Q10+第二季度!V10-第三季度!Q10+第一季度!U10-第二季度!Q10)*参数调整!$K$12/(第一季度!$N$20+第二季度!$O$18+第三季度!$P$18),IF(第四季度!G36="Q",(第三季度!W10-第四季度!Q10+第二季度!V10-第三季度!Q10+第一季度!U10-第二季度!Q10)*参数调整!$K$13/(第一季度!$N$21+第二季度!$O$19+第三季度!$P$19),(第三季度!W10-第四季度!Q10+第二季度!V10-第三季度!Q10+第一季度!U10-第二季度!Q10)*参数调整!$K$14/(第一季度!$N$22+第二季度!$O$20+第三季度!$P$20))))</f>
        <v>0.28685996298581123</v>
      </c>
      <c r="U36" s="78">
        <f>T36-(第三季度!S36+第二季度!AA48)</f>
        <v>0.28237303360617799</v>
      </c>
      <c r="V36" s="79">
        <v>0.11</v>
      </c>
      <c r="W36" s="1"/>
      <c r="X36" s="1"/>
      <c r="Y36" s="1"/>
      <c r="AA36">
        <v>1210</v>
      </c>
      <c r="AB36">
        <v>975</v>
      </c>
      <c r="AC36">
        <f t="shared" si="9"/>
        <v>3160</v>
      </c>
      <c r="AI36" s="210"/>
      <c r="AJ36" s="179" t="s">
        <v>263</v>
      </c>
      <c r="AK36" s="180"/>
      <c r="AL36" s="180"/>
      <c r="AM36" s="181"/>
      <c r="AN36" s="106">
        <f>AN2-SUM(AN5:AN19)+SUM(AN20:AN26)-SUM(AN27:AN35)+AO36*(1-参数调整!B23)+AP36*(1-参数调整!B24)-第一季度!AG28</f>
        <v>136525.70999999996</v>
      </c>
      <c r="AO36" s="79">
        <v>0</v>
      </c>
      <c r="AP36" s="79"/>
    </row>
    <row r="37" spans="1:42" ht="13.9" customHeight="1">
      <c r="D37" s="190"/>
      <c r="E37" s="204"/>
      <c r="G37" s="78">
        <f t="shared" si="8"/>
        <v>0</v>
      </c>
      <c r="H37" s="78">
        <f>第三季度!W11-第四季度!Q11+第四季度!R11</f>
        <v>0</v>
      </c>
      <c r="J37" s="78">
        <f>IF(G37="S",H37*100/(SUM(第三季度!$R$18:$V$18)-$I$29)+U37-V37+Z11*参数调整!$H$11/($X$29*第四季度!$J$18),IF(G37="B",H37*100/(SUM(第三季度!$R$19:$V$19)-第四季度!$I$30)+U37-V37+第四季度!Z11*参数调整!$H$12/(第四季度!$X$30*第四季度!$J$18),IF(第四季度!G37="Q",第四季度!H37*100/(SUM(第三季度!$R$20:$V$20)-第四季度!$I$31)+U37-V37+第四季度!Z11*参数调整!$H$13/(第四季度!$X$31*第四季度!$J$18),第四季度!H37*100/(SUM(第三季度!$R$21:$V$21)-第四季度!$I$32)+U37-V37+第四季度!Z11*参数调整!$H$14/(第四季度!$X$32*第四季度!$J$18))))</f>
        <v>0.22727272727272727</v>
      </c>
      <c r="Q37" s="104">
        <f>IF(G37="S",H37*100/(SUM(第三季度!$R$18:$V$18)-第四季度!$I$29-第四季度!$K$29)+(U37-V37)*(SUM(第三季度!$R$18:$V$18)-第四季度!$I$29)/(SUM(第三季度!$R$18:$V$18)-第四季度!$I$29-第四季度!$K$29)+Z11*参数调整!$H$11/($X$29*($J$18-$K$32)),IF(G37="B",H37*100/(SUM(第三季度!$R$19:$V$19)-第四季度!$I$30-第四季度!$K$30)+(U37-V37)*(SUM(第三季度!$R$19:$V$19)-第四季度!$I$30)/(SUM(第三季度!$R$19:$V$19)-第四季度!$I$30-第四季度!$K$30)+Z11*参数调整!$H$12/(第四季度!$X$30*(第四季度!$J$18-第四季度!$K$32)),第四季度!J37))</f>
        <v>0.22727272727272727</v>
      </c>
      <c r="S37" s="104">
        <f>IF(G37="S",H37*100/(SUM(第三季度!$R$18:$V$18)-第四季度!$R$29/2-第四季度!$I$29)+(U37-V37)*(SUM(第三季度!$R$18:$V$18)-第四季度!$I$29)/(SUM(第三季度!$R$18:$V$18)-第四季度!$R$29/2-第四季度!$I$29)+Z11*参数调整!$H$11/($X$29*($J$18-$R$34/2)),IF(第四季度!G37="B",第四季度!H37*100/(SUM(第三季度!$R$19:$V$19)-第四季度!$R$30/2-第四季度!$I$30)+(U37-V37)*(SUM(第三季度!$R$19:$V$19)-第四季度!$I$30)/(SUM(第三季度!$R$19:$V$19)-第四季度!$R$30/2-第四季度!$I$30)+Z11*参数调整!$H$12/(第四季度!$X$30*(第四季度!$J$18-第四季度!$R$34/2)),IF(第四季度!G37="Q",第四季度!H37*100/(SUM(第三季度!$R$20:$V$20)-第四季度!$R$31/2-第四季度!$I$31)+(U37-V37)*(SUM(第三季度!$R$20:$V$20)-第四季度!$I$31)/(SUM(第三季度!$R$20:$V$20)-第四季度!$R$31/2-第四季度!$I$31)+Z11*参数调整!$H$13/(第四季度!$X$31*(第四季度!$J$18-第四季度!$R$34/2)),第四季度!H37*100/(SUM(第三季度!$R$21:$V$21)-第四季度!$R$32/2-第四季度!$I$32)+(U37-V37)*(SUM(第三季度!$R$21:$V$21)-第四季度!$I$32)/(SUM(第三季度!$R$21:$V$21)-第四季度!$R$32/2-第四季度!$I$32)+Z11*参数调整!$H$14/(第四季度!$X$32*(第四季度!$J$18-第四季度!$R$34/2)))))</f>
        <v>0.28413884074420603</v>
      </c>
      <c r="T37" s="104">
        <f>IF(G37="S",(第三季度!W11-第四季度!Q11+第二季度!V11-第三季度!Q11+第一季度!U11-第二季度!Q11)*参数调整!$K$11/(第二季度!$O$17+第三季度!$P$17+第一季度!$N$19),IF(第四季度!G37="B",(第三季度!W11-第四季度!Q11+第二季度!V11-第三季度!Q11+第一季度!U11-第二季度!Q11)*参数调整!$K$12/(第一季度!$N$20+第二季度!$O$18+第三季度!$P$18),IF(第四季度!G37="Q",(第三季度!W11-第四季度!Q11+第二季度!V11-第三季度!Q11+第一季度!U11-第二季度!Q11)*参数调整!$K$13/(第一季度!$N$21+第二季度!$O$19+第三季度!$P$19),(第三季度!W11-第四季度!Q11+第二季度!V11-第三季度!Q11+第一季度!U11-第二季度!Q11)*参数调整!$K$14/(第一季度!$N$22+第二季度!$O$20+第三季度!$P$20))))</f>
        <v>0</v>
      </c>
      <c r="U37" s="78">
        <f>T37-(第三季度!S37+第二季度!AA49)</f>
        <v>0.22727272727272727</v>
      </c>
      <c r="V37" s="79">
        <v>0</v>
      </c>
      <c r="AI37" s="205" t="s">
        <v>341</v>
      </c>
      <c r="AJ37" s="179" t="s">
        <v>265</v>
      </c>
      <c r="AK37" s="180"/>
      <c r="AL37" s="180"/>
      <c r="AM37" s="181"/>
      <c r="AN37" s="80">
        <f>AO3-AO36</f>
        <v>95202.9</v>
      </c>
      <c r="AO37" s="2"/>
      <c r="AP37" s="2"/>
    </row>
    <row r="38" spans="1:42" ht="13.9" customHeight="1">
      <c r="D38" s="1">
        <f>IF(H3&lt;=INDEX(参数调整!$C$63:$D$68,1,1),C3,IF(H3&lt;=INDEX(参数调整!$C$63:$D$68,2,1),C3*INDEX(参数调整!$C$63:$D$68,2,2),IF(H3&lt;=INDEX(参数调整!$C$63:$D$68,3,1),C3*INDEX(参数调整!$C$63:$D$68,3,2),IF(H3&lt;=INDEX(参数调整!$C$63:$D$68,4,1),C3*INDEX(参数调整!$C$63:$D$68,4,2),IF(H3&lt;=INDEX(参数调整!$C$63:$D$68,5,1),C3*INDEX(参数调整!$C$63:$D$68,5,2),C3*INDEX(参数调整!$C$63:$D$68,6,2))))))</f>
        <v>36</v>
      </c>
      <c r="E38" s="2">
        <f>第三季度!G3+第三季度!H3+第三季度!E38-第三季度!B3</f>
        <v>0</v>
      </c>
      <c r="G38" s="78">
        <f t="shared" si="8"/>
        <v>0</v>
      </c>
      <c r="H38" s="78">
        <f>第三季度!W12-第四季度!Q12+第四季度!R12</f>
        <v>0</v>
      </c>
      <c r="J38" s="78">
        <f>IF(G38="S",H38*100/(SUM(第三季度!$R$18:$V$18)-$I$29)+U38-V38+Z12*参数调整!$H$11/($X$29*第四季度!$J$18),IF(G38="B",H38*100/(SUM(第三季度!$R$19:$V$19)-第四季度!$I$30)+U38-V38+第四季度!Z12*参数调整!$H$12/(第四季度!$X$30*第四季度!$J$18),IF(第四季度!G38="Q",第四季度!H38*100/(SUM(第三季度!$R$20:$V$20)-第四季度!$I$31)+U38-V38+第四季度!Z12*参数调整!$H$13/(第四季度!$X$31*第四季度!$J$18),第四季度!H38*100/(SUM(第三季度!$R$21:$V$21)-第四季度!$I$32)+U38-V38+第四季度!Z12*参数调整!$H$14/(第四季度!$X$32*第四季度!$J$18))))</f>
        <v>0.22727272727272727</v>
      </c>
      <c r="Q38" s="104">
        <f>IF(G38="S",H38*100/(SUM(第三季度!$R$18:$V$18)-第四季度!$I$29-第四季度!$K$29)+(U38-V38)*(SUM(第三季度!$R$18:$V$18)-第四季度!$I$29)/(SUM(第三季度!$R$18:$V$18)-第四季度!$I$29-第四季度!$K$29)+Z12*参数调整!$H$11/($X$29*($J$18-$K$32)),IF(G38="B",H38*100/(SUM(第三季度!$R$19:$V$19)-第四季度!$I$30-第四季度!$K$30)+(U38-V38)*(SUM(第三季度!$R$19:$V$19)-第四季度!$I$30)/(SUM(第三季度!$R$19:$V$19)-第四季度!$I$30-第四季度!$K$30)+Z12*参数调整!$H$12/(第四季度!$X$30*(第四季度!$J$18-第四季度!$K$32)),第四季度!J38))</f>
        <v>0.22727272727272727</v>
      </c>
      <c r="S38" s="104">
        <f>IF(G38="S",H38*100/(SUM(第三季度!$R$18:$V$18)-第四季度!$R$29/2-第四季度!$I$29)+(U38-V38)*(SUM(第三季度!$R$18:$V$18)-第四季度!$I$29)/(SUM(第三季度!$R$18:$V$18)-第四季度!$R$29/2-第四季度!$I$29)+Z12*参数调整!$H$11/($X$29*($J$18-$R$34/2)),IF(第四季度!G38="B",第四季度!H38*100/(SUM(第三季度!$R$19:$V$19)-第四季度!$R$30/2-第四季度!$I$30)+(U38-V38)*(SUM(第三季度!$R$19:$V$19)-第四季度!$I$30)/(SUM(第三季度!$R$19:$V$19)-第四季度!$R$30/2-第四季度!$I$30)+Z12*参数调整!$H$12/(第四季度!$X$30*(第四季度!$J$18-第四季度!$R$34/2)),IF(第四季度!G38="Q",第四季度!H38*100/(SUM(第三季度!$R$20:$V$20)-第四季度!$R$31/2-第四季度!$I$31)+(U38-V38)*(SUM(第三季度!$R$20:$V$20)-第四季度!$I$31)/(SUM(第三季度!$R$20:$V$20)-第四季度!$R$31/2-第四季度!$I$31)+Z12*参数调整!$H$13/(第四季度!$X$31*(第四季度!$J$18-第四季度!$R$34/2)),第四季度!H38*100/(SUM(第三季度!$R$21:$V$21)-第四季度!$R$32/2-第四季度!$I$32)+(U38-V38)*(SUM(第三季度!$R$21:$V$21)-第四季度!$I$32)/(SUM(第三季度!$R$21:$V$21)-第四季度!$R$32/2-第四季度!$I$32)+Z12*参数调整!$H$14/(第四季度!$X$32*(第四季度!$J$18-第四季度!$R$34/2)))))</f>
        <v>0.28413884074420603</v>
      </c>
      <c r="T38" s="104">
        <f>IF(G38="S",(第三季度!W12-第四季度!Q12+第二季度!V12-第三季度!Q12+第一季度!U12-第二季度!Q12)*参数调整!$K$11/(第二季度!$O$17+第三季度!$P$17+第一季度!$N$19),IF(第四季度!G38="B",(第三季度!W12-第四季度!Q12+第二季度!V12-第三季度!Q12+第一季度!U12-第二季度!Q12)*参数调整!$K$12/(第一季度!$N$20+第二季度!$O$18+第三季度!$P$18),IF(第四季度!G38="Q",(第三季度!W12-第四季度!Q12+第二季度!V12-第三季度!Q12+第一季度!U12-第二季度!Q12)*参数调整!$K$13/(第一季度!$N$21+第二季度!$O$19+第三季度!$P$19),(第三季度!W12-第四季度!Q12+第二季度!V12-第三季度!Q12+第一季度!U12-第二季度!Q12)*参数调整!$K$14/(第一季度!$N$22+第二季度!$O$20+第三季度!$P$20))))</f>
        <v>0</v>
      </c>
      <c r="U38" s="78">
        <f>T38-(第三季度!S38+第二季度!AA50)</f>
        <v>0.22727272727272727</v>
      </c>
      <c r="V38" s="79">
        <v>0</v>
      </c>
      <c r="AI38" s="206"/>
      <c r="AJ38" s="179" t="s">
        <v>266</v>
      </c>
      <c r="AK38" s="180"/>
      <c r="AL38" s="180"/>
      <c r="AM38" s="181"/>
      <c r="AN38" s="80">
        <f>(G3*D3*E3+G4*D4*E4+G5*D5*1.5*E5+G6*D6*E6+G7*E7*D7+G8*E8*D8+G9*E9*D9+G10*E10*D10+G11*E11*D11+G12*E12*D12+G13*E13*D13*1.5+G14*E14*D14*1.5+G15*E15*D15*1.5+G16*E16*D16*1.5)*(1+参数调整!B6)</f>
        <v>133259.49</v>
      </c>
      <c r="AO38" s="2"/>
      <c r="AP38" s="2"/>
    </row>
    <row r="39" spans="1:42" ht="13.9" customHeight="1">
      <c r="D39" s="1">
        <f>IF(H4&lt;=INDEX(参数调整!$C$63:$D$68,1,1),C4,IF(H4&lt;=INDEX(参数调整!$C$63:$D$68,2,1),C4*INDEX(参数调整!$C$63:$D$68,2,2),IF(H4&lt;=INDEX(参数调整!$C$63:$D$68,3,1),C4*INDEX(参数调整!$C$63:$D$68,3,2),IF(H4&lt;=INDEX(参数调整!$C$63:$D$68,4,1),C4*INDEX(参数调整!$C$63:$D$68,4,2),IF(H4&lt;=INDEX(参数调整!$C$63:$D$68,5,1),C4*INDEX(参数调整!$C$63:$D$68,5,2),C4*INDEX(参数调整!$C$63:$D$68,6,2))))))</f>
        <v>78</v>
      </c>
      <c r="E39" s="2">
        <f>第三季度!G4+第三季度!H4+第三季度!E39-第三季度!B4</f>
        <v>0</v>
      </c>
      <c r="G39" s="78">
        <f t="shared" si="8"/>
        <v>0</v>
      </c>
      <c r="H39" s="78">
        <f>第三季度!W13-第四季度!Q13+第四季度!R13</f>
        <v>0</v>
      </c>
      <c r="J39" s="78">
        <f>IF(G39="S",H39*100/(SUM(第三季度!$R$18:$V$18)-$I$29)+U39-V39+Z13*参数调整!$H$11/($X$29*第四季度!$J$18),IF(G39="B",H39*100/(SUM(第三季度!$R$19:$V$19)-第四季度!$I$30)+U39-V39+第四季度!Z13*参数调整!$H$12/(第四季度!$X$30*第四季度!$J$18),IF(第四季度!G39="Q",第四季度!H39*100/(SUM(第三季度!$R$20:$V$20)-第四季度!$I$31)+U39-V39+第四季度!Z13*参数调整!$H$13/(第四季度!$X$31*第四季度!$J$18),第四季度!H39*100/(SUM(第三季度!$R$21:$V$21)-第四季度!$I$32)+U39-V39+第四季度!Z13*参数调整!$H$14/(第四季度!$X$32*第四季度!$J$18))))</f>
        <v>0.22727272727272727</v>
      </c>
      <c r="Q39" s="104">
        <f>IF(G39="S",H39*100/(SUM(第三季度!$R$18:$V$18)-第四季度!$I$29-第四季度!$K$29)+(U39-V39)*(SUM(第三季度!$R$18:$V$18)-第四季度!$I$29)/(SUM(第三季度!$R$18:$V$18)-第四季度!$I$29-第四季度!$K$29)+Z13*参数调整!$H$11/($X$29*($J$18-$K$32)),IF(G39="B",H39*100/(SUM(第三季度!$R$19:$V$19)-第四季度!$I$30-第四季度!$K$30)+(U39-V39)*(SUM(第三季度!$R$19:$V$19)-第四季度!$I$30)/(SUM(第三季度!$R$19:$V$19)-第四季度!$I$30-第四季度!$K$30)+Z13*参数调整!$H$12/(第四季度!$X$30*(第四季度!$J$18-第四季度!$K$32)),第四季度!J39))</f>
        <v>0.22727272727272727</v>
      </c>
      <c r="S39" s="104">
        <f>IF(G39="S",H39*100/(SUM(第三季度!$R$18:$V$18)-第四季度!$R$29/2-第四季度!$I$29)+(U39-V39)*(SUM(第三季度!$R$18:$V$18)-第四季度!$I$29)/(SUM(第三季度!$R$18:$V$18)-第四季度!$R$29/2-第四季度!$I$29)+Z13*参数调整!$H$11/($X$29*($J$18-$R$34/2)),IF(第四季度!G39="B",第四季度!H39*100/(SUM(第三季度!$R$19:$V$19)-第四季度!$R$30/2-第四季度!$I$30)+(U39-V39)*(SUM(第三季度!$R$19:$V$19)-第四季度!$I$30)/(SUM(第三季度!$R$19:$V$19)-第四季度!$R$30/2-第四季度!$I$30)+Z13*参数调整!$H$12/(第四季度!$X$30*(第四季度!$J$18-第四季度!$R$34/2)),IF(第四季度!G39="Q",第四季度!H39*100/(SUM(第三季度!$R$20:$V$20)-第四季度!$R$31/2-第四季度!$I$31)+(U39-V39)*(SUM(第三季度!$R$20:$V$20)-第四季度!$I$31)/(SUM(第三季度!$R$20:$V$20)-第四季度!$R$31/2-第四季度!$I$31)+Z13*参数调整!$H$13/(第四季度!$X$31*(第四季度!$J$18-第四季度!$R$34/2)),第四季度!H39*100/(SUM(第三季度!$R$21:$V$21)-第四季度!$R$32/2-第四季度!$I$32)+(U39-V39)*(SUM(第三季度!$R$21:$V$21)-第四季度!$I$32)/(SUM(第三季度!$R$21:$V$21)-第四季度!$R$32/2-第四季度!$I$32)+Z13*参数调整!$H$14/(第四季度!$X$32*(第四季度!$J$18-第四季度!$R$34/2)))))</f>
        <v>0.28413884074420603</v>
      </c>
      <c r="T39" s="104">
        <f>IF(G39="S",(第三季度!W13-第四季度!Q13+第二季度!V13-第三季度!Q13+第一季度!U13-第二季度!Q13)*参数调整!$K$11/(第二季度!$O$17+第三季度!$P$17+第一季度!$N$19),IF(第四季度!G39="B",(第三季度!W13-第四季度!Q13+第二季度!V13-第三季度!Q13+第一季度!U13-第二季度!Q13)*参数调整!$K$12/(第一季度!$N$20+第二季度!$O$18+第三季度!$P$18),IF(第四季度!G39="Q",(第三季度!W13-第四季度!Q13+第二季度!V13-第三季度!Q13+第一季度!U13-第二季度!Q13)*参数调整!$K$13/(第一季度!$N$21+第二季度!$O$19+第三季度!$P$19),(第三季度!W13-第四季度!Q13+第二季度!V13-第三季度!Q13+第一季度!U13-第二季度!Q13)*参数调整!$K$14/(第一季度!$N$22+第二季度!$O$20+第三季度!$P$20))))</f>
        <v>0</v>
      </c>
      <c r="U39" s="78">
        <f>T39-(第三季度!S39+第二季度!AA51)</f>
        <v>0.22727272727272727</v>
      </c>
      <c r="V39" s="79">
        <v>0</v>
      </c>
      <c r="AI39" s="206"/>
      <c r="AJ39" s="179" t="s">
        <v>267</v>
      </c>
      <c r="AK39" s="180"/>
      <c r="AL39" s="180"/>
      <c r="AM39" s="181"/>
      <c r="AN39" s="80">
        <f>H5*D40*(1+参数调整!B6)+H13*D48*(1+参数调整!B6)+H14*D49*(1+参数调整!B6)+H15*D50*(1+参数调整!B6)+H16*D51*(1+参数调整!B6)</f>
        <v>0</v>
      </c>
      <c r="AO39" s="2"/>
      <c r="AP39" s="2"/>
    </row>
    <row r="40" spans="1:42" ht="13.9" customHeight="1">
      <c r="D40" s="1">
        <f>IF(H5&lt;=INDEX(参数调整!$C$63:$D$68,1,1),C5,IF(H5&lt;=INDEX(参数调整!$C$63:$D$68,2,1),C5*INDEX(参数调整!$C$63:$D$68,2,2),IF(H5&lt;=INDEX(参数调整!$C$63:$D$68,3,1),C5*INDEX(参数调整!$C$63:$D$68,3,2),IF(H5&lt;=INDEX(参数调整!$C$63:$D$68,4,1),C5*INDEX(参数调整!$C$63:$D$68,4,2),IF(H5&lt;=INDEX(参数调整!$C$63:$D$68,5,1),C5*INDEX(参数调整!$C$63:$D$68,5,2),C5*INDEX(参数调整!$C$63:$D$68,6,2))))))</f>
        <v>112</v>
      </c>
      <c r="E40" s="2">
        <f>第三季度!G5+第三季度!H5+第三季度!E40-第三季度!B5</f>
        <v>438</v>
      </c>
      <c r="G40" s="78">
        <f t="shared" si="8"/>
        <v>0</v>
      </c>
      <c r="H40" s="78">
        <f>第三季度!W14-第四季度!Q14+第四季度!R14</f>
        <v>0</v>
      </c>
      <c r="J40" s="78">
        <f>IF(G40="S",H40*100/(SUM(第三季度!$R$18:$V$18)-$I$29)+U40-V40+Z14*参数调整!$H$11/($X$29*第四季度!$J$18),IF(G40="B",H40*100/(SUM(第三季度!$R$19:$V$19)-第四季度!$I$30)+U40-V40+第四季度!Z14*参数调整!$H$12/(第四季度!$X$30*第四季度!$J$18),IF(第四季度!G40="Q",第四季度!H40*100/(SUM(第三季度!$R$20:$V$20)-第四季度!$I$31)+U40-V40+第四季度!Z14*参数调整!$H$13/(第四季度!$X$31*第四季度!$J$18),第四季度!H40*100/(SUM(第三季度!$R$21:$V$21)-第四季度!$I$32)+U40-V40+第四季度!Z14*参数调整!$H$14/(第四季度!$X$32*第四季度!$J$18))))</f>
        <v>0.22727272727272727</v>
      </c>
      <c r="Q40" s="104">
        <f>IF(G40="S",H40*100/(SUM(第三季度!$R$18:$V$18)-第四季度!$I$29-第四季度!$K$29)+(U40-V40)*(SUM(第三季度!$R$18:$V$18)-第四季度!$I$29)/(SUM(第三季度!$R$18:$V$18)-第四季度!$I$29-第四季度!$K$29)+Z14*参数调整!$H$11/($X$29*($J$18-$K$32)),IF(G40="B",H40*100/(SUM(第三季度!$R$19:$V$19)-第四季度!$I$30-第四季度!$K$30)+(U40-V40)*(SUM(第三季度!$R$19:$V$19)-第四季度!$I$30)/(SUM(第三季度!$R$19:$V$19)-第四季度!$I$30-第四季度!$K$30)+Z14*参数调整!$H$12/(第四季度!$X$30*(第四季度!$J$18-第四季度!$K$32)),第四季度!J40))</f>
        <v>0.22727272727272727</v>
      </c>
      <c r="S40" s="104">
        <f>IF(G40="S",H40*100/(SUM(第三季度!$R$18:$V$18)-第四季度!$R$29/2-第四季度!$I$29)+(U40-V40)*(SUM(第三季度!$R$18:$V$18)-第四季度!$I$29)/(SUM(第三季度!$R$18:$V$18)-第四季度!$R$29/2-第四季度!$I$29)+Z14*参数调整!$H$11/($X$29*($J$18-$R$34/2)),IF(第四季度!G40="B",第四季度!H40*100/(SUM(第三季度!$R$19:$V$19)-第四季度!$R$30/2-第四季度!$I$30)+(U40-V40)*(SUM(第三季度!$R$19:$V$19)-第四季度!$I$30)/(SUM(第三季度!$R$19:$V$19)-第四季度!$R$30/2-第四季度!$I$30)+Z14*参数调整!$H$12/(第四季度!$X$30*(第四季度!$J$18-第四季度!$R$34/2)),IF(第四季度!G40="Q",第四季度!H40*100/(SUM(第三季度!$R$20:$V$20)-第四季度!$R$31/2-第四季度!$I$31)+(U40-V40)*(SUM(第三季度!$R$20:$V$20)-第四季度!$I$31)/(SUM(第三季度!$R$20:$V$20)-第四季度!$R$31/2-第四季度!$I$31)+Z14*参数调整!$H$13/(第四季度!$X$31*(第四季度!$J$18-第四季度!$R$34/2)),第四季度!H40*100/(SUM(第三季度!$R$21:$V$21)-第四季度!$R$32/2-第四季度!$I$32)+(U40-V40)*(SUM(第三季度!$R$21:$V$21)-第四季度!$I$32)/(SUM(第三季度!$R$21:$V$21)-第四季度!$R$32/2-第四季度!$I$32)+Z14*参数调整!$H$14/(第四季度!$X$32*(第四季度!$J$18-第四季度!$R$34/2)))))</f>
        <v>0.28413884074420603</v>
      </c>
      <c r="T40" s="104">
        <f>IF(G40="S",(第三季度!W14-第四季度!Q14+第二季度!V14-第三季度!Q14+第一季度!U14-第二季度!Q14)*参数调整!$K$11/(第二季度!$O$17+第三季度!$P$17+第一季度!$N$19),IF(第四季度!G40="B",(第三季度!W14-第四季度!Q14+第二季度!V14-第三季度!Q14+第一季度!U14-第二季度!Q14)*参数调整!$K$12/(第一季度!$N$20+第二季度!$O$18+第三季度!$P$18),IF(第四季度!G40="Q",(第三季度!W14-第四季度!Q14+第二季度!V14-第三季度!Q14+第一季度!U14-第二季度!Q14)*参数调整!$K$13/(第一季度!$N$21+第二季度!$O$19+第三季度!$P$19),(第三季度!W14-第四季度!Q14+第二季度!V14-第三季度!Q14+第一季度!U14-第二季度!Q14)*参数调整!$K$14/(第一季度!$N$22+第二季度!$O$20+第三季度!$P$20))))</f>
        <v>0</v>
      </c>
      <c r="U40" s="78">
        <f>T40-(第三季度!S40+第二季度!AA52)</f>
        <v>0.22727272727272727</v>
      </c>
      <c r="V40" s="79">
        <v>0</v>
      </c>
      <c r="AI40" s="206"/>
      <c r="AJ40" s="179" t="s">
        <v>268</v>
      </c>
      <c r="AK40" s="180"/>
      <c r="AL40" s="180"/>
      <c r="AM40" s="181"/>
      <c r="AN40" s="80">
        <v>10000</v>
      </c>
      <c r="AO40" s="2"/>
      <c r="AP40" s="2"/>
    </row>
    <row r="41" spans="1:42" ht="13.9" customHeight="1">
      <c r="D41" s="1">
        <f>IF(H6&lt;=INDEX(参数调整!$C$63:$D$68,1,1),C6,IF(H6&lt;=INDEX(参数调整!$C$63:$D$68,2,1),C6*INDEX(参数调整!$C$63:$D$68,2,2),IF(H6&lt;=INDEX(参数调整!$C$63:$D$68,3,1),C6*INDEX(参数调整!$C$63:$D$68,3,2),IF(H6&lt;=INDEX(参数调整!$C$63:$D$68,4,1),C6*INDEX(参数调整!$C$63:$D$68,4,2),IF(H6&lt;=INDEX(参数调整!$C$63:$D$68,5,1),C6*INDEX(参数调整!$C$63:$D$68,5,2),C6*INDEX(参数调整!$C$63:$D$68,6,2))))))</f>
        <v>12</v>
      </c>
      <c r="E41" s="2">
        <f>第三季度!G6+第三季度!H6+第三季度!E41-第三季度!B6</f>
        <v>0</v>
      </c>
      <c r="AI41" s="206"/>
      <c r="AJ41" s="179" t="s">
        <v>269</v>
      </c>
      <c r="AK41" s="180"/>
      <c r="AL41" s="180"/>
      <c r="AM41" s="181"/>
      <c r="AN41" s="80">
        <f>(AN2+AO3+AP3-AK2)*参数调整!B6/(1+参数调整!B6)-(F3+F4+F5*1.5+F6+F7+F8+F9+F10+F11+F12+F13*1.5+F14*1.5+F15*1.5+F16*1.5+第二季度!AN39)/(1+参数调整!B6)*参数调整!B6</f>
        <v>57907.80876923076</v>
      </c>
      <c r="AO41" s="2"/>
      <c r="AP41" s="2"/>
    </row>
    <row r="42" spans="1:42" ht="13.9" customHeight="1">
      <c r="D42" s="1">
        <f>IF(H7&lt;=INDEX(参数调整!$C$63:$D$68,1,1),C7,IF(H7&lt;=INDEX(参数调整!$C$63:$D$68,2,1),C7*INDEX(参数调整!$C$63:$D$68,2,2),IF(H7&lt;=INDEX(参数调整!$C$63:$D$68,3,1),C7*INDEX(参数调整!$C$63:$D$68,3,2),IF(H7&lt;=INDEX(参数调整!$C$63:$D$68,4,1),C7*INDEX(参数调整!$C$63:$D$68,4,2),IF(H7&lt;=INDEX(参数调整!$C$63:$D$68,5,1),C7*INDEX(参数调整!$C$63:$D$68,5,2),C7*INDEX(参数调整!$C$63:$D$68,6,2))))))</f>
        <v>25</v>
      </c>
      <c r="E42" s="2">
        <f>第三季度!G7+第三季度!H7+第三季度!E42-第三季度!B7</f>
        <v>0</v>
      </c>
      <c r="AI42" s="206"/>
      <c r="AJ42" s="179" t="s">
        <v>270</v>
      </c>
      <c r="AK42" s="180"/>
      <c r="AL42" s="180"/>
      <c r="AM42" s="181"/>
      <c r="AN42" s="80">
        <f>AN41*(参数调整!$B$7+参数调整!$B$8+参数调整!$B$9)</f>
        <v>6948.9370523076914</v>
      </c>
      <c r="AO42" s="2"/>
      <c r="AP42" s="2"/>
    </row>
    <row r="43" spans="1:42" ht="13.9" customHeight="1">
      <c r="A43" s="78" t="s">
        <v>317</v>
      </c>
      <c r="B43" s="78" t="s">
        <v>193</v>
      </c>
      <c r="D43" s="1">
        <f>IF(H8&lt;=INDEX(参数调整!$C$63:$D$68,1,1),C8,IF(H8&lt;=INDEX(参数调整!$C$63:$D$68,2,1),C8*INDEX(参数调整!$C$63:$D$68,2,2),IF(H8&lt;=INDEX(参数调整!$C$63:$D$68,3,1),C8*INDEX(参数调整!$C$63:$D$68,3,2),IF(H8&lt;=INDEX(参数调整!$C$63:$D$68,4,1),C8*INDEX(参数调整!$C$63:$D$68,4,2),IF(H8&lt;=INDEX(参数调整!$C$63:$D$68,5,1),C8*INDEX(参数调整!$C$63:$D$68,5,2),C8*INDEX(参数调整!$C$63:$D$68,6,2))))))</f>
        <v>37</v>
      </c>
      <c r="E43" s="2">
        <f>第三季度!G8+第三季度!H8+第三季度!E43-第三季度!B8</f>
        <v>0</v>
      </c>
      <c r="AI43" s="206"/>
      <c r="AJ43" s="179" t="s">
        <v>271</v>
      </c>
      <c r="AK43" s="180"/>
      <c r="AL43" s="180"/>
      <c r="AM43" s="181"/>
      <c r="AN43" s="80">
        <v>25812.720000000001</v>
      </c>
      <c r="AO43" s="2"/>
      <c r="AP43" s="2"/>
    </row>
    <row r="44" spans="1:42" ht="13.9" customHeight="1">
      <c r="A44" s="79">
        <v>0.04</v>
      </c>
      <c r="B44" s="78">
        <f>((AA3*参数调整!H11/第四季度!A44)-第二季度!U18*第四季度!$J$18*0.536537*0.46055126-第三季度!W29*第四季度!$J$18*0.536537)/第四季度!$J$18</f>
        <v>-4915.1227712381942</v>
      </c>
      <c r="D44" s="1">
        <f>IF(H9&lt;=INDEX(参数调整!$C$63:$D$68,1,1),C9,IF(H9&lt;=INDEX(参数调整!$C$63:$D$68,2,1),C9*INDEX(参数调整!$C$63:$D$68,2,2),IF(H9&lt;=INDEX(参数调整!$C$63:$D$68,3,1),C9*INDEX(参数调整!$C$63:$D$68,3,2),IF(H9&lt;=INDEX(参数调整!$C$63:$D$68,4,1),C9*INDEX(参数调整!$C$63:$D$68,4,2),IF(H9&lt;=INDEX(参数调整!$C$63:$D$68,5,1),C9*INDEX(参数调整!$C$63:$D$68,5,2),C9*INDEX(参数调整!$C$63:$D$68,6,2))))))</f>
        <v>50</v>
      </c>
      <c r="E44" s="2">
        <f>第三季度!G9+第三季度!H9+第三季度!E44-第三季度!B9</f>
        <v>0</v>
      </c>
      <c r="Q44" s="78" t="s">
        <v>309</v>
      </c>
      <c r="R44" s="78"/>
      <c r="S44" s="78"/>
      <c r="T44" s="78"/>
      <c r="U44" s="78"/>
      <c r="V44" s="78"/>
      <c r="W44" s="78"/>
      <c r="X44" s="78"/>
      <c r="Y44" s="78" t="s">
        <v>335</v>
      </c>
      <c r="AI44" s="207"/>
      <c r="AJ44" s="179" t="s">
        <v>263</v>
      </c>
      <c r="AK44" s="180"/>
      <c r="AL44" s="180"/>
      <c r="AM44" s="181"/>
      <c r="AN44" s="106">
        <f>AN36+AN37-SUM(AN38:AN43)</f>
        <v>-2200.3458215384744</v>
      </c>
      <c r="AO44" s="2"/>
      <c r="AP44" s="2"/>
    </row>
    <row r="45" spans="1:42">
      <c r="A45" s="79">
        <v>0.1525</v>
      </c>
      <c r="B45" s="78">
        <f>((AA4*参数调整!H12/第四季度!A45)-第二季度!U19*第四季度!$J$18*0.536537*0.46055126-第三季度!W30*第四季度!$J$18*0.536537)/第四季度!$J$18</f>
        <v>35464.223937664414</v>
      </c>
      <c r="D45" s="1">
        <f>IF(H10&lt;=INDEX(参数调整!$C$63:$D$68,1,1),C10,IF(H10&lt;=INDEX(参数调整!$C$63:$D$68,2,1),C10*INDEX(参数调整!$C$63:$D$68,2,2),IF(H10&lt;=INDEX(参数调整!$C$63:$D$68,3,1),C10*INDEX(参数调整!$C$63:$D$68,3,2),IF(H10&lt;=INDEX(参数调整!$C$63:$D$68,4,1),C10*INDEX(参数调整!$C$63:$D$68,4,2),IF(H10&lt;=INDEX(参数调整!$C$63:$D$68,5,1),C10*INDEX(参数调整!$C$63:$D$68,5,2),C10*INDEX(参数调整!$C$63:$D$68,6,2))))))</f>
        <v>72</v>
      </c>
      <c r="E45" s="2">
        <f>第三季度!G10+第三季度!H10+第三季度!E45-第三季度!B10</f>
        <v>0</v>
      </c>
      <c r="Q45" s="78" t="str">
        <f t="shared" ref="Q45:Q56" si="10">J3</f>
        <v>S</v>
      </c>
      <c r="R45" s="113">
        <f>ROUNDUP(R65+R79,1)</f>
        <v>20</v>
      </c>
      <c r="S45" s="113">
        <f t="shared" ref="S45:X45" si="11">ROUNDUP(S65+S79,1)</f>
        <v>14.1</v>
      </c>
      <c r="T45" s="113">
        <f t="shared" si="11"/>
        <v>8</v>
      </c>
      <c r="U45" s="166">
        <f t="shared" si="11"/>
        <v>7.8</v>
      </c>
      <c r="V45" s="166">
        <f t="shared" si="11"/>
        <v>10.799999999999999</v>
      </c>
      <c r="W45" s="113">
        <f t="shared" si="11"/>
        <v>0</v>
      </c>
      <c r="X45" s="113">
        <f t="shared" si="11"/>
        <v>18.5</v>
      </c>
      <c r="Y45" s="78">
        <f>W3-TRUNC(R45)-TRUNC(S45)-TRUNC(T45)-TRUNC(U45)-TRUNC(V45)-TRUNC(W45)-TRUNC(X45)</f>
        <v>2</v>
      </c>
    </row>
    <row r="46" spans="1:42">
      <c r="A46" s="79">
        <v>0.1129</v>
      </c>
      <c r="B46" s="78">
        <f>((AA5*参数调整!H13/第四季度!A46)-第二季度!U20*第四季度!$J$18*0.536537*0.46055126-第三季度!W31*第四季度!$J$18*0.536537)/第四季度!$J$18</f>
        <v>18186.577251276718</v>
      </c>
      <c r="D46" s="1">
        <f>IF(H11&lt;=INDEX(参数调整!$C$63:$D$68,1,1),C11,IF(H11&lt;=INDEX(参数调整!$C$63:$D$68,2,1),C11*INDEX(参数调整!$C$63:$D$68,2,2),IF(H11&lt;=INDEX(参数调整!$C$63:$D$68,3,1),C11*INDEX(参数调整!$C$63:$D$68,3,2),IF(H11&lt;=INDEX(参数调整!$C$63:$D$68,4,1),C11*INDEX(参数调整!$C$63:$D$68,4,2),IF(H11&lt;=INDEX(参数调整!$C$63:$D$68,5,1),C11*INDEX(参数调整!$C$63:$D$68,5,2),C11*INDEX(参数调整!$C$63:$D$68,6,2))))))</f>
        <v>118</v>
      </c>
      <c r="E46" s="2">
        <f>第三季度!G11+第三季度!H11+第三季度!E46-第三季度!B11</f>
        <v>0</v>
      </c>
      <c r="Q46" s="78" t="str">
        <f t="shared" si="10"/>
        <v>S</v>
      </c>
      <c r="R46" s="113">
        <f t="shared" ref="R46:X56" si="12">ROUNDUP(R66+R80,1)</f>
        <v>25.1</v>
      </c>
      <c r="S46" s="166">
        <f t="shared" si="12"/>
        <v>17.8</v>
      </c>
      <c r="T46" s="113">
        <f t="shared" si="12"/>
        <v>10</v>
      </c>
      <c r="U46" s="166">
        <f t="shared" si="12"/>
        <v>9.7999999999999989</v>
      </c>
      <c r="V46" s="113">
        <f t="shared" si="12"/>
        <v>13.6</v>
      </c>
      <c r="W46" s="113">
        <f t="shared" si="12"/>
        <v>0</v>
      </c>
      <c r="X46" s="113">
        <f t="shared" si="12"/>
        <v>23</v>
      </c>
      <c r="Y46" s="78">
        <f t="shared" ref="Y46:Y56" si="13">W4-TRUNC(R46)-TRUNC(S46)-TRUNC(T46)-TRUNC(U46)-TRUNC(V46)-TRUNC(W46)-TRUNC(X46)</f>
        <v>2</v>
      </c>
    </row>
    <row r="47" spans="1:42">
      <c r="A47" s="79">
        <v>1.37E-2</v>
      </c>
      <c r="B47" s="78">
        <f>((AA6*参数调整!H14/第四季度!A47)-第二季度!U21*第四季度!$J$18*0.536537*0.46055126-第三季度!W32*第四季度!$J$18*0.536537)/第四季度!$J$18</f>
        <v>3460.2107543188718</v>
      </c>
      <c r="D47" s="1">
        <f>IF(H12&lt;=INDEX(参数调整!$C$63:$D$68,1,1),C12,IF(H12&lt;=INDEX(参数调整!$C$63:$D$68,2,1),C12*INDEX(参数调整!$C$63:$D$68,2,2),IF(H12&lt;=INDEX(参数调整!$C$63:$D$68,3,1),C12*INDEX(参数调整!$C$63:$D$68,3,2),IF(H12&lt;=INDEX(参数调整!$C$63:$D$68,4,1),C12*INDEX(参数调整!$C$63:$D$68,4,2),IF(H12&lt;=INDEX(参数调整!$C$63:$D$68,5,1),C12*INDEX(参数调整!$C$63:$D$68,5,2),C12*INDEX(参数调整!$C$63:$D$68,6,2))))))</f>
        <v>150</v>
      </c>
      <c r="E47" s="2">
        <f>第三季度!G12+第三季度!H12+第三季度!E47-第三季度!B12</f>
        <v>0</v>
      </c>
      <c r="Q47" s="78" t="str">
        <f t="shared" si="10"/>
        <v>B</v>
      </c>
      <c r="R47" s="113">
        <f t="shared" si="12"/>
        <v>21</v>
      </c>
      <c r="S47" s="166">
        <f t="shared" si="12"/>
        <v>19.8</v>
      </c>
      <c r="T47" s="113">
        <f t="shared" si="12"/>
        <v>11.299999999999999</v>
      </c>
      <c r="U47" s="113">
        <f t="shared" si="12"/>
        <v>11.1</v>
      </c>
      <c r="V47" s="166">
        <f t="shared" si="12"/>
        <v>12.9</v>
      </c>
      <c r="W47" s="113">
        <f t="shared" si="12"/>
        <v>0</v>
      </c>
      <c r="X47" s="113">
        <f t="shared" si="12"/>
        <v>20.200000000000003</v>
      </c>
      <c r="Y47" s="78">
        <f t="shared" si="13"/>
        <v>2</v>
      </c>
    </row>
    <row r="48" spans="1:42">
      <c r="D48" s="1">
        <f>IF(H13&lt;=INDEX(参数调整!$C$63:$D$68,1,1),C13,IF(H13&lt;=INDEX(参数调整!$C$63:$D$68,2,1),C13*INDEX(参数调整!$C$63:$D$68,2,2),IF(H13&lt;=INDEX(参数调整!$C$63:$D$68,3,1),C13*INDEX(参数调整!$C$63:$D$68,3,2),IF(H13&lt;=INDEX(参数调整!$C$63:$D$68,4,1),C13*INDEX(参数调整!$C$63:$D$68,4,2),IF(H13&lt;=INDEX(参数调整!$C$63:$D$68,5,1),C13*INDEX(参数调整!$C$63:$D$68,5,2),C13*INDEX(参数调整!$C$63:$D$68,6,2))))))</f>
        <v>44</v>
      </c>
      <c r="E48" s="2">
        <f>第三季度!G13+第三季度!H13+第三季度!E48-第三季度!B13</f>
        <v>597</v>
      </c>
      <c r="Q48" s="78" t="str">
        <f t="shared" si="10"/>
        <v>Q</v>
      </c>
      <c r="R48" s="166">
        <f t="shared" si="12"/>
        <v>10.7</v>
      </c>
      <c r="S48" s="166">
        <f t="shared" si="12"/>
        <v>18.5</v>
      </c>
      <c r="T48" s="113">
        <f t="shared" si="12"/>
        <v>11.1</v>
      </c>
      <c r="U48" s="113">
        <f t="shared" si="12"/>
        <v>15.4</v>
      </c>
      <c r="V48" s="113">
        <f t="shared" si="12"/>
        <v>15.4</v>
      </c>
      <c r="W48" s="113">
        <f t="shared" si="12"/>
        <v>0</v>
      </c>
      <c r="X48" s="113">
        <f t="shared" si="12"/>
        <v>19.200000000000003</v>
      </c>
      <c r="Y48" s="78">
        <f t="shared" si="13"/>
        <v>2</v>
      </c>
    </row>
    <row r="49" spans="4:26">
      <c r="D49" s="1">
        <f>IF(H14&lt;=INDEX(参数调整!$C$63:$D$68,1,1),C14,IF(H14&lt;=INDEX(参数调整!$C$63:$D$68,2,1),C14*INDEX(参数调整!$C$63:$D$68,2,2),IF(H14&lt;=INDEX(参数调整!$C$63:$D$68,3,1),C14*INDEX(参数调整!$C$63:$D$68,3,2),IF(H14&lt;=INDEX(参数调整!$C$63:$D$68,4,1),C14*INDEX(参数调整!$C$63:$D$68,4,2),IF(H14&lt;=INDEX(参数调整!$C$63:$D$68,5,1),C14*INDEX(参数调整!$C$63:$D$68,5,2),C14*INDEX(参数调整!$C$63:$D$68,6,2))))))</f>
        <v>52</v>
      </c>
      <c r="E49" s="2">
        <f>第三季度!G14+第三季度!H14+第三季度!E49-第三季度!B14</f>
        <v>0</v>
      </c>
      <c r="Q49" s="78" t="str">
        <f t="shared" si="10"/>
        <v>Q</v>
      </c>
      <c r="R49" s="113">
        <f t="shared" si="12"/>
        <v>12.299999999999999</v>
      </c>
      <c r="S49" s="113">
        <f t="shared" si="12"/>
        <v>21.3</v>
      </c>
      <c r="T49" s="166">
        <f t="shared" si="12"/>
        <v>12.9</v>
      </c>
      <c r="U49" s="166">
        <f t="shared" si="12"/>
        <v>17.700000000000003</v>
      </c>
      <c r="V49" s="166">
        <f t="shared" si="12"/>
        <v>17.8</v>
      </c>
      <c r="W49" s="113">
        <f t="shared" si="12"/>
        <v>0</v>
      </c>
      <c r="X49" s="113">
        <f t="shared" si="12"/>
        <v>22.200000000000003</v>
      </c>
      <c r="Y49" s="78">
        <f t="shared" si="13"/>
        <v>3</v>
      </c>
    </row>
    <row r="50" spans="4:26">
      <c r="D50" s="1">
        <f>IF(H15&lt;=INDEX(参数调整!$C$63:$D$68,1,1),C15,IF(H15&lt;=INDEX(参数调整!$C$63:$D$68,2,1),C15*INDEX(参数调整!$C$63:$D$68,2,2),IF(H15&lt;=INDEX(参数调整!$C$63:$D$68,3,1),C15*INDEX(参数调整!$C$63:$D$68,3,2),IF(H15&lt;=INDEX(参数调整!$C$63:$D$68,4,1),C15*INDEX(参数调整!$C$63:$D$68,4,2),IF(H15&lt;=INDEX(参数调整!$C$63:$D$68,5,1),C15*INDEX(参数调整!$C$63:$D$68,5,2),C15*INDEX(参数调整!$C$63:$D$68,6,2))))))</f>
        <v>75</v>
      </c>
      <c r="E50" s="2">
        <f>第三季度!G15+第三季度!H15+第三季度!E50-第三季度!B15</f>
        <v>544</v>
      </c>
      <c r="Q50" s="78" t="str">
        <f t="shared" si="10"/>
        <v>Q</v>
      </c>
      <c r="R50" s="113">
        <f t="shared" si="12"/>
        <v>11.2</v>
      </c>
      <c r="S50" s="166">
        <f t="shared" si="12"/>
        <v>19.5</v>
      </c>
      <c r="T50" s="166">
        <f t="shared" si="12"/>
        <v>11.799999999999999</v>
      </c>
      <c r="U50" s="113">
        <f t="shared" si="12"/>
        <v>16.200000000000003</v>
      </c>
      <c r="V50" s="113">
        <f t="shared" si="12"/>
        <v>16.3</v>
      </c>
      <c r="W50" s="113">
        <f t="shared" si="12"/>
        <v>0</v>
      </c>
      <c r="X50" s="113">
        <f t="shared" si="12"/>
        <v>20.3</v>
      </c>
      <c r="Y50" s="78">
        <f t="shared" si="13"/>
        <v>2</v>
      </c>
    </row>
    <row r="51" spans="4:26">
      <c r="D51" s="1">
        <f>IF(H16&lt;=INDEX(参数调整!$C$63:$D$68,1,1),C16,IF(H16&lt;=INDEX(参数调整!$C$63:$D$68,2,1),C16*INDEX(参数调整!$C$63:$D$68,2,2),IF(H16&lt;=INDEX(参数调整!$C$63:$D$68,3,1),C16*INDEX(参数调整!$C$63:$D$68,3,2),IF(H16&lt;=INDEX(参数调整!$C$63:$D$68,4,1),C16*INDEX(参数调整!$C$63:$D$68,4,2),IF(H16&lt;=INDEX(参数调整!$C$63:$D$68,5,1),C16*INDEX(参数调整!$C$63:$D$68,5,2),C16*INDEX(参数调整!$C$63:$D$68,6,2))))))</f>
        <v>85</v>
      </c>
      <c r="E51" s="2">
        <f>第三季度!G16+第三季度!H16+第三季度!E51-第三季度!B16</f>
        <v>0</v>
      </c>
      <c r="Q51" s="78" t="str">
        <f t="shared" si="10"/>
        <v>L</v>
      </c>
      <c r="R51" s="166">
        <f t="shared" si="12"/>
        <v>16.900000000000002</v>
      </c>
      <c r="S51" s="113">
        <f t="shared" si="12"/>
        <v>22.3</v>
      </c>
      <c r="T51" s="166">
        <f t="shared" si="12"/>
        <v>19.5</v>
      </c>
      <c r="U51" s="113">
        <f t="shared" si="12"/>
        <v>22.3</v>
      </c>
      <c r="V51" s="113">
        <f t="shared" si="12"/>
        <v>25</v>
      </c>
      <c r="W51" s="113">
        <f t="shared" si="12"/>
        <v>0</v>
      </c>
      <c r="X51" s="113">
        <f t="shared" si="12"/>
        <v>27.3</v>
      </c>
      <c r="Y51" s="78">
        <f t="shared" si="13"/>
        <v>2</v>
      </c>
    </row>
    <row r="52" spans="4:26">
      <c r="Q52" s="78" t="str">
        <f t="shared" si="10"/>
        <v>L</v>
      </c>
      <c r="R52" s="113">
        <f t="shared" si="12"/>
        <v>35.200000000000003</v>
      </c>
      <c r="S52" s="113">
        <f t="shared" si="12"/>
        <v>46.300000000000004</v>
      </c>
      <c r="T52" s="166">
        <f t="shared" si="12"/>
        <v>40.5</v>
      </c>
      <c r="U52" s="113">
        <f t="shared" si="12"/>
        <v>46.300000000000004</v>
      </c>
      <c r="V52" s="113">
        <f t="shared" si="12"/>
        <v>52.1</v>
      </c>
      <c r="W52" s="113">
        <f t="shared" si="12"/>
        <v>0</v>
      </c>
      <c r="X52" s="166">
        <f t="shared" si="12"/>
        <v>56.9</v>
      </c>
      <c r="Y52" s="78">
        <f t="shared" si="13"/>
        <v>2</v>
      </c>
    </row>
    <row r="53" spans="4:26">
      <c r="Q53" s="78">
        <f t="shared" si="10"/>
        <v>0</v>
      </c>
      <c r="R53" s="113">
        <f t="shared" si="12"/>
        <v>-0.1</v>
      </c>
      <c r="S53" s="113">
        <f t="shared" si="12"/>
        <v>0</v>
      </c>
      <c r="T53" s="113">
        <f t="shared" si="12"/>
        <v>0</v>
      </c>
      <c r="U53" s="113">
        <f t="shared" si="12"/>
        <v>0</v>
      </c>
      <c r="V53" s="113">
        <f t="shared" si="12"/>
        <v>0</v>
      </c>
      <c r="W53" s="113">
        <f t="shared" si="12"/>
        <v>0</v>
      </c>
      <c r="X53" s="113">
        <f t="shared" si="12"/>
        <v>0</v>
      </c>
      <c r="Y53" s="78">
        <f t="shared" si="13"/>
        <v>0</v>
      </c>
    </row>
    <row r="54" spans="4:26">
      <c r="Q54" s="78">
        <f t="shared" si="10"/>
        <v>0</v>
      </c>
      <c r="R54" s="103">
        <f t="shared" si="12"/>
        <v>-0.1</v>
      </c>
      <c r="S54" s="103">
        <f t="shared" si="12"/>
        <v>0</v>
      </c>
      <c r="T54" s="103">
        <f t="shared" si="12"/>
        <v>0</v>
      </c>
      <c r="U54" s="103">
        <f t="shared" si="12"/>
        <v>0</v>
      </c>
      <c r="V54" s="103">
        <f t="shared" si="12"/>
        <v>0</v>
      </c>
      <c r="W54" s="103">
        <f t="shared" si="12"/>
        <v>0</v>
      </c>
      <c r="X54" s="103">
        <f t="shared" si="12"/>
        <v>0</v>
      </c>
      <c r="Y54" s="78">
        <f t="shared" si="13"/>
        <v>0</v>
      </c>
    </row>
    <row r="55" spans="4:26">
      <c r="Q55" s="78">
        <f t="shared" si="10"/>
        <v>0</v>
      </c>
      <c r="R55" s="103">
        <f t="shared" si="12"/>
        <v>-0.1</v>
      </c>
      <c r="S55" s="103">
        <f t="shared" si="12"/>
        <v>0</v>
      </c>
      <c r="T55" s="103">
        <f t="shared" si="12"/>
        <v>0</v>
      </c>
      <c r="U55" s="103">
        <f t="shared" si="12"/>
        <v>0</v>
      </c>
      <c r="V55" s="103">
        <f t="shared" si="12"/>
        <v>0</v>
      </c>
      <c r="W55" s="103">
        <f t="shared" si="12"/>
        <v>0</v>
      </c>
      <c r="X55" s="103">
        <f t="shared" si="12"/>
        <v>0</v>
      </c>
      <c r="Y55" s="78">
        <f t="shared" si="13"/>
        <v>0</v>
      </c>
    </row>
    <row r="56" spans="4:26">
      <c r="Q56" s="78">
        <f t="shared" si="10"/>
        <v>0</v>
      </c>
      <c r="R56" s="103">
        <f t="shared" si="12"/>
        <v>-0.1</v>
      </c>
      <c r="S56" s="103">
        <f t="shared" si="12"/>
        <v>0</v>
      </c>
      <c r="T56" s="103">
        <f t="shared" si="12"/>
        <v>0</v>
      </c>
      <c r="U56" s="103">
        <f t="shared" si="12"/>
        <v>0</v>
      </c>
      <c r="V56" s="103">
        <f t="shared" si="12"/>
        <v>0</v>
      </c>
      <c r="W56" s="103">
        <f t="shared" si="12"/>
        <v>0</v>
      </c>
      <c r="X56" s="103">
        <f t="shared" si="12"/>
        <v>0</v>
      </c>
      <c r="Y56" s="78">
        <f t="shared" si="13"/>
        <v>0</v>
      </c>
    </row>
    <row r="64" spans="4:26">
      <c r="Q64" s="78" t="s">
        <v>332</v>
      </c>
      <c r="R64" s="78" t="s">
        <v>333</v>
      </c>
      <c r="S64" s="78" t="s">
        <v>220</v>
      </c>
      <c r="T64" s="78" t="s">
        <v>221</v>
      </c>
      <c r="U64" s="78" t="s">
        <v>222</v>
      </c>
      <c r="V64" s="78" t="s">
        <v>223</v>
      </c>
      <c r="W64" s="78" t="s">
        <v>224</v>
      </c>
      <c r="X64" s="78" t="s">
        <v>225</v>
      </c>
      <c r="Y64" s="224" t="s">
        <v>334</v>
      </c>
      <c r="Z64" s="225"/>
    </row>
    <row r="65" spans="17:26">
      <c r="Q65" s="78" t="str">
        <f t="shared" ref="Q65:Q76" si="14">J3</f>
        <v>S</v>
      </c>
      <c r="R65" s="1">
        <f t="shared" ref="R65:R76" si="15">IF(Q65="S",Q29*$R$18/100,IF(Q65="B",Q29*$R$19/100,IF(Q65="Q",Q29*$R$20/100,Q29*$R$21/100)))</f>
        <v>19.785117024982576</v>
      </c>
      <c r="S65" s="1">
        <f t="shared" ref="S65:S76" si="16">IF(Q65="S",Q29*$S$18/100,IF(Q65="B",Q29*$S$19/100,IF(Q65="R",Q29*$S$20/100,Q29*$S$21/100)))</f>
        <v>13.970715287028513</v>
      </c>
      <c r="T65" s="1">
        <f t="shared" ref="T65:T76" si="17">IF(Q65="S",J29*$T$18/100,IF(Q65="B",J29*$T$19/100,IF(Q65="Q",J29*$T$20/100,J29*$T$21/100)))</f>
        <v>7.8997031308708792</v>
      </c>
      <c r="U65" s="1">
        <f t="shared" ref="U65:U76" si="18">IF(Q65="S",J29*$U$18/100,IF(Q65="B",J29*$U$19/100,IF(Q65="Q",J29*$U$20/100,J29*$U$21/100)))</f>
        <v>7.7209768156928043</v>
      </c>
      <c r="V65" s="1">
        <f t="shared" ref="V65:V76" si="19">IF(Q65="S",J29*$V$18/100,IF(Q65="B",J29*$V$19/100,IF(Q65="Q",J29*$V$20/100,J29*$V$21/100)))</f>
        <v>10.687833647648835</v>
      </c>
      <c r="W65" s="1">
        <f t="shared" ref="W65:W76" si="20">IF(Q65="S",S29*$W$18/100,IF(Q65="B",S29*$W$19/100,IF(Q65="Q",S29*$W$20/100,S29*$W$21/100)))</f>
        <v>0</v>
      </c>
      <c r="X65" s="1">
        <f t="shared" ref="X65:X76" si="21">IF(Q65="S",S29*$X$18/100,IF(Q65="B",S29*$X$19/100,IF(Q65="Q",S29*$X$20/100,S29*$X$21/100)))</f>
        <v>18.293104839762634</v>
      </c>
      <c r="Y65" s="226">
        <f>W3-SUM(R65:X65)</f>
        <v>0.64254925401374408</v>
      </c>
      <c r="Z65" s="226"/>
    </row>
    <row r="66" spans="17:26">
      <c r="Q66" s="78" t="str">
        <f t="shared" si="14"/>
        <v>S</v>
      </c>
      <c r="R66" s="1">
        <f t="shared" si="15"/>
        <v>24.687724809202379</v>
      </c>
      <c r="S66" s="1">
        <f t="shared" si="16"/>
        <v>17.43255670200821</v>
      </c>
      <c r="T66" s="1">
        <f t="shared" si="17"/>
        <v>9.833794651860325</v>
      </c>
      <c r="U66" s="1">
        <f t="shared" si="18"/>
        <v>9.6113106099630325</v>
      </c>
      <c r="V66" s="1">
        <f t="shared" si="19"/>
        <v>13.304545705458088</v>
      </c>
      <c r="W66" s="1">
        <f t="shared" si="20"/>
        <v>0</v>
      </c>
      <c r="X66" s="1">
        <f t="shared" si="21"/>
        <v>22.598517389695786</v>
      </c>
      <c r="Y66" s="226">
        <f t="shared" ref="Y66:Y76" si="22">W4-SUM(R66:X66)</f>
        <v>1.5315501318121818</v>
      </c>
      <c r="Z66" s="226"/>
    </row>
    <row r="67" spans="17:26">
      <c r="Q67" s="78" t="str">
        <f t="shared" si="14"/>
        <v>B</v>
      </c>
      <c r="R67" s="1">
        <f t="shared" si="15"/>
        <v>20.933702009466948</v>
      </c>
      <c r="S67" s="1">
        <f t="shared" si="16"/>
        <v>19.666317127891702</v>
      </c>
      <c r="T67" s="1">
        <f t="shared" si="17"/>
        <v>11.236477470674277</v>
      </c>
      <c r="U67" s="1">
        <f t="shared" si="18"/>
        <v>11.037953133736568</v>
      </c>
      <c r="V67" s="1">
        <f t="shared" si="19"/>
        <v>12.82467216617594</v>
      </c>
      <c r="W67" s="1">
        <f t="shared" si="20"/>
        <v>0</v>
      </c>
      <c r="X67" s="1">
        <f t="shared" si="21"/>
        <v>20.106768709612695</v>
      </c>
      <c r="Y67" s="226">
        <f t="shared" si="22"/>
        <v>0.19410938244186582</v>
      </c>
      <c r="Z67" s="226"/>
    </row>
    <row r="68" spans="17:26">
      <c r="Q68" s="78" t="str">
        <f t="shared" si="14"/>
        <v>Q</v>
      </c>
      <c r="R68" s="1">
        <f t="shared" si="15"/>
        <v>10.568423406200315</v>
      </c>
      <c r="S68" s="1">
        <f t="shared" si="16"/>
        <v>18.359742851647262</v>
      </c>
      <c r="T68" s="1">
        <f t="shared" si="17"/>
        <v>11.050559510497774</v>
      </c>
      <c r="U68" s="1">
        <f t="shared" si="18"/>
        <v>15.254786339971622</v>
      </c>
      <c r="V68" s="1">
        <f t="shared" si="19"/>
        <v>15.312642672487318</v>
      </c>
      <c r="W68" s="1">
        <f t="shared" si="20"/>
        <v>0</v>
      </c>
      <c r="X68" s="1">
        <f t="shared" si="21"/>
        <v>19.116393861579528</v>
      </c>
      <c r="Y68" s="226">
        <f t="shared" si="22"/>
        <v>0.33745135761617462</v>
      </c>
      <c r="Z68" s="226"/>
    </row>
    <row r="69" spans="17:26">
      <c r="Q69" s="78" t="str">
        <f t="shared" si="14"/>
        <v>Q</v>
      </c>
      <c r="R69" s="1">
        <f t="shared" si="15"/>
        <v>12.271608194496576</v>
      </c>
      <c r="S69" s="1">
        <f t="shared" si="16"/>
        <v>21.318560221096241</v>
      </c>
      <c r="T69" s="1">
        <f t="shared" si="17"/>
        <v>12.831444334756457</v>
      </c>
      <c r="U69" s="1">
        <f t="shared" si="18"/>
        <v>17.713215477822612</v>
      </c>
      <c r="V69" s="1">
        <f t="shared" si="19"/>
        <v>17.780395814653797</v>
      </c>
      <c r="W69" s="1">
        <f t="shared" si="20"/>
        <v>0</v>
      </c>
      <c r="X69" s="1">
        <f t="shared" si="21"/>
        <v>22.203979556473531</v>
      </c>
      <c r="Y69" s="226">
        <f t="shared" si="22"/>
        <v>-0.11920359929921176</v>
      </c>
      <c r="Z69" s="226"/>
    </row>
    <row r="70" spans="17:26">
      <c r="Q70" s="78" t="str">
        <f t="shared" si="14"/>
        <v>Q</v>
      </c>
      <c r="R70" s="1">
        <f t="shared" si="15"/>
        <v>11.021907423535158</v>
      </c>
      <c r="S70" s="1">
        <f t="shared" si="16"/>
        <v>19.14754720292969</v>
      </c>
      <c r="T70" s="1">
        <f t="shared" si="17"/>
        <v>11.524731667309572</v>
      </c>
      <c r="U70" s="1">
        <f t="shared" si="18"/>
        <v>15.909359073022463</v>
      </c>
      <c r="V70" s="1">
        <f t="shared" si="19"/>
        <v>15.969697982275393</v>
      </c>
      <c r="W70" s="1">
        <f t="shared" si="20"/>
        <v>0</v>
      </c>
      <c r="X70" s="1">
        <f t="shared" si="21"/>
        <v>19.938372616122884</v>
      </c>
      <c r="Y70" s="226">
        <f t="shared" si="22"/>
        <v>1.4883840348048238</v>
      </c>
      <c r="Z70" s="226"/>
    </row>
    <row r="71" spans="17:26">
      <c r="Q71" s="78" t="str">
        <f t="shared" si="14"/>
        <v>L</v>
      </c>
      <c r="R71" s="1">
        <f t="shared" si="15"/>
        <v>16.701862411631875</v>
      </c>
      <c r="S71" s="1">
        <f t="shared" si="16"/>
        <v>21.961564939051858</v>
      </c>
      <c r="T71" s="1">
        <f t="shared" si="17"/>
        <v>19.216369321670378</v>
      </c>
      <c r="U71" s="1">
        <f t="shared" si="18"/>
        <v>21.961564939051858</v>
      </c>
      <c r="V71" s="1">
        <f t="shared" si="19"/>
        <v>24.706760556433341</v>
      </c>
      <c r="W71" s="1">
        <f t="shared" si="20"/>
        <v>0</v>
      </c>
      <c r="X71" s="1">
        <f t="shared" si="21"/>
        <v>26.977974740578361</v>
      </c>
      <c r="Y71" s="226">
        <f t="shared" si="22"/>
        <v>1.473903091582315</v>
      </c>
      <c r="Z71" s="226"/>
    </row>
    <row r="72" spans="17:26">
      <c r="Q72" s="78" t="str">
        <f t="shared" si="14"/>
        <v>L</v>
      </c>
      <c r="R72" s="1">
        <f t="shared" si="15"/>
        <v>35.292897146729004</v>
      </c>
      <c r="S72" s="1">
        <f t="shared" si="16"/>
        <v>46.407234922218251</v>
      </c>
      <c r="T72" s="1">
        <f t="shared" si="17"/>
        <v>40.606330556940968</v>
      </c>
      <c r="U72" s="1">
        <f t="shared" si="18"/>
        <v>46.407234922218251</v>
      </c>
      <c r="V72" s="1">
        <f t="shared" si="19"/>
        <v>52.208139287495534</v>
      </c>
      <c r="W72" s="1">
        <f t="shared" si="20"/>
        <v>0</v>
      </c>
      <c r="X72" s="1">
        <f t="shared" si="21"/>
        <v>57.02951275424536</v>
      </c>
      <c r="Y72" s="226">
        <f t="shared" si="22"/>
        <v>-0.95134958984738205</v>
      </c>
      <c r="Z72" s="226"/>
    </row>
    <row r="73" spans="17:26">
      <c r="Q73" s="78">
        <f t="shared" si="14"/>
        <v>0</v>
      </c>
      <c r="R73" s="1">
        <f t="shared" si="15"/>
        <v>1.6454545454545453</v>
      </c>
      <c r="S73" s="1">
        <f t="shared" si="16"/>
        <v>2.1636363636363636</v>
      </c>
      <c r="T73" s="1">
        <f t="shared" si="17"/>
        <v>1.8931818181818181</v>
      </c>
      <c r="U73" s="1">
        <f t="shared" si="18"/>
        <v>2.1636363636363636</v>
      </c>
      <c r="V73" s="1">
        <f t="shared" si="19"/>
        <v>2.4340909090909091</v>
      </c>
      <c r="W73" s="1">
        <f t="shared" si="20"/>
        <v>0</v>
      </c>
      <c r="X73" s="1">
        <f t="shared" si="21"/>
        <v>2.6566981609583262</v>
      </c>
      <c r="Y73" s="226">
        <f t="shared" si="22"/>
        <v>-12.956698160958325</v>
      </c>
      <c r="Z73" s="226"/>
    </row>
    <row r="74" spans="17:26">
      <c r="Q74" s="78">
        <f t="shared" si="14"/>
        <v>0</v>
      </c>
      <c r="R74" s="1">
        <f t="shared" si="15"/>
        <v>1.6454545454545453</v>
      </c>
      <c r="S74" s="1">
        <f t="shared" si="16"/>
        <v>2.1636363636363636</v>
      </c>
      <c r="T74" s="1">
        <f t="shared" si="17"/>
        <v>1.8931818181818181</v>
      </c>
      <c r="U74" s="1">
        <f t="shared" si="18"/>
        <v>2.1636363636363636</v>
      </c>
      <c r="V74" s="1">
        <f t="shared" si="19"/>
        <v>2.4340909090909091</v>
      </c>
      <c r="W74" s="1">
        <f t="shared" si="20"/>
        <v>0</v>
      </c>
      <c r="X74" s="1">
        <f t="shared" si="21"/>
        <v>2.6566981609583262</v>
      </c>
      <c r="Y74" s="226">
        <f t="shared" si="22"/>
        <v>-12.956698160958325</v>
      </c>
      <c r="Z74" s="226"/>
    </row>
    <row r="75" spans="17:26">
      <c r="Q75" s="78">
        <f t="shared" si="14"/>
        <v>0</v>
      </c>
      <c r="R75" s="1">
        <f t="shared" si="15"/>
        <v>1.6454545454545453</v>
      </c>
      <c r="S75" s="1">
        <f t="shared" si="16"/>
        <v>2.1636363636363636</v>
      </c>
      <c r="T75" s="1">
        <f t="shared" si="17"/>
        <v>1.8931818181818181</v>
      </c>
      <c r="U75" s="1">
        <f t="shared" si="18"/>
        <v>2.1636363636363636</v>
      </c>
      <c r="V75" s="1">
        <f t="shared" si="19"/>
        <v>2.4340909090909091</v>
      </c>
      <c r="W75" s="1">
        <f t="shared" si="20"/>
        <v>0</v>
      </c>
      <c r="X75" s="1">
        <f t="shared" si="21"/>
        <v>2.6566981609583262</v>
      </c>
      <c r="Y75" s="226">
        <f t="shared" si="22"/>
        <v>-12.956698160958325</v>
      </c>
      <c r="Z75" s="226"/>
    </row>
    <row r="76" spans="17:26">
      <c r="Q76" s="78">
        <f t="shared" si="14"/>
        <v>0</v>
      </c>
      <c r="R76" s="1">
        <f t="shared" si="15"/>
        <v>1.6454545454545453</v>
      </c>
      <c r="S76" s="1">
        <f t="shared" si="16"/>
        <v>2.1636363636363636</v>
      </c>
      <c r="T76" s="1">
        <f t="shared" si="17"/>
        <v>1.8931818181818181</v>
      </c>
      <c r="U76" s="1">
        <f t="shared" si="18"/>
        <v>2.1636363636363636</v>
      </c>
      <c r="V76" s="1">
        <f t="shared" si="19"/>
        <v>2.4340909090909091</v>
      </c>
      <c r="W76" s="1">
        <f t="shared" si="20"/>
        <v>0</v>
      </c>
      <c r="X76" s="1">
        <f t="shared" si="21"/>
        <v>2.6566981609583262</v>
      </c>
      <c r="Y76" s="226">
        <f t="shared" si="22"/>
        <v>-12.956698160958325</v>
      </c>
      <c r="Z76" s="226"/>
    </row>
    <row r="77" spans="17:26">
      <c r="Y77" s="1"/>
    </row>
    <row r="78" spans="17:26">
      <c r="Y78" s="1"/>
    </row>
    <row r="79" spans="17:26">
      <c r="Q79" s="1"/>
      <c r="R79" s="1">
        <f t="shared" ref="R79:R86" si="23">Y65*R65/SUM(R65:X65)</f>
        <v>0.16224254444148545</v>
      </c>
      <c r="S79" s="1">
        <f t="shared" ref="S79:S86" si="24">Y65*S65/SUM(R65:X65)</f>
        <v>0.11456310280970196</v>
      </c>
      <c r="T79" s="1">
        <f t="shared" ref="T79:T86" si="25">Y65*T65/SUM(R65:X65)</f>
        <v>6.4779396283908969E-2</v>
      </c>
      <c r="U79" s="1">
        <f t="shared" ref="U79:U86" si="26">Y65*U65/SUM(R65:X65)</f>
        <v>6.3313799082915539E-2</v>
      </c>
      <c r="V79" s="1">
        <f t="shared" ref="V79:V86" si="27">Y65*V65/SUM(R65:X65)</f>
        <v>8.7642712619406232E-2</v>
      </c>
      <c r="W79" s="1">
        <f t="shared" ref="W79:W86" si="28">Y65*W65/SUM(R65:X65)</f>
        <v>0</v>
      </c>
      <c r="X79" s="1">
        <f t="shared" ref="X79:X86" si="29">Y65*X65/SUM(R65:X65)</f>
        <v>0.1500076987763258</v>
      </c>
      <c r="Y79" s="1"/>
    </row>
    <row r="80" spans="17:26">
      <c r="Q80" s="1"/>
      <c r="R80" s="1">
        <f t="shared" si="23"/>
        <v>0.38792540803521619</v>
      </c>
      <c r="S80" s="1">
        <f t="shared" si="24"/>
        <v>0.27392283914323429</v>
      </c>
      <c r="T80" s="1">
        <f t="shared" si="25"/>
        <v>0.15452127858438702</v>
      </c>
      <c r="U80" s="1">
        <f t="shared" si="26"/>
        <v>0.15102532205532848</v>
      </c>
      <c r="V80" s="1">
        <f t="shared" si="27"/>
        <v>0.20905820043770007</v>
      </c>
      <c r="W80" s="1">
        <f t="shared" si="28"/>
        <v>0</v>
      </c>
      <c r="X80" s="1">
        <f t="shared" si="29"/>
        <v>0.35509708355631575</v>
      </c>
      <c r="Y80" s="1"/>
    </row>
    <row r="81" spans="17:25">
      <c r="Q81" s="1"/>
      <c r="R81" s="1">
        <f t="shared" si="23"/>
        <v>4.2413132878230134E-2</v>
      </c>
      <c r="S81" s="1">
        <f t="shared" si="24"/>
        <v>3.984532316326421E-2</v>
      </c>
      <c r="T81" s="1">
        <f t="shared" si="25"/>
        <v>2.2765883064133803E-2</v>
      </c>
      <c r="U81" s="1">
        <f t="shared" si="26"/>
        <v>2.236365898172861E-2</v>
      </c>
      <c r="V81" s="1">
        <f t="shared" si="27"/>
        <v>2.5983675723375326E-2</v>
      </c>
      <c r="W81" s="1">
        <f t="shared" si="28"/>
        <v>0</v>
      </c>
      <c r="X81" s="1">
        <f t="shared" si="29"/>
        <v>4.0737708631133726E-2</v>
      </c>
      <c r="Y81" s="1"/>
    </row>
    <row r="82" spans="17:25">
      <c r="R82" s="1">
        <f t="shared" si="23"/>
        <v>3.9775010640273459E-2</v>
      </c>
      <c r="S82" s="1">
        <f t="shared" si="24"/>
        <v>6.9098193667044394E-2</v>
      </c>
      <c r="T82" s="1">
        <f t="shared" si="25"/>
        <v>4.1589564045395412E-2</v>
      </c>
      <c r="U82" s="1">
        <f t="shared" si="26"/>
        <v>5.7412469738058941E-2</v>
      </c>
      <c r="V82" s="1">
        <f t="shared" si="27"/>
        <v>5.7630216146673574E-2</v>
      </c>
      <c r="W82" s="1">
        <f t="shared" si="28"/>
        <v>0</v>
      </c>
      <c r="X82" s="1">
        <f t="shared" si="29"/>
        <v>7.1945903378728804E-2</v>
      </c>
    </row>
    <row r="83" spans="17:25">
      <c r="R83" s="1">
        <f t="shared" si="23"/>
        <v>-1.4049472291425969E-2</v>
      </c>
      <c r="S83" s="1">
        <f t="shared" si="24"/>
        <v>-2.4407112447878691E-2</v>
      </c>
      <c r="T83" s="1">
        <f t="shared" si="25"/>
        <v>-1.4690415370414382E-2</v>
      </c>
      <c r="U83" s="1">
        <f t="shared" si="26"/>
        <v>-2.0279439019193324E-2</v>
      </c>
      <c r="V83" s="1">
        <f t="shared" si="27"/>
        <v>-2.0356352188671933E-2</v>
      </c>
      <c r="W83" s="1">
        <f t="shared" si="28"/>
        <v>0</v>
      </c>
      <c r="X83" s="1">
        <f t="shared" si="29"/>
        <v>-2.5420807981627467E-2</v>
      </c>
    </row>
    <row r="84" spans="17:25">
      <c r="R84" s="1">
        <f t="shared" si="23"/>
        <v>0.17543094377058294</v>
      </c>
      <c r="S84" s="1">
        <f t="shared" si="24"/>
        <v>0.30476324538247251</v>
      </c>
      <c r="T84" s="1">
        <f t="shared" si="25"/>
        <v>0.18343418025646716</v>
      </c>
      <c r="U84" s="1">
        <f t="shared" si="26"/>
        <v>0.2532224024133779</v>
      </c>
      <c r="V84" s="1">
        <f t="shared" si="27"/>
        <v>0.25418279079168404</v>
      </c>
      <c r="W84" s="1">
        <f t="shared" si="28"/>
        <v>0</v>
      </c>
      <c r="X84" s="1">
        <f t="shared" si="29"/>
        <v>0.3173504721902391</v>
      </c>
    </row>
    <row r="85" spans="17:25">
      <c r="R85" s="1">
        <f t="shared" si="23"/>
        <v>0.18716381936603485</v>
      </c>
      <c r="S85" s="1">
        <f t="shared" si="24"/>
        <v>0.24610491165257617</v>
      </c>
      <c r="T85" s="1">
        <f t="shared" si="25"/>
        <v>0.2153417976960042</v>
      </c>
      <c r="U85" s="1">
        <f t="shared" si="26"/>
        <v>0.24610491165257617</v>
      </c>
      <c r="V85" s="1">
        <f t="shared" si="27"/>
        <v>0.27686802560914825</v>
      </c>
      <c r="W85" s="1">
        <f t="shared" si="28"/>
        <v>0</v>
      </c>
      <c r="X85" s="1">
        <f t="shared" si="29"/>
        <v>0.30231962560597525</v>
      </c>
    </row>
    <row r="86" spans="17:25">
      <c r="R86" s="1">
        <f t="shared" si="23"/>
        <v>-0.12079769813894399</v>
      </c>
      <c r="S86" s="1">
        <f t="shared" si="24"/>
        <v>-0.15883896219374957</v>
      </c>
      <c r="T86" s="1">
        <f t="shared" si="25"/>
        <v>-0.13898409191953087</v>
      </c>
      <c r="U86" s="1">
        <f t="shared" si="26"/>
        <v>-0.15883896219374957</v>
      </c>
      <c r="V86" s="1">
        <f t="shared" si="27"/>
        <v>-0.17869383246796827</v>
      </c>
      <c r="W86" s="1">
        <f t="shared" si="28"/>
        <v>0</v>
      </c>
      <c r="X86" s="1">
        <f t="shared" si="29"/>
        <v>-0.19519604293343976</v>
      </c>
    </row>
    <row r="87" spans="17:25">
      <c r="R87" s="1">
        <f t="shared" ref="R87:R90" si="30">Y73*R73/SUM(R73:X73)</f>
        <v>-1.6454545454545455</v>
      </c>
      <c r="S87" s="1">
        <f t="shared" ref="S87:S90" si="31">Y73*S73/SUM(R73:X73)</f>
        <v>-2.1636363636363636</v>
      </c>
      <c r="T87" s="1">
        <f t="shared" ref="T87:T90" si="32">Y73*T73/SUM(R73:X73)</f>
        <v>-1.8931818181818181</v>
      </c>
      <c r="U87" s="1">
        <f t="shared" ref="U87:U90" si="33">Y73*U73/SUM(R73:X73)</f>
        <v>-2.1636363636363636</v>
      </c>
      <c r="V87" s="1">
        <f t="shared" ref="V87:V90" si="34">Y73*V73/SUM(R73:X73)</f>
        <v>-2.4340909090909091</v>
      </c>
      <c r="W87" s="1">
        <f t="shared" ref="W87:W90" si="35">Y73*W73/SUM(R73:X73)</f>
        <v>0</v>
      </c>
      <c r="X87" s="1">
        <f t="shared" ref="X87:X90" si="36">Y73*X73/SUM(R73:X73)</f>
        <v>-2.6566981609583262</v>
      </c>
    </row>
    <row r="88" spans="17:25">
      <c r="R88" s="1">
        <f t="shared" si="30"/>
        <v>-1.6454545454545455</v>
      </c>
      <c r="S88" s="1">
        <f t="shared" si="31"/>
        <v>-2.1636363636363636</v>
      </c>
      <c r="T88" s="1">
        <f t="shared" si="32"/>
        <v>-1.8931818181818181</v>
      </c>
      <c r="U88" s="1">
        <f t="shared" si="33"/>
        <v>-2.1636363636363636</v>
      </c>
      <c r="V88" s="1">
        <f t="shared" si="34"/>
        <v>-2.4340909090909091</v>
      </c>
      <c r="W88" s="1">
        <f t="shared" si="35"/>
        <v>0</v>
      </c>
      <c r="X88" s="1">
        <f t="shared" si="36"/>
        <v>-2.6566981609583262</v>
      </c>
    </row>
    <row r="89" spans="17:25">
      <c r="R89" s="1">
        <f t="shared" si="30"/>
        <v>-1.6454545454545455</v>
      </c>
      <c r="S89" s="1">
        <f t="shared" si="31"/>
        <v>-2.1636363636363636</v>
      </c>
      <c r="T89" s="1">
        <f t="shared" si="32"/>
        <v>-1.8931818181818181</v>
      </c>
      <c r="U89" s="1">
        <f t="shared" si="33"/>
        <v>-2.1636363636363636</v>
      </c>
      <c r="V89" s="1">
        <f t="shared" si="34"/>
        <v>-2.4340909090909091</v>
      </c>
      <c r="W89" s="1">
        <f t="shared" si="35"/>
        <v>0</v>
      </c>
      <c r="X89" s="1">
        <f t="shared" si="36"/>
        <v>-2.6566981609583262</v>
      </c>
    </row>
    <row r="90" spans="17:25">
      <c r="R90" s="1">
        <f t="shared" si="30"/>
        <v>-1.6454545454545455</v>
      </c>
      <c r="S90" s="1">
        <f t="shared" si="31"/>
        <v>-2.1636363636363636</v>
      </c>
      <c r="T90" s="1">
        <f t="shared" si="32"/>
        <v>-1.8931818181818181</v>
      </c>
      <c r="U90" s="1">
        <f t="shared" si="33"/>
        <v>-2.1636363636363636</v>
      </c>
      <c r="V90" s="1">
        <f t="shared" si="34"/>
        <v>-2.4340909090909091</v>
      </c>
      <c r="W90" s="1">
        <f t="shared" si="35"/>
        <v>0</v>
      </c>
      <c r="X90" s="1">
        <f t="shared" si="36"/>
        <v>-2.6566981609583262</v>
      </c>
    </row>
  </sheetData>
  <mergeCells count="87">
    <mergeCell ref="AO4:AP4"/>
    <mergeCell ref="AO5:AP6"/>
    <mergeCell ref="AL28:AL29"/>
    <mergeCell ref="AL30:AL31"/>
    <mergeCell ref="AL32:AL33"/>
    <mergeCell ref="AN28:AN29"/>
    <mergeCell ref="AN30:AN31"/>
    <mergeCell ref="AN32:AN33"/>
    <mergeCell ref="AJ27:AL27"/>
    <mergeCell ref="AJ28:AJ35"/>
    <mergeCell ref="AK28:AK35"/>
    <mergeCell ref="AL34:AL35"/>
    <mergeCell ref="AN34:AN35"/>
    <mergeCell ref="AM28:AM29"/>
    <mergeCell ref="AM30:AM31"/>
    <mergeCell ref="AM32:AM33"/>
    <mergeCell ref="AI37:AI44"/>
    <mergeCell ref="AJ37:AM37"/>
    <mergeCell ref="AJ38:AM38"/>
    <mergeCell ref="AJ39:AM39"/>
    <mergeCell ref="AJ40:AM40"/>
    <mergeCell ref="AJ41:AM41"/>
    <mergeCell ref="AJ42:AM42"/>
    <mergeCell ref="AJ43:AM43"/>
    <mergeCell ref="AJ44:AM44"/>
    <mergeCell ref="AD30:AF30"/>
    <mergeCell ref="AI2:AJ3"/>
    <mergeCell ref="AK2:AK3"/>
    <mergeCell ref="AL2:AM3"/>
    <mergeCell ref="AD25:AE25"/>
    <mergeCell ref="AD26:AF26"/>
    <mergeCell ref="AD27:AF27"/>
    <mergeCell ref="AD28:AF28"/>
    <mergeCell ref="AD29:AF29"/>
    <mergeCell ref="AN2:AN3"/>
    <mergeCell ref="AI4:AI36"/>
    <mergeCell ref="AJ4:AL4"/>
    <mergeCell ref="AJ5:AJ16"/>
    <mergeCell ref="AK5:AK8"/>
    <mergeCell ref="AK9:AK11"/>
    <mergeCell ref="AK12:AL12"/>
    <mergeCell ref="AK13:AK16"/>
    <mergeCell ref="AJ17:AL17"/>
    <mergeCell ref="AJ18:AK19"/>
    <mergeCell ref="AJ20:AK23"/>
    <mergeCell ref="AJ24:AK26"/>
    <mergeCell ref="AM34:AM35"/>
    <mergeCell ref="AJ36:AM36"/>
    <mergeCell ref="Y73:Z73"/>
    <mergeCell ref="Y74:Z74"/>
    <mergeCell ref="Y75:Z75"/>
    <mergeCell ref="Y76:Z76"/>
    <mergeCell ref="AD2:AG2"/>
    <mergeCell ref="AD3:AF3"/>
    <mergeCell ref="AD4:AF4"/>
    <mergeCell ref="AD5:AD7"/>
    <mergeCell ref="AD8:AD10"/>
    <mergeCell ref="AG8:AG10"/>
    <mergeCell ref="AD11:AD14"/>
    <mergeCell ref="AD15:AE15"/>
    <mergeCell ref="AD16:AE16"/>
    <mergeCell ref="AD17:AD22"/>
    <mergeCell ref="AD23:AE23"/>
    <mergeCell ref="AD24:AE24"/>
    <mergeCell ref="Y68:Z68"/>
    <mergeCell ref="Y69:Z69"/>
    <mergeCell ref="Y70:Z70"/>
    <mergeCell ref="Y71:Z71"/>
    <mergeCell ref="Y72:Z72"/>
    <mergeCell ref="H1:H2"/>
    <mergeCell ref="Y64:Z64"/>
    <mergeCell ref="Y65:Z65"/>
    <mergeCell ref="Y66:Z66"/>
    <mergeCell ref="Y67:Z67"/>
    <mergeCell ref="B1:B2"/>
    <mergeCell ref="C1:C2"/>
    <mergeCell ref="D1:D2"/>
    <mergeCell ref="E1:E2"/>
    <mergeCell ref="G1:G2"/>
    <mergeCell ref="D36:D37"/>
    <mergeCell ref="E36:E37"/>
    <mergeCell ref="A18:B18"/>
    <mergeCell ref="Q22:Q25"/>
    <mergeCell ref="J17:K17"/>
    <mergeCell ref="J18:K20"/>
    <mergeCell ref="J21:K21"/>
    <mergeCell ref="J22:K24"/>
  </mergeCells>
  <phoneticPr fontId="3" type="noConversion"/>
  <dataValidations count="4">
    <dataValidation type="list" allowBlank="1" showInputMessage="1" showErrorMessage="1" sqref="AE8:AE10" xr:uid="{B3B8AC6D-7461-4833-9B31-B22EB7CE7AF5}">
      <formula1>"租用小厂房,租用中厂房,租用大厂房"</formula1>
    </dataValidation>
    <dataValidation type="list" allowBlank="1" showInputMessage="1" showErrorMessage="1" sqref="AF17:AF23" xr:uid="{37CF73B4-4FDC-47C5-9896-7CE9AA522303}">
      <formula1>"1,0"</formula1>
    </dataValidation>
    <dataValidation type="list" allowBlank="1" showInputMessage="1" showErrorMessage="1" sqref="AE5:AE7" xr:uid="{AFE22225-D412-4626-B359-DBB332566C89}">
      <formula1>"购买小厂房,购买中厂房,购买大厂房"</formula1>
    </dataValidation>
    <dataValidation type="list" allowBlank="1" showInputMessage="1" showErrorMessage="1" sqref="AE11:AE14" xr:uid="{D48352A6-DA77-41EA-8BC1-82904F803994}">
      <formula1>"手工线,半自动线,全自动线,柔性线"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6AB2-EC63-4B2B-89FA-5B2C33C33D8E}">
  <dimension ref="A1:AN187"/>
  <sheetViews>
    <sheetView topLeftCell="V124" zoomScale="122" zoomScaleNormal="130" workbookViewId="0">
      <selection activeCell="AA136" sqref="AA136:AA139"/>
    </sheetView>
  </sheetViews>
  <sheetFormatPr defaultColWidth="8.875" defaultRowHeight="14.25"/>
  <cols>
    <col min="1" max="1" width="16" style="89" customWidth="1"/>
    <col min="2" max="2" width="8.875" style="89"/>
    <col min="3" max="4" width="14.5" style="89" customWidth="1"/>
    <col min="5" max="5" width="16.25" style="89" customWidth="1"/>
    <col min="6" max="6" width="16.375" style="89" customWidth="1"/>
    <col min="7" max="7" width="15.875" style="89" customWidth="1"/>
    <col min="8" max="8" width="18.5" style="89" customWidth="1"/>
    <col min="9" max="9" width="18.875" style="89" customWidth="1"/>
    <col min="10" max="10" width="17.125" style="89" customWidth="1"/>
    <col min="11" max="11" width="19.875" style="89" customWidth="1"/>
    <col min="12" max="12" width="17.5" style="89" customWidth="1"/>
    <col min="13" max="13" width="17.75" style="89" customWidth="1"/>
    <col min="14" max="14" width="17.625" style="89" customWidth="1"/>
    <col min="15" max="15" width="16" style="89" customWidth="1"/>
    <col min="16" max="16" width="15.875" style="89" customWidth="1"/>
    <col min="17" max="17" width="14.25" style="89" customWidth="1"/>
    <col min="18" max="18" width="16.375" style="89" customWidth="1"/>
    <col min="19" max="19" width="10.5" style="89" customWidth="1"/>
    <col min="20" max="28" width="8.875" style="89" customWidth="1"/>
    <col min="29" max="29" width="8.875" style="129" customWidth="1"/>
    <col min="30" max="30" width="8.875" style="89" customWidth="1"/>
    <col min="31" max="31" width="8.875" style="129" customWidth="1"/>
    <col min="32" max="32" width="8.875" style="89" customWidth="1"/>
    <col min="33" max="33" width="8.875" style="129" customWidth="1"/>
    <col min="34" max="34" width="14.125" style="129" customWidth="1"/>
    <col min="35" max="36" width="8.875" style="129" customWidth="1"/>
    <col min="37" max="38" width="8.875" style="89" customWidth="1"/>
    <col min="39" max="16384" width="8.875" style="89"/>
  </cols>
  <sheetData>
    <row r="1" spans="1:40">
      <c r="A1" s="234" t="s">
        <v>434</v>
      </c>
      <c r="B1" s="234"/>
      <c r="C1" s="234"/>
      <c r="D1" s="103" t="s">
        <v>433</v>
      </c>
      <c r="E1" s="103" t="s">
        <v>432</v>
      </c>
      <c r="F1" s="103" t="s">
        <v>431</v>
      </c>
      <c r="G1" s="103" t="s">
        <v>430</v>
      </c>
      <c r="H1" s="103" t="s">
        <v>429</v>
      </c>
      <c r="I1" s="103" t="s">
        <v>428</v>
      </c>
      <c r="J1" s="103" t="s">
        <v>427</v>
      </c>
      <c r="K1" s="103" t="s">
        <v>426</v>
      </c>
      <c r="L1" s="103" t="s">
        <v>425</v>
      </c>
      <c r="M1" s="103" t="s">
        <v>424</v>
      </c>
      <c r="N1" s="103" t="s">
        <v>423</v>
      </c>
      <c r="O1" s="103" t="s">
        <v>422</v>
      </c>
      <c r="P1" s="103" t="s">
        <v>421</v>
      </c>
      <c r="Q1" s="103" t="s">
        <v>420</v>
      </c>
      <c r="R1" s="103" t="s">
        <v>419</v>
      </c>
      <c r="S1" s="103" t="s">
        <v>418</v>
      </c>
      <c r="T1" s="103" t="s">
        <v>417</v>
      </c>
      <c r="U1" s="103" t="s">
        <v>416</v>
      </c>
      <c r="V1" s="103" t="s">
        <v>415</v>
      </c>
      <c r="W1" s="103" t="s">
        <v>414</v>
      </c>
      <c r="X1" s="103" t="s">
        <v>413</v>
      </c>
      <c r="Y1" s="103" t="s">
        <v>412</v>
      </c>
      <c r="Z1" s="103" t="s">
        <v>411</v>
      </c>
      <c r="AA1" s="103" t="s">
        <v>410</v>
      </c>
      <c r="AB1" s="103" t="s">
        <v>409</v>
      </c>
      <c r="AC1" s="130" t="s">
        <v>408</v>
      </c>
      <c r="AD1" s="103" t="s">
        <v>407</v>
      </c>
      <c r="AE1" s="130" t="s">
        <v>406</v>
      </c>
      <c r="AF1" s="103" t="s">
        <v>405</v>
      </c>
      <c r="AG1" s="130" t="s">
        <v>404</v>
      </c>
      <c r="AH1" s="130" t="s">
        <v>403</v>
      </c>
      <c r="AI1" s="130" t="s">
        <v>402</v>
      </c>
      <c r="AJ1" s="130" t="s">
        <v>401</v>
      </c>
      <c r="AK1" s="103" t="s">
        <v>400</v>
      </c>
      <c r="AL1" s="103"/>
    </row>
    <row r="2" spans="1:40">
      <c r="A2" s="223" t="s">
        <v>399</v>
      </c>
      <c r="B2" s="223"/>
      <c r="C2" s="223"/>
      <c r="D2" s="103">
        <v>2132</v>
      </c>
      <c r="E2" s="103">
        <v>2132</v>
      </c>
      <c r="F2" s="103">
        <v>2321</v>
      </c>
      <c r="G2" s="103">
        <v>2321</v>
      </c>
      <c r="H2" s="103">
        <v>2321</v>
      </c>
      <c r="I2" s="103">
        <v>2321</v>
      </c>
      <c r="J2" s="103">
        <v>2321</v>
      </c>
      <c r="K2" s="103">
        <v>2321</v>
      </c>
      <c r="L2" s="103">
        <v>2321</v>
      </c>
      <c r="M2" s="103">
        <v>2132</v>
      </c>
      <c r="N2" s="103">
        <v>3113</v>
      </c>
      <c r="O2" s="103">
        <v>3113</v>
      </c>
      <c r="P2" s="103">
        <v>3113</v>
      </c>
      <c r="Q2" s="103">
        <v>3113</v>
      </c>
      <c r="R2" s="103">
        <v>1331</v>
      </c>
      <c r="S2" s="103"/>
      <c r="T2" s="103">
        <v>2132</v>
      </c>
      <c r="U2" s="103">
        <v>2132</v>
      </c>
      <c r="V2" s="103">
        <v>2411</v>
      </c>
      <c r="W2" s="103">
        <v>2132</v>
      </c>
      <c r="X2" s="103">
        <v>2321</v>
      </c>
      <c r="Y2" s="103">
        <v>2132</v>
      </c>
      <c r="Z2" s="103">
        <v>1331</v>
      </c>
      <c r="AA2" s="103">
        <v>2321</v>
      </c>
      <c r="AB2" s="103">
        <v>2132</v>
      </c>
      <c r="AC2" s="130">
        <v>2411</v>
      </c>
      <c r="AD2" s="103">
        <v>2321</v>
      </c>
      <c r="AE2" s="130">
        <v>2411</v>
      </c>
      <c r="AF2" s="103">
        <v>2411</v>
      </c>
      <c r="AG2" s="130">
        <v>3113</v>
      </c>
      <c r="AH2" s="130">
        <v>3212</v>
      </c>
      <c r="AI2" s="130">
        <v>2231</v>
      </c>
      <c r="AJ2" s="130">
        <v>2240</v>
      </c>
      <c r="AK2" s="103">
        <v>2411</v>
      </c>
      <c r="AL2" s="103"/>
    </row>
    <row r="3" spans="1:40" ht="15" customHeight="1">
      <c r="A3" s="235" t="s">
        <v>398</v>
      </c>
      <c r="B3" s="235"/>
      <c r="C3" s="235"/>
      <c r="D3" s="197" t="s">
        <v>397</v>
      </c>
      <c r="E3" s="236" t="s">
        <v>396</v>
      </c>
      <c r="F3" s="236" t="s">
        <v>395</v>
      </c>
      <c r="G3" s="236" t="s">
        <v>394</v>
      </c>
      <c r="H3" s="236" t="s">
        <v>393</v>
      </c>
      <c r="I3" s="236" t="s">
        <v>392</v>
      </c>
      <c r="J3" s="236" t="s">
        <v>391</v>
      </c>
      <c r="K3" s="236" t="s">
        <v>390</v>
      </c>
      <c r="L3" s="236" t="s">
        <v>389</v>
      </c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237"/>
      <c r="AD3" s="197"/>
      <c r="AE3" s="237"/>
      <c r="AF3" s="197"/>
      <c r="AG3" s="237"/>
      <c r="AH3" s="237"/>
      <c r="AI3" s="237"/>
      <c r="AJ3" s="237"/>
      <c r="AK3" s="197"/>
      <c r="AL3" s="197"/>
      <c r="AM3" s="190"/>
      <c r="AN3" s="190"/>
    </row>
    <row r="4" spans="1:40">
      <c r="A4" s="235"/>
      <c r="B4" s="235"/>
      <c r="C4" s="235"/>
      <c r="D4" s="197"/>
      <c r="E4" s="197"/>
      <c r="F4" s="197"/>
      <c r="G4" s="197"/>
      <c r="H4" s="197"/>
      <c r="I4" s="197"/>
      <c r="J4" s="197"/>
      <c r="K4" s="236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237"/>
      <c r="AD4" s="197"/>
      <c r="AE4" s="237"/>
      <c r="AF4" s="197"/>
      <c r="AG4" s="237"/>
      <c r="AH4" s="237"/>
      <c r="AI4" s="237"/>
      <c r="AJ4" s="237"/>
      <c r="AK4" s="197"/>
      <c r="AL4" s="197"/>
      <c r="AM4" s="190"/>
      <c r="AN4" s="190"/>
    </row>
    <row r="5" spans="1:40">
      <c r="A5" s="235"/>
      <c r="B5" s="235"/>
      <c r="C5" s="235"/>
      <c r="D5" s="197"/>
      <c r="E5" s="197"/>
      <c r="F5" s="197"/>
      <c r="G5" s="197"/>
      <c r="H5" s="197"/>
      <c r="I5" s="197"/>
      <c r="J5" s="197"/>
      <c r="K5" s="236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237"/>
      <c r="AD5" s="197"/>
      <c r="AE5" s="237"/>
      <c r="AF5" s="197"/>
      <c r="AG5" s="237"/>
      <c r="AH5" s="237"/>
      <c r="AI5" s="237"/>
      <c r="AJ5" s="237"/>
      <c r="AK5" s="197"/>
      <c r="AL5" s="197"/>
      <c r="AM5" s="190"/>
      <c r="AN5" s="190"/>
    </row>
    <row r="6" spans="1:40">
      <c r="A6" s="235"/>
      <c r="B6" s="235"/>
      <c r="C6" s="235"/>
      <c r="D6" s="197"/>
      <c r="E6" s="197"/>
      <c r="F6" s="197"/>
      <c r="G6" s="197"/>
      <c r="H6" s="197"/>
      <c r="I6" s="197"/>
      <c r="J6" s="197"/>
      <c r="K6" s="236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237"/>
      <c r="AD6" s="197"/>
      <c r="AE6" s="237"/>
      <c r="AF6" s="197"/>
      <c r="AG6" s="237"/>
      <c r="AH6" s="237"/>
      <c r="AI6" s="237"/>
      <c r="AJ6" s="237"/>
      <c r="AK6" s="197"/>
      <c r="AL6" s="197"/>
      <c r="AM6" s="190"/>
      <c r="AN6" s="190"/>
    </row>
    <row r="7" spans="1:40" s="138" customFormat="1">
      <c r="A7" s="231" t="s">
        <v>388</v>
      </c>
      <c r="B7" s="228" t="s">
        <v>385</v>
      </c>
      <c r="C7" s="139" t="s">
        <v>347</v>
      </c>
      <c r="D7" s="139">
        <v>7974.4816586921852</v>
      </c>
      <c r="E7" s="139">
        <v>11999.760004799904</v>
      </c>
      <c r="F7" s="139">
        <v>8144.5335192285356</v>
      </c>
      <c r="G7" s="139">
        <v>8897.7457351746543</v>
      </c>
      <c r="H7" s="139">
        <v>9750.5563798219573</v>
      </c>
      <c r="I7" s="139">
        <v>8125.7148156162093</v>
      </c>
      <c r="J7" s="139">
        <v>9867.6801801801812</v>
      </c>
      <c r="K7" s="139">
        <v>7944.603109841788</v>
      </c>
      <c r="L7" s="139">
        <v>9217.2159887798043</v>
      </c>
      <c r="M7" s="139">
        <v>8027.209991865866</v>
      </c>
      <c r="N7" s="139">
        <v>7860.15625</v>
      </c>
      <c r="O7" s="139">
        <v>7040.083374136947</v>
      </c>
      <c r="P7" s="139">
        <v>8659.9379906326285</v>
      </c>
      <c r="Q7" s="139">
        <v>9759.7597597597596</v>
      </c>
      <c r="R7" s="139">
        <v>8473.3591842596579</v>
      </c>
      <c r="S7" s="139">
        <v>7618.506514468706</v>
      </c>
      <c r="T7" s="139">
        <v>7504.3694232361331</v>
      </c>
      <c r="U7" s="139">
        <v>8199.6124031007766</v>
      </c>
      <c r="V7" s="139">
        <v>7868.271954674221</v>
      </c>
      <c r="W7" s="139">
        <v>7844.2307692307686</v>
      </c>
      <c r="X7" s="139">
        <v>8791.1984666842054</v>
      </c>
      <c r="Y7" s="139">
        <v>8452.6013317492325</v>
      </c>
      <c r="Z7" s="139">
        <v>7449.1102213096983</v>
      </c>
      <c r="AA7" s="139">
        <v>8105.065666041276</v>
      </c>
      <c r="AB7" s="139">
        <v>8491.5480056624201</v>
      </c>
      <c r="AC7" s="140">
        <v>2934.2723004694835</v>
      </c>
      <c r="AD7" s="139">
        <v>8686.731637903933</v>
      </c>
      <c r="AE7" s="140">
        <v>8686.731637903933</v>
      </c>
      <c r="AF7" s="139">
        <v>6912.4423963133631</v>
      </c>
      <c r="AG7" s="140">
        <v>12377.958656868665</v>
      </c>
      <c r="AH7" s="140">
        <v>8929.6551724137935</v>
      </c>
      <c r="AI7" s="140">
        <v>10577.533319229957</v>
      </c>
      <c r="AJ7" s="140">
        <v>9412.2257053291542</v>
      </c>
      <c r="AK7" s="139">
        <v>9703.8647342995173</v>
      </c>
      <c r="AL7" s="137">
        <f>SUM(S7:AA7,AB7,AD7,AF7,AK7)/14</f>
        <v>7544.8252517624451</v>
      </c>
    </row>
    <row r="8" spans="1:40">
      <c r="A8" s="231"/>
      <c r="B8" s="228"/>
      <c r="C8" s="103" t="s">
        <v>346</v>
      </c>
      <c r="D8" s="103">
        <v>9700.7512261749544</v>
      </c>
      <c r="E8" s="103">
        <v>9065.4598726484201</v>
      </c>
      <c r="F8" s="103">
        <v>9824.6852570890696</v>
      </c>
      <c r="G8" s="103">
        <v>10244.38706086096</v>
      </c>
      <c r="H8" s="103">
        <v>9397.5090036014408</v>
      </c>
      <c r="I8" s="103">
        <v>9258.1641855033049</v>
      </c>
      <c r="J8" s="103">
        <v>10532.467750887166</v>
      </c>
      <c r="K8" s="103">
        <v>9151.0860750060274</v>
      </c>
      <c r="L8" s="103">
        <v>9285.9631823607488</v>
      </c>
      <c r="M8" s="103">
        <v>9188.5931723347694</v>
      </c>
      <c r="N8" s="103">
        <v>9636.9731800766276</v>
      </c>
      <c r="O8" s="103">
        <v>8837.3147071327439</v>
      </c>
      <c r="P8" s="103">
        <v>10044.915120467233</v>
      </c>
      <c r="Q8" s="103">
        <v>9895.391574780886</v>
      </c>
      <c r="R8" s="103">
        <v>9214.0063588531557</v>
      </c>
      <c r="S8" s="103">
        <v>9087.729136533866</v>
      </c>
      <c r="T8" s="103">
        <v>7984.3444227005875</v>
      </c>
      <c r="U8" s="103">
        <v>7906.9767441860467</v>
      </c>
      <c r="V8" s="103">
        <v>9718.3344996501055</v>
      </c>
      <c r="W8" s="103">
        <v>7968.75</v>
      </c>
      <c r="X8" s="103">
        <v>9184.9327143444807</v>
      </c>
      <c r="Y8" s="103">
        <v>9416.7184946267662</v>
      </c>
      <c r="Z8" s="103">
        <v>8282.0960530054163</v>
      </c>
      <c r="AA8" s="103">
        <v>9308.7157732356354</v>
      </c>
      <c r="AB8" s="103">
        <v>8867.2332543379362</v>
      </c>
      <c r="AC8" s="130">
        <v>9125.6628437538548</v>
      </c>
      <c r="AD8" s="103">
        <v>8539.035591274398</v>
      </c>
      <c r="AE8" s="130">
        <v>8539.035591274398</v>
      </c>
      <c r="AF8" s="103">
        <v>6720.4301075268822</v>
      </c>
      <c r="AG8" s="130">
        <v>13035.964363397992</v>
      </c>
      <c r="AH8" s="130">
        <v>9421.518748822311</v>
      </c>
      <c r="AI8" s="130">
        <v>8549.5857699805074</v>
      </c>
      <c r="AJ8" s="130">
        <v>11010.638297872341</v>
      </c>
      <c r="AK8" s="103">
        <v>9523.8095238095248</v>
      </c>
      <c r="AL8" s="137">
        <f>SUM(S8:AA8,AB8,AD8,AF8,AK8)/14</f>
        <v>8036.3647368022603</v>
      </c>
    </row>
    <row r="9" spans="1:40">
      <c r="A9" s="231"/>
      <c r="B9" s="228"/>
      <c r="C9" s="103" t="s">
        <v>345</v>
      </c>
      <c r="D9" s="103">
        <v>6075.9187620889743</v>
      </c>
      <c r="E9" s="103">
        <v>5283.2965415746876</v>
      </c>
      <c r="F9" s="103">
        <v>7182.7956989247314</v>
      </c>
      <c r="G9" s="103">
        <v>6707.9048843187657</v>
      </c>
      <c r="H9" s="103">
        <v>6267.5140112089675</v>
      </c>
      <c r="I9" s="103">
        <v>6464.7385716497774</v>
      </c>
      <c r="J9" s="103">
        <v>5722.9672614288002</v>
      </c>
      <c r="K9" s="103">
        <v>7526.9897754611056</v>
      </c>
      <c r="L9" s="103">
        <v>5944.1321986938456</v>
      </c>
      <c r="M9" s="103">
        <v>7398.6534540799385</v>
      </c>
      <c r="N9" s="103">
        <v>6250</v>
      </c>
      <c r="O9" s="103">
        <v>6576.1285938344572</v>
      </c>
      <c r="P9" s="103">
        <v>6666.666666666667</v>
      </c>
      <c r="Q9" s="103">
        <v>6552.5695417342322</v>
      </c>
      <c r="R9" s="103">
        <v>6474.3803490052242</v>
      </c>
      <c r="S9" s="103">
        <v>7434.0035987595775</v>
      </c>
      <c r="T9" s="103">
        <v>6020.0046794571836</v>
      </c>
      <c r="U9" s="103">
        <v>6026.463512429832</v>
      </c>
      <c r="V9" s="103">
        <v>8235.658042744657</v>
      </c>
      <c r="W9" s="103">
        <v>5235.6540697674418</v>
      </c>
      <c r="X9" s="103">
        <v>7701.1455940269125</v>
      </c>
      <c r="Y9" s="103">
        <v>7125.6998686666211</v>
      </c>
      <c r="Z9" s="103">
        <v>6653.5360266846246</v>
      </c>
      <c r="AA9" s="103">
        <v>5293.3432494924436</v>
      </c>
      <c r="AB9" s="103">
        <v>6631.5943299722339</v>
      </c>
      <c r="AC9" s="130">
        <v>25016.071428571428</v>
      </c>
      <c r="AD9" s="103">
        <v>5692.5555314600824</v>
      </c>
      <c r="AE9" s="130">
        <v>5692.5555314600824</v>
      </c>
      <c r="AF9" s="103">
        <v>4838.7096774193551</v>
      </c>
      <c r="AG9" s="130">
        <v>7575.7575757575769</v>
      </c>
      <c r="AH9" s="130">
        <v>5172.4137931034484</v>
      </c>
      <c r="AI9" s="130">
        <v>5384.9035399887616</v>
      </c>
      <c r="AJ9" s="130">
        <v>9203.2758620689656</v>
      </c>
      <c r="AK9" s="103">
        <v>7501</v>
      </c>
      <c r="AL9" s="137">
        <f>SUM(S9:AA9,AB9,AD9,AF9,AK9)/14</f>
        <v>6027.8120129200679</v>
      </c>
    </row>
    <row r="10" spans="1:40">
      <c r="A10" s="231"/>
      <c r="B10" s="228"/>
      <c r="C10" s="103" t="s">
        <v>344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30">
        <v>0</v>
      </c>
      <c r="AD10" s="103">
        <v>0</v>
      </c>
      <c r="AE10" s="130">
        <v>0</v>
      </c>
      <c r="AF10" s="103">
        <v>1372.6835964310228</v>
      </c>
      <c r="AG10" s="130">
        <v>0</v>
      </c>
      <c r="AH10" s="130">
        <v>0</v>
      </c>
      <c r="AI10" s="130">
        <v>0</v>
      </c>
      <c r="AJ10" s="130">
        <v>0</v>
      </c>
      <c r="AK10" s="103">
        <v>0</v>
      </c>
      <c r="AL10" s="137">
        <v>0</v>
      </c>
    </row>
    <row r="11" spans="1:40" s="138" customFormat="1">
      <c r="A11" s="231"/>
      <c r="B11" s="227" t="s">
        <v>382</v>
      </c>
      <c r="C11" s="139" t="s">
        <v>347</v>
      </c>
      <c r="D11" s="139">
        <v>15535.411998761674</v>
      </c>
      <c r="E11" s="139">
        <v>13822.977161244971</v>
      </c>
      <c r="F11" s="139">
        <v>16195.80753770867</v>
      </c>
      <c r="G11" s="139">
        <v>13139.537531217018</v>
      </c>
      <c r="H11" s="139">
        <v>14492.522846089312</v>
      </c>
      <c r="I11" s="139">
        <v>15350.1573075826</v>
      </c>
      <c r="J11" s="139">
        <v>16175.986743544501</v>
      </c>
      <c r="K11" s="139">
        <v>14300.146534882415</v>
      </c>
      <c r="L11" s="139">
        <v>15007.334590348972</v>
      </c>
      <c r="M11" s="139">
        <v>17301.255074258883</v>
      </c>
      <c r="N11" s="139">
        <v>13522.206019170671</v>
      </c>
      <c r="O11" s="139">
        <v>15916.798859042765</v>
      </c>
      <c r="P11" s="139">
        <v>15583.626423982056</v>
      </c>
      <c r="Q11" s="139">
        <v>18153.912393162394</v>
      </c>
      <c r="R11" s="139">
        <v>14991.312186818395</v>
      </c>
      <c r="S11" s="139">
        <v>16408.947751409843</v>
      </c>
      <c r="T11" s="139">
        <v>16368.698537835548</v>
      </c>
      <c r="U11" s="139">
        <v>17173.91235761514</v>
      </c>
      <c r="V11" s="139">
        <v>16171.559211787629</v>
      </c>
      <c r="W11" s="139">
        <v>15714.71627354981</v>
      </c>
      <c r="X11" s="139">
        <v>14751.84555605222</v>
      </c>
      <c r="Y11" s="139">
        <v>16905.454654613859</v>
      </c>
      <c r="Z11" s="139">
        <v>13921.75612234356</v>
      </c>
      <c r="AA11" s="139">
        <v>17325.617058063886</v>
      </c>
      <c r="AB11" s="139">
        <v>18295.231475797467</v>
      </c>
      <c r="AC11" s="140">
        <v>19618.607753017874</v>
      </c>
      <c r="AD11" s="139">
        <v>20528.60088075326</v>
      </c>
      <c r="AE11" s="140">
        <v>9511.0164545226999</v>
      </c>
      <c r="AF11" s="139">
        <v>11768.247740163062</v>
      </c>
      <c r="AG11" s="140">
        <v>13642.886776234285</v>
      </c>
      <c r="AH11" s="140">
        <v>17660.682916250684</v>
      </c>
      <c r="AI11" s="140">
        <v>13810.104294030143</v>
      </c>
      <c r="AJ11" s="140">
        <v>15082.97420117886</v>
      </c>
      <c r="AK11" s="139">
        <v>18866.888115288435</v>
      </c>
      <c r="AL11" s="137">
        <f t="shared" ref="AL11:AL18" si="0">SUM(S11:AA11,AB11,AD11,AF11,AK11)/14</f>
        <v>15300.105409662408</v>
      </c>
    </row>
    <row r="12" spans="1:40">
      <c r="A12" s="231"/>
      <c r="B12" s="227"/>
      <c r="C12" s="103" t="s">
        <v>346</v>
      </c>
      <c r="D12" s="103">
        <v>28087.332663743233</v>
      </c>
      <c r="E12" s="103">
        <v>27660.07853582982</v>
      </c>
      <c r="F12" s="103">
        <v>27166.512998201444</v>
      </c>
      <c r="G12" s="103">
        <v>19698.66093031679</v>
      </c>
      <c r="H12" s="103">
        <v>25031.035259241136</v>
      </c>
      <c r="I12" s="103">
        <v>27556.031760782011</v>
      </c>
      <c r="J12" s="103">
        <v>28187.906511039619</v>
      </c>
      <c r="K12" s="103">
        <v>24179.424758919915</v>
      </c>
      <c r="L12" s="103">
        <v>26180.171497770025</v>
      </c>
      <c r="M12" s="103">
        <v>31558.23302865402</v>
      </c>
      <c r="N12" s="103">
        <v>20774.576828456986</v>
      </c>
      <c r="O12" s="103">
        <v>28978.432806993958</v>
      </c>
      <c r="P12" s="103">
        <v>29368.563696197431</v>
      </c>
      <c r="Q12" s="103">
        <v>27953.190585513581</v>
      </c>
      <c r="R12" s="103">
        <v>24325.867575533142</v>
      </c>
      <c r="S12" s="103">
        <v>28457.19578008684</v>
      </c>
      <c r="T12" s="103">
        <v>26853.968956800705</v>
      </c>
      <c r="U12" s="103">
        <v>26759.924143763212</v>
      </c>
      <c r="V12" s="103">
        <v>29357.880166017905</v>
      </c>
      <c r="W12" s="103">
        <v>26920.5055797848</v>
      </c>
      <c r="X12" s="103">
        <v>26250.724592096703</v>
      </c>
      <c r="Y12" s="103">
        <v>28654.245097727417</v>
      </c>
      <c r="Z12" s="103">
        <v>29115.087073252878</v>
      </c>
      <c r="AA12" s="103">
        <v>29587.580919050361</v>
      </c>
      <c r="AB12" s="103">
        <v>31743.777495923339</v>
      </c>
      <c r="AC12" s="130">
        <v>22040.264154275301</v>
      </c>
      <c r="AD12" s="103">
        <v>29747.643022255976</v>
      </c>
      <c r="AE12" s="130">
        <v>15542.161465270899</v>
      </c>
      <c r="AF12" s="103">
        <v>15937.594529126789</v>
      </c>
      <c r="AG12" s="130">
        <v>25633.815194867868</v>
      </c>
      <c r="AH12" s="130">
        <v>21253.733446914976</v>
      </c>
      <c r="AI12" s="130">
        <v>18789.109484092594</v>
      </c>
      <c r="AJ12" s="130">
        <v>24060.909790116337</v>
      </c>
      <c r="AK12" s="103">
        <v>26924.213156602851</v>
      </c>
      <c r="AL12" s="137">
        <f t="shared" si="0"/>
        <v>25450.738608034986</v>
      </c>
    </row>
    <row r="13" spans="1:40">
      <c r="A13" s="231"/>
      <c r="B13" s="227"/>
      <c r="C13" s="103" t="s">
        <v>345</v>
      </c>
      <c r="D13" s="103">
        <v>15721.381644877436</v>
      </c>
      <c r="E13" s="103">
        <v>14559.567519781889</v>
      </c>
      <c r="F13" s="103">
        <v>11976.417308512899</v>
      </c>
      <c r="G13" s="103">
        <v>9821.527339545315</v>
      </c>
      <c r="H13" s="103">
        <v>12655.381763053892</v>
      </c>
      <c r="I13" s="103">
        <v>14778.863898754214</v>
      </c>
      <c r="J13" s="103">
        <v>9971.5786127732463</v>
      </c>
      <c r="K13" s="103">
        <v>11397.285977672433</v>
      </c>
      <c r="L13" s="103">
        <v>12435.258224259293</v>
      </c>
      <c r="M13" s="103">
        <v>14111.403596950178</v>
      </c>
      <c r="N13" s="103">
        <v>10240.393749999999</v>
      </c>
      <c r="O13" s="103">
        <v>14496.832605363668</v>
      </c>
      <c r="P13" s="103">
        <v>14941.605185185184</v>
      </c>
      <c r="Q13" s="103">
        <v>15697.125534188033</v>
      </c>
      <c r="R13" s="103">
        <v>8978.7217863807673</v>
      </c>
      <c r="S13" s="103">
        <v>11885.365865866299</v>
      </c>
      <c r="T13" s="103">
        <v>14287.505718895449</v>
      </c>
      <c r="U13" s="103">
        <v>5980.3303074411861</v>
      </c>
      <c r="V13" s="103">
        <v>12774.636006722756</v>
      </c>
      <c r="W13" s="103">
        <v>11622.031718523032</v>
      </c>
      <c r="X13" s="103">
        <v>12882.965248577839</v>
      </c>
      <c r="Y13" s="103">
        <v>13855.751036238533</v>
      </c>
      <c r="Z13" s="103">
        <v>14358.990669860619</v>
      </c>
      <c r="AA13" s="103">
        <v>13999.282232758986</v>
      </c>
      <c r="AB13" s="103">
        <v>16763.48776815919</v>
      </c>
      <c r="AC13" s="130">
        <v>3141.4959929642846</v>
      </c>
      <c r="AD13" s="103">
        <v>14883.984560982937</v>
      </c>
      <c r="AE13" s="130">
        <v>9773.9655643689221</v>
      </c>
      <c r="AF13" s="103">
        <v>12109.735578747628</v>
      </c>
      <c r="AG13" s="130">
        <v>13886.498567532672</v>
      </c>
      <c r="AH13" s="130">
        <v>13097.824493705528</v>
      </c>
      <c r="AI13" s="130">
        <v>12689.095298512695</v>
      </c>
      <c r="AJ13" s="130">
        <v>23604.977915824587</v>
      </c>
      <c r="AK13" s="103">
        <v>14991.769296333334</v>
      </c>
      <c r="AL13" s="137">
        <f t="shared" si="0"/>
        <v>12171.131143507702</v>
      </c>
    </row>
    <row r="14" spans="1:40">
      <c r="A14" s="231"/>
      <c r="B14" s="227"/>
      <c r="C14" s="103" t="s">
        <v>344</v>
      </c>
      <c r="D14" s="103">
        <v>3182.5554507902302</v>
      </c>
      <c r="E14" s="103">
        <v>3037.3637778930979</v>
      </c>
      <c r="F14" s="103">
        <v>3491.2376779846659</v>
      </c>
      <c r="G14" s="103"/>
      <c r="H14" s="103">
        <v>4072.9879439556853</v>
      </c>
      <c r="I14" s="103">
        <v>3905.0296782255541</v>
      </c>
      <c r="J14" s="103">
        <v>3304.0375338663848</v>
      </c>
      <c r="K14" s="103">
        <v>3103.0844659591635</v>
      </c>
      <c r="L14" s="103">
        <v>3187.555782226189</v>
      </c>
      <c r="M14" s="103">
        <v>2871.1685823754792</v>
      </c>
      <c r="N14" s="103">
        <v>3088.9204545454545</v>
      </c>
      <c r="O14" s="103">
        <v>4062.2299049265343</v>
      </c>
      <c r="P14" s="103">
        <v>2758.0272986819973</v>
      </c>
      <c r="Q14" s="103">
        <v>2442.002442002442</v>
      </c>
      <c r="R14" s="103">
        <v>3146.0787274740765</v>
      </c>
      <c r="S14" s="103">
        <v>3790.6344526553585</v>
      </c>
      <c r="T14" s="103">
        <v>3241.3843035041996</v>
      </c>
      <c r="U14" s="103">
        <v>3611.9186046511627</v>
      </c>
      <c r="V14" s="103">
        <v>3378.3783783783783</v>
      </c>
      <c r="W14" s="103">
        <v>3713.4238310708897</v>
      </c>
      <c r="X14" s="103">
        <v>3390.0603430741066</v>
      </c>
      <c r="Y14" s="103">
        <v>3374.2071881606762</v>
      </c>
      <c r="Z14" s="103">
        <v>3380.6626098715346</v>
      </c>
      <c r="AA14" s="103">
        <v>3992.0948616600795</v>
      </c>
      <c r="AB14" s="103">
        <v>5099.6124294553611</v>
      </c>
      <c r="AC14" s="130">
        <v>4317.3945285913105</v>
      </c>
      <c r="AD14" s="103">
        <v>3419.3773003083656</v>
      </c>
      <c r="AE14" s="130">
        <v>4475.3086419753081</v>
      </c>
      <c r="AF14" s="103">
        <v>3718.8050465059696</v>
      </c>
      <c r="AG14" s="130">
        <v>2292.3161562442692</v>
      </c>
      <c r="AH14" s="130">
        <v>2436.6471734892784</v>
      </c>
      <c r="AI14" s="130">
        <v>3130.3912293394178</v>
      </c>
      <c r="AJ14" s="130">
        <v>8297.4137931034475</v>
      </c>
      <c r="AK14" s="103">
        <v>4800.3852459016389</v>
      </c>
      <c r="AL14" s="137">
        <f t="shared" si="0"/>
        <v>3493.6388996569804</v>
      </c>
    </row>
    <row r="15" spans="1:40" s="138" customFormat="1">
      <c r="A15" s="231"/>
      <c r="B15" s="230" t="s">
        <v>381</v>
      </c>
      <c r="C15" s="139" t="s">
        <v>347</v>
      </c>
      <c r="D15" s="139">
        <v>8060.581543323613</v>
      </c>
      <c r="E15" s="139">
        <v>8745.3881906837996</v>
      </c>
      <c r="F15" s="139">
        <v>10530.181940922999</v>
      </c>
      <c r="G15" s="139">
        <v>8508.3727012781274</v>
      </c>
      <c r="H15" s="139">
        <v>9590.0090722784444</v>
      </c>
      <c r="I15" s="139">
        <v>9263.06656965613</v>
      </c>
      <c r="J15" s="139">
        <v>7303.7059151248623</v>
      </c>
      <c r="K15" s="139">
        <v>10890.48762296894</v>
      </c>
      <c r="L15" s="139">
        <v>11046.203522651307</v>
      </c>
      <c r="M15" s="139">
        <v>8264.5254247967405</v>
      </c>
      <c r="N15" s="139">
        <v>7495.2880455841787</v>
      </c>
      <c r="O15" s="139">
        <v>7818.797044394355</v>
      </c>
      <c r="P15" s="139">
        <v>10425.981930150239</v>
      </c>
      <c r="Q15" s="139">
        <v>10511.467619392841</v>
      </c>
      <c r="R15" s="139">
        <v>8277.4926495137879</v>
      </c>
      <c r="S15" s="139">
        <v>9340.6582116388181</v>
      </c>
      <c r="T15" s="139">
        <v>11345.529357980375</v>
      </c>
      <c r="U15" s="139">
        <v>9774.6849655003607</v>
      </c>
      <c r="V15" s="139">
        <v>8035.2814754411047</v>
      </c>
      <c r="W15" s="139">
        <v>8007.1911357085382</v>
      </c>
      <c r="X15" s="139">
        <v>8109.8698835912282</v>
      </c>
      <c r="Y15" s="139">
        <v>10240.457306038521</v>
      </c>
      <c r="Z15" s="139">
        <v>7430.3193814086026</v>
      </c>
      <c r="AA15" s="139">
        <v>7536.1852420139739</v>
      </c>
      <c r="AB15" s="139">
        <v>6951.6050622500534</v>
      </c>
      <c r="AC15" s="140">
        <v>11969.758344102573</v>
      </c>
      <c r="AD15" s="139">
        <v>10755.941745458929</v>
      </c>
      <c r="AE15" s="140">
        <v>6714.4033260258839</v>
      </c>
      <c r="AF15" s="139">
        <v>10755.941745458929</v>
      </c>
      <c r="AG15" s="140">
        <v>7210.3358044876841</v>
      </c>
      <c r="AH15" s="140">
        <v>7344.0678851354987</v>
      </c>
      <c r="AI15" s="140">
        <v>9848.0972649020532</v>
      </c>
      <c r="AJ15" s="140">
        <v>8055.9221801962285</v>
      </c>
      <c r="AK15" s="139">
        <v>6207.8059466454533</v>
      </c>
      <c r="AL15" s="137">
        <f t="shared" si="0"/>
        <v>8177.9622470810637</v>
      </c>
    </row>
    <row r="16" spans="1:40">
      <c r="A16" s="231"/>
      <c r="B16" s="230"/>
      <c r="C16" s="103" t="s">
        <v>346</v>
      </c>
      <c r="D16" s="103">
        <v>13900.437382855875</v>
      </c>
      <c r="E16" s="103">
        <v>14415.214419953389</v>
      </c>
      <c r="F16" s="103">
        <v>15089.957532256296</v>
      </c>
      <c r="G16" s="103">
        <v>12172.944214485669</v>
      </c>
      <c r="H16" s="103">
        <v>14803.978327907414</v>
      </c>
      <c r="I16" s="103">
        <v>14779.454702037609</v>
      </c>
      <c r="J16" s="103">
        <v>13259.36089446697</v>
      </c>
      <c r="K16" s="103">
        <v>14089.052295214135</v>
      </c>
      <c r="L16" s="103">
        <v>15918.667165119206</v>
      </c>
      <c r="M16" s="103">
        <v>14895.790584000564</v>
      </c>
      <c r="N16" s="103">
        <v>10185.975349855638</v>
      </c>
      <c r="O16" s="103">
        <v>13124.689550619916</v>
      </c>
      <c r="P16" s="103">
        <v>16189.555830845398</v>
      </c>
      <c r="Q16" s="103">
        <v>15076.607310035512</v>
      </c>
      <c r="R16" s="103">
        <v>13162.512009723838</v>
      </c>
      <c r="S16" s="103">
        <v>15296.784932991626</v>
      </c>
      <c r="T16" s="103">
        <v>15766.233686780999</v>
      </c>
      <c r="U16" s="103">
        <v>13585.910452196154</v>
      </c>
      <c r="V16" s="103">
        <v>15617.445481788758</v>
      </c>
      <c r="W16" s="103">
        <v>13568.53381035836</v>
      </c>
      <c r="X16" s="103">
        <v>13707.730445696017</v>
      </c>
      <c r="Y16" s="103">
        <v>17310.530061422523</v>
      </c>
      <c r="Z16" s="103">
        <v>14169.024603236046</v>
      </c>
      <c r="AA16" s="103">
        <v>16679.762275351739</v>
      </c>
      <c r="AB16" s="103">
        <v>13314.677646643308</v>
      </c>
      <c r="AC16" s="130">
        <v>15219.22048996111</v>
      </c>
      <c r="AD16" s="103">
        <v>16141.825413918026</v>
      </c>
      <c r="AE16" s="130">
        <v>7042.66469199516</v>
      </c>
      <c r="AF16" s="103">
        <v>16141.825413918026</v>
      </c>
      <c r="AG16" s="130">
        <v>13630.945091485095</v>
      </c>
      <c r="AH16" s="130">
        <v>9662.2048277465237</v>
      </c>
      <c r="AI16" s="130">
        <v>13657.319099950459</v>
      </c>
      <c r="AJ16" s="130">
        <v>8455.3203337358209</v>
      </c>
      <c r="AK16" s="103">
        <v>11415.656135337716</v>
      </c>
      <c r="AL16" s="137">
        <f t="shared" si="0"/>
        <v>13765.424311402809</v>
      </c>
    </row>
    <row r="17" spans="1:38">
      <c r="A17" s="231"/>
      <c r="B17" s="230"/>
      <c r="C17" s="103" t="s">
        <v>345</v>
      </c>
      <c r="D17" s="103">
        <v>7638.2151099525954</v>
      </c>
      <c r="E17" s="103">
        <v>9830.4172741446164</v>
      </c>
      <c r="F17" s="103">
        <v>9473.4763203202183</v>
      </c>
      <c r="G17" s="103">
        <v>8532.1358738419767</v>
      </c>
      <c r="H17" s="103">
        <v>8964.2220531882776</v>
      </c>
      <c r="I17" s="103">
        <v>7560.5510069306765</v>
      </c>
      <c r="J17" s="103">
        <v>6333.9699730455104</v>
      </c>
      <c r="K17" s="103">
        <v>7608.4971700935739</v>
      </c>
      <c r="L17" s="103">
        <v>9705.0519997186857</v>
      </c>
      <c r="M17" s="103">
        <v>7636.8261282597823</v>
      </c>
      <c r="N17" s="103">
        <v>7691.3736914596402</v>
      </c>
      <c r="O17" s="103">
        <v>8512.8707117290141</v>
      </c>
      <c r="P17" s="103">
        <v>8193.0668933216857</v>
      </c>
      <c r="Q17" s="103">
        <v>6796.2947504118265</v>
      </c>
      <c r="R17" s="103">
        <v>7899.7743425139306</v>
      </c>
      <c r="S17" s="103">
        <v>8965.2912263157577</v>
      </c>
      <c r="T17" s="103">
        <v>9832.4092791753792</v>
      </c>
      <c r="U17" s="103">
        <v>12301.798487818916</v>
      </c>
      <c r="V17" s="103">
        <v>11386.365229389246</v>
      </c>
      <c r="W17" s="103">
        <v>8489.1415572508777</v>
      </c>
      <c r="X17" s="103">
        <v>9328.2189388320567</v>
      </c>
      <c r="Y17" s="103">
        <v>10965.286336392077</v>
      </c>
      <c r="Z17" s="103">
        <v>9180.8545578617814</v>
      </c>
      <c r="AA17" s="103">
        <v>8698.4934785913483</v>
      </c>
      <c r="AB17" s="103">
        <v>9770.617749007135</v>
      </c>
      <c r="AC17" s="130">
        <v>9091.1197015520938</v>
      </c>
      <c r="AD17" s="103">
        <v>9235.7892311828891</v>
      </c>
      <c r="AE17" s="130">
        <v>4813.2297794186825</v>
      </c>
      <c r="AF17" s="103">
        <v>9235.7892311828891</v>
      </c>
      <c r="AG17" s="130">
        <v>10247.889273185017</v>
      </c>
      <c r="AH17" s="130">
        <v>8540.4436126843975</v>
      </c>
      <c r="AI17" s="130">
        <v>7575.2049220571207</v>
      </c>
      <c r="AJ17" s="130">
        <v>9296.00181865989</v>
      </c>
      <c r="AK17" s="103">
        <v>8372.2681259701803</v>
      </c>
      <c r="AL17" s="137">
        <f t="shared" si="0"/>
        <v>8983.0231020693227</v>
      </c>
    </row>
    <row r="18" spans="1:38">
      <c r="A18" s="231"/>
      <c r="B18" s="230"/>
      <c r="C18" s="103" t="s">
        <v>344</v>
      </c>
      <c r="D18" s="103">
        <v>1427.88118156722</v>
      </c>
      <c r="E18" s="103">
        <v>1370.9202760714531</v>
      </c>
      <c r="F18" s="103">
        <v>996.90781793861174</v>
      </c>
      <c r="G18" s="103">
        <v>1229.7910934861702</v>
      </c>
      <c r="H18" s="103">
        <v>1695.8000829408459</v>
      </c>
      <c r="I18" s="103">
        <v>1889.0901797691904</v>
      </c>
      <c r="J18" s="103">
        <v>1768.8465810121934</v>
      </c>
      <c r="K18" s="103">
        <v>1490.4379328140387</v>
      </c>
      <c r="L18" s="103">
        <v>1917.4595326969954</v>
      </c>
      <c r="M18" s="103">
        <v>1422.1626466709592</v>
      </c>
      <c r="N18" s="103">
        <v>1381.096552746212</v>
      </c>
      <c r="O18" s="103">
        <v>1540.0194475494932</v>
      </c>
      <c r="P18" s="103">
        <v>1673.5950861445083</v>
      </c>
      <c r="Q18" s="103">
        <v>1106.6109213609213</v>
      </c>
      <c r="R18" s="103">
        <v>1796.5430886942509</v>
      </c>
      <c r="S18" s="103">
        <v>1345.1283830318855</v>
      </c>
      <c r="T18" s="103">
        <v>1873.6094854414841</v>
      </c>
      <c r="U18" s="103">
        <v>1480.7771558214072</v>
      </c>
      <c r="V18" s="103">
        <v>2465.0799657783596</v>
      </c>
      <c r="W18" s="103">
        <v>1960.4733722697056</v>
      </c>
      <c r="X18" s="103">
        <v>1482.0608051267759</v>
      </c>
      <c r="Y18" s="103">
        <v>1399.7791757939485</v>
      </c>
      <c r="Z18" s="103">
        <v>1035.5203146210706</v>
      </c>
      <c r="AA18" s="103">
        <v>1195.3954891398214</v>
      </c>
      <c r="AB18" s="103">
        <v>1569.4248014928644</v>
      </c>
      <c r="AC18" s="130">
        <v>1144.6934464217866</v>
      </c>
      <c r="AD18" s="103">
        <v>602.11810480178656</v>
      </c>
      <c r="AE18" s="130">
        <v>1813.2300270521519</v>
      </c>
      <c r="AF18" s="103">
        <v>602.11810480178656</v>
      </c>
      <c r="AG18" s="130">
        <v>1304.1462733207902</v>
      </c>
      <c r="AH18" s="130">
        <v>942.77859242893169</v>
      </c>
      <c r="AI18" s="130">
        <v>1741.3300907005164</v>
      </c>
      <c r="AJ18" s="130">
        <v>1569.4248014928644</v>
      </c>
      <c r="AK18" s="103">
        <v>1362.0305718292798</v>
      </c>
      <c r="AL18" s="137">
        <f t="shared" si="0"/>
        <v>1312.3939807107267</v>
      </c>
    </row>
    <row r="19" spans="1:38" s="134" customFormat="1">
      <c r="A19" s="231"/>
      <c r="B19" s="232" t="s">
        <v>387</v>
      </c>
      <c r="C19" s="135" t="s">
        <v>347</v>
      </c>
      <c r="D19" s="135"/>
      <c r="E19" s="135">
        <v>10926.254748841877</v>
      </c>
      <c r="F19" s="135">
        <v>10125.418394848559</v>
      </c>
      <c r="G19" s="135">
        <v>3159.8771156578632</v>
      </c>
      <c r="H19" s="135">
        <v>8839.631475652217</v>
      </c>
      <c r="I19" s="135">
        <v>7363.2872295407506</v>
      </c>
      <c r="J19" s="135"/>
      <c r="K19" s="135">
        <v>14274.809302965366</v>
      </c>
      <c r="L19" s="135">
        <v>8791.1413607546547</v>
      </c>
      <c r="M19" s="135">
        <v>7272.8619981648908</v>
      </c>
      <c r="N19" s="135"/>
      <c r="O19" s="135">
        <v>9578.4538594515889</v>
      </c>
      <c r="P19" s="135"/>
      <c r="Q19" s="135">
        <v>8742.645236472481</v>
      </c>
      <c r="R19" s="135">
        <v>8764.9325916610778</v>
      </c>
      <c r="S19" s="135">
        <v>7256.9929841987696</v>
      </c>
      <c r="T19" s="135">
        <v>5340.5245071853551</v>
      </c>
      <c r="U19" s="135">
        <v>6782.4851448593781</v>
      </c>
      <c r="V19" s="135">
        <v>7066.9985390721422</v>
      </c>
      <c r="W19" s="135">
        <v>10836.007932577446</v>
      </c>
      <c r="X19" s="135">
        <v>7512.3670260973022</v>
      </c>
      <c r="Y19" s="135">
        <v>6462.5480250598248</v>
      </c>
      <c r="Z19" s="135">
        <v>8096.8057604906035</v>
      </c>
      <c r="AA19" s="135">
        <v>6318.132723293872</v>
      </c>
      <c r="AB19" s="135">
        <v>7941.7473611085315</v>
      </c>
      <c r="AC19" s="136">
        <v>4551.6171267883938</v>
      </c>
      <c r="AD19" s="135">
        <v>9215.6324373745192</v>
      </c>
      <c r="AE19" s="136">
        <v>8540.4278115774177</v>
      </c>
      <c r="AF19" s="135"/>
      <c r="AG19" s="136">
        <v>10416.694975746444</v>
      </c>
      <c r="AH19" s="136">
        <v>6809.9387624974725</v>
      </c>
      <c r="AI19" s="136"/>
      <c r="AJ19" s="136">
        <v>4908.6400488693844</v>
      </c>
      <c r="AK19" s="135"/>
      <c r="AL19" s="137">
        <f>SUM(S19:AA19,AB19,AD19)/11</f>
        <v>7530.0220401197939</v>
      </c>
    </row>
    <row r="20" spans="1:38">
      <c r="A20" s="231"/>
      <c r="B20" s="232"/>
      <c r="C20" s="103" t="s">
        <v>346</v>
      </c>
      <c r="D20" s="103"/>
      <c r="E20" s="103">
        <v>15232.893129956743</v>
      </c>
      <c r="F20" s="103">
        <v>12533.437175595365</v>
      </c>
      <c r="G20" s="103">
        <v>5351.196943183686</v>
      </c>
      <c r="H20" s="103">
        <v>11162.406897289789</v>
      </c>
      <c r="I20" s="103">
        <v>11712.166092220124</v>
      </c>
      <c r="J20" s="103"/>
      <c r="K20" s="103">
        <v>10264.840000542792</v>
      </c>
      <c r="L20" s="103">
        <v>10839.811568245912</v>
      </c>
      <c r="M20" s="103">
        <v>12916.567809014919</v>
      </c>
      <c r="N20" s="103"/>
      <c r="O20" s="103">
        <v>12658.423499227612</v>
      </c>
      <c r="P20" s="103"/>
      <c r="Q20" s="103">
        <v>10057.499175821138</v>
      </c>
      <c r="R20" s="103">
        <v>12518.500750546871</v>
      </c>
      <c r="S20" s="103">
        <v>13451.71259868123</v>
      </c>
      <c r="T20" s="103">
        <v>7642.9118887177492</v>
      </c>
      <c r="U20" s="103">
        <v>10869.037743825271</v>
      </c>
      <c r="V20" s="103">
        <v>12497.846924917292</v>
      </c>
      <c r="W20" s="103">
        <v>16773.607869351443</v>
      </c>
      <c r="X20" s="103">
        <v>13518.701387616364</v>
      </c>
      <c r="Y20" s="103">
        <v>10944.669508088502</v>
      </c>
      <c r="Z20" s="103">
        <v>15284.085495523141</v>
      </c>
      <c r="AA20" s="103">
        <v>13195.178863355248</v>
      </c>
      <c r="AB20" s="103">
        <v>11835.346577964005</v>
      </c>
      <c r="AC20" s="130">
        <v>4736.5955488252439</v>
      </c>
      <c r="AD20" s="103">
        <v>12449.660255354975</v>
      </c>
      <c r="AE20" s="130">
        <v>5293.6716652343266</v>
      </c>
      <c r="AF20" s="103">
        <v>5052.4553259426184</v>
      </c>
      <c r="AG20" s="130">
        <v>13576.303729957617</v>
      </c>
      <c r="AH20" s="130">
        <v>9317.2571480979677</v>
      </c>
      <c r="AI20" s="130"/>
      <c r="AJ20" s="130">
        <v>6051.781126006812</v>
      </c>
      <c r="AK20" s="103"/>
      <c r="AL20" s="137">
        <f>SUM(S20:AA20,AB20,AD20)/11</f>
        <v>12587.523555763204</v>
      </c>
    </row>
    <row r="21" spans="1:38">
      <c r="A21" s="231"/>
      <c r="B21" s="232"/>
      <c r="C21" s="103" t="s">
        <v>345</v>
      </c>
      <c r="D21" s="103"/>
      <c r="E21" s="103">
        <v>8666.0789731602217</v>
      </c>
      <c r="F21" s="103">
        <v>5788.1017525985444</v>
      </c>
      <c r="G21" s="103"/>
      <c r="H21" s="103">
        <v>5048.2942853956374</v>
      </c>
      <c r="I21" s="103">
        <v>6317.5092759439831</v>
      </c>
      <c r="J21" s="103"/>
      <c r="K21" s="103">
        <v>5892.073826410021</v>
      </c>
      <c r="L21" s="103">
        <v>7140.142488296533</v>
      </c>
      <c r="M21" s="103">
        <v>6136.893824184559</v>
      </c>
      <c r="N21" s="103"/>
      <c r="O21" s="103">
        <v>6439.2121042577146</v>
      </c>
      <c r="P21" s="103"/>
      <c r="Q21" s="103">
        <v>8096.7745339209041</v>
      </c>
      <c r="R21" s="103">
        <v>2143.6749793840495</v>
      </c>
      <c r="S21" s="103">
        <v>5093.0013727742271</v>
      </c>
      <c r="T21" s="103">
        <v>3319.9974295178554</v>
      </c>
      <c r="U21" s="103">
        <v>5856.3849445755759</v>
      </c>
      <c r="V21" s="103">
        <v>6284.5125729113079</v>
      </c>
      <c r="W21" s="103">
        <v>7842.2161858576146</v>
      </c>
      <c r="X21" s="103">
        <v>7934.4289081273391</v>
      </c>
      <c r="Y21" s="103">
        <v>6450.5620021249588</v>
      </c>
      <c r="Z21" s="103">
        <v>4330.2244530611788</v>
      </c>
      <c r="AA21" s="103">
        <v>6669.7977682459596</v>
      </c>
      <c r="AB21" s="103">
        <v>5359.0510109694751</v>
      </c>
      <c r="AC21" s="130">
        <v>4722.5772282172265</v>
      </c>
      <c r="AD21" s="103">
        <v>6281.6312568764979</v>
      </c>
      <c r="AE21" s="130">
        <v>3689.5530849677752</v>
      </c>
      <c r="AF21" s="103">
        <v>6790.1180272267493</v>
      </c>
      <c r="AG21" s="130">
        <v>8351.6566902325685</v>
      </c>
      <c r="AH21" s="130">
        <v>15617.603151890764</v>
      </c>
      <c r="AI21" s="130"/>
      <c r="AJ21" s="130">
        <v>41230.873343730105</v>
      </c>
      <c r="AK21" s="103"/>
      <c r="AL21" s="137">
        <f>SUM(S21:AA21,AB21,AD21)/11</f>
        <v>5947.4370822765441</v>
      </c>
    </row>
    <row r="22" spans="1:38">
      <c r="A22" s="231"/>
      <c r="B22" s="232"/>
      <c r="C22" s="103" t="s">
        <v>344</v>
      </c>
      <c r="D22" s="103"/>
      <c r="E22" s="103">
        <v>1091.7284292067961</v>
      </c>
      <c r="F22" s="103">
        <v>2603.1386055736302</v>
      </c>
      <c r="G22" s="103">
        <v>941.5885627997892</v>
      </c>
      <c r="H22" s="103">
        <v>1992.3097649850845</v>
      </c>
      <c r="I22" s="103">
        <v>1131.264217703658</v>
      </c>
      <c r="J22" s="103"/>
      <c r="K22" s="103">
        <v>2160.5832850810598</v>
      </c>
      <c r="L22" s="103">
        <v>2056.6411553170137</v>
      </c>
      <c r="M22" s="103">
        <v>1748.5765212253468</v>
      </c>
      <c r="N22" s="103"/>
      <c r="O22" s="103">
        <v>2194.047588786194</v>
      </c>
      <c r="P22" s="103"/>
      <c r="Q22" s="103">
        <v>1744.5360808559333</v>
      </c>
      <c r="R22" s="103">
        <v>1227.2903074501044</v>
      </c>
      <c r="S22" s="103">
        <v>1300.3897117284746</v>
      </c>
      <c r="T22" s="103">
        <v>1314.0584371313787</v>
      </c>
      <c r="U22" s="103">
        <v>1925.0548623823647</v>
      </c>
      <c r="V22" s="103">
        <v>1439.1175042469433</v>
      </c>
      <c r="W22" s="103">
        <v>3230.2912060441327</v>
      </c>
      <c r="X22" s="103">
        <v>1355.7896900695794</v>
      </c>
      <c r="Y22" s="103">
        <v>1963.0167524022622</v>
      </c>
      <c r="Z22" s="103">
        <v>635.74364849833319</v>
      </c>
      <c r="AA22" s="103">
        <v>1438.6413394009201</v>
      </c>
      <c r="AB22" s="103">
        <v>1042.4777002718165</v>
      </c>
      <c r="AC22" s="130">
        <v>259.07453657433462</v>
      </c>
      <c r="AD22" s="103">
        <v>840.38788960771194</v>
      </c>
      <c r="AE22" s="130"/>
      <c r="AF22" s="103">
        <v>2748.312185039395</v>
      </c>
      <c r="AG22" s="130">
        <v>803.24683178983389</v>
      </c>
      <c r="AH22" s="130">
        <v>1273.5750183305256</v>
      </c>
      <c r="AI22" s="130"/>
      <c r="AJ22" s="130">
        <v>5584.6439385075546</v>
      </c>
      <c r="AK22" s="103"/>
      <c r="AL22" s="137">
        <f>SUM(S22:AA22,AB22,AD22)/11</f>
        <v>1498.6335219803559</v>
      </c>
    </row>
    <row r="23" spans="1:38" s="134" customFormat="1">
      <c r="A23" s="229" t="s">
        <v>386</v>
      </c>
      <c r="B23" s="228" t="s">
        <v>385</v>
      </c>
      <c r="C23" s="135" t="s">
        <v>380</v>
      </c>
      <c r="D23" s="135">
        <v>66</v>
      </c>
      <c r="E23" s="135">
        <v>66</v>
      </c>
      <c r="F23" s="135">
        <v>66</v>
      </c>
      <c r="G23" s="135">
        <v>74</v>
      </c>
      <c r="H23" s="135">
        <v>68</v>
      </c>
      <c r="I23" s="135">
        <v>64</v>
      </c>
      <c r="J23" s="135">
        <v>64</v>
      </c>
      <c r="K23" s="135">
        <v>64</v>
      </c>
      <c r="L23" s="135">
        <v>60</v>
      </c>
      <c r="M23" s="135"/>
      <c r="N23" s="135">
        <v>128</v>
      </c>
      <c r="O23" s="135">
        <v>120</v>
      </c>
      <c r="P23" s="135">
        <v>144</v>
      </c>
      <c r="Q23" s="135">
        <v>124</v>
      </c>
      <c r="R23" s="135"/>
      <c r="S23" s="135"/>
      <c r="T23" s="135">
        <v>70</v>
      </c>
      <c r="U23" s="135">
        <v>60</v>
      </c>
      <c r="V23" s="135">
        <v>66</v>
      </c>
      <c r="W23" s="135">
        <v>60</v>
      </c>
      <c r="X23" s="135">
        <v>62</v>
      </c>
      <c r="Y23" s="135">
        <v>66</v>
      </c>
      <c r="Z23" s="135"/>
      <c r="AA23" s="135">
        <v>60</v>
      </c>
      <c r="AB23" s="135">
        <v>68</v>
      </c>
      <c r="AC23" s="136">
        <v>80</v>
      </c>
      <c r="AD23" s="135">
        <v>62</v>
      </c>
      <c r="AE23" s="136">
        <v>92</v>
      </c>
      <c r="AF23" s="135">
        <v>94</v>
      </c>
      <c r="AG23" s="136">
        <v>128</v>
      </c>
      <c r="AH23" s="136">
        <v>152</v>
      </c>
      <c r="AI23" s="136">
        <v>80</v>
      </c>
      <c r="AJ23" s="136">
        <v>128</v>
      </c>
      <c r="AK23" s="135">
        <v>54</v>
      </c>
      <c r="AL23" s="135"/>
    </row>
    <row r="24" spans="1:38">
      <c r="A24" s="229"/>
      <c r="B24" s="228"/>
      <c r="C24" s="103" t="s">
        <v>379</v>
      </c>
      <c r="D24" s="103">
        <v>138</v>
      </c>
      <c r="E24" s="103">
        <v>138</v>
      </c>
      <c r="F24" s="103" t="s">
        <v>384</v>
      </c>
      <c r="G24" s="103">
        <v>218</v>
      </c>
      <c r="H24" s="103">
        <v>202</v>
      </c>
      <c r="I24" s="103">
        <v>186</v>
      </c>
      <c r="J24" s="103">
        <v>201</v>
      </c>
      <c r="K24" s="103" t="s">
        <v>383</v>
      </c>
      <c r="L24" s="103">
        <v>201</v>
      </c>
      <c r="M24" s="103"/>
      <c r="N24" s="103">
        <v>64</v>
      </c>
      <c r="O24" s="103">
        <v>72</v>
      </c>
      <c r="P24" s="103">
        <v>74</v>
      </c>
      <c r="Q24" s="103">
        <v>82</v>
      </c>
      <c r="R24" s="103">
        <v>150</v>
      </c>
      <c r="S24" s="103"/>
      <c r="T24" s="103">
        <v>130</v>
      </c>
      <c r="U24" s="103">
        <v>134</v>
      </c>
      <c r="V24" s="103">
        <v>218</v>
      </c>
      <c r="W24" s="103">
        <v>130</v>
      </c>
      <c r="X24" s="103">
        <v>194</v>
      </c>
      <c r="Y24" s="103">
        <v>134</v>
      </c>
      <c r="Z24" s="103">
        <v>178</v>
      </c>
      <c r="AA24" s="103">
        <v>198</v>
      </c>
      <c r="AB24" s="103">
        <v>140</v>
      </c>
      <c r="AC24" s="130">
        <v>202</v>
      </c>
      <c r="AD24" s="103">
        <v>206</v>
      </c>
      <c r="AE24" s="130">
        <v>236</v>
      </c>
      <c r="AF24" s="103">
        <v>206</v>
      </c>
      <c r="AG24" s="130">
        <v>42</v>
      </c>
      <c r="AH24" s="130">
        <v>132</v>
      </c>
      <c r="AI24" s="130">
        <v>218</v>
      </c>
      <c r="AJ24" s="130">
        <v>42</v>
      </c>
      <c r="AK24" s="103">
        <v>166</v>
      </c>
      <c r="AL24" s="103"/>
    </row>
    <row r="25" spans="1:38">
      <c r="A25" s="229"/>
      <c r="B25" s="228"/>
      <c r="C25" s="103" t="s">
        <v>378</v>
      </c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30"/>
      <c r="AD25" s="103"/>
      <c r="AE25" s="130"/>
      <c r="AF25" s="103"/>
      <c r="AG25" s="130"/>
      <c r="AH25" s="130"/>
      <c r="AI25" s="130"/>
      <c r="AJ25" s="130"/>
      <c r="AK25" s="103"/>
      <c r="AL25" s="103"/>
    </row>
    <row r="26" spans="1:38">
      <c r="A26" s="229"/>
      <c r="B26" s="228"/>
      <c r="C26" s="103" t="s">
        <v>377</v>
      </c>
      <c r="D26" s="103">
        <v>66</v>
      </c>
      <c r="E26" s="103">
        <v>66</v>
      </c>
      <c r="F26" s="103">
        <v>66</v>
      </c>
      <c r="G26" s="103">
        <v>74</v>
      </c>
      <c r="H26" s="103">
        <v>68</v>
      </c>
      <c r="I26" s="103">
        <v>64</v>
      </c>
      <c r="J26" s="103">
        <v>64</v>
      </c>
      <c r="K26" s="103">
        <v>64</v>
      </c>
      <c r="L26" s="103">
        <v>60</v>
      </c>
      <c r="M26" s="103"/>
      <c r="N26" s="103">
        <v>128</v>
      </c>
      <c r="O26" s="103">
        <v>120</v>
      </c>
      <c r="P26" s="103">
        <v>144</v>
      </c>
      <c r="Q26" s="103">
        <v>124</v>
      </c>
      <c r="R26" s="103"/>
      <c r="S26" s="103"/>
      <c r="T26" s="103">
        <v>70</v>
      </c>
      <c r="U26" s="103">
        <v>60</v>
      </c>
      <c r="V26" s="103">
        <v>66</v>
      </c>
      <c r="W26" s="103">
        <v>60</v>
      </c>
      <c r="X26" s="103">
        <v>62</v>
      </c>
      <c r="Y26" s="103">
        <v>66</v>
      </c>
      <c r="Z26" s="103"/>
      <c r="AA26" s="103">
        <v>60</v>
      </c>
      <c r="AB26" s="103">
        <v>68</v>
      </c>
      <c r="AC26" s="130">
        <v>80</v>
      </c>
      <c r="AD26" s="103">
        <v>62</v>
      </c>
      <c r="AE26" s="130">
        <v>92</v>
      </c>
      <c r="AF26" s="103">
        <v>94</v>
      </c>
      <c r="AG26" s="130">
        <v>128</v>
      </c>
      <c r="AH26" s="130">
        <v>152</v>
      </c>
      <c r="AI26" s="130">
        <v>80</v>
      </c>
      <c r="AJ26" s="130"/>
      <c r="AK26" s="103">
        <v>54</v>
      </c>
      <c r="AL26" s="103"/>
    </row>
    <row r="27" spans="1:38">
      <c r="A27" s="229"/>
      <c r="B27" s="228"/>
      <c r="C27" s="103" t="s">
        <v>376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30"/>
      <c r="AD27" s="103"/>
      <c r="AE27" s="130"/>
      <c r="AF27" s="103"/>
      <c r="AG27" s="130"/>
      <c r="AH27" s="130"/>
      <c r="AI27" s="130"/>
      <c r="AJ27" s="130"/>
      <c r="AK27" s="103"/>
      <c r="AL27" s="103"/>
    </row>
    <row r="28" spans="1:38" s="134" customFormat="1">
      <c r="A28" s="229"/>
      <c r="B28" s="227" t="s">
        <v>382</v>
      </c>
      <c r="C28" s="135" t="s">
        <v>380</v>
      </c>
      <c r="D28" s="135">
        <v>98</v>
      </c>
      <c r="E28" s="135">
        <v>106</v>
      </c>
      <c r="F28" s="135">
        <v>100</v>
      </c>
      <c r="G28" s="135">
        <v>132</v>
      </c>
      <c r="H28" s="135">
        <v>98</v>
      </c>
      <c r="I28" s="135">
        <v>100</v>
      </c>
      <c r="J28" s="135">
        <v>100</v>
      </c>
      <c r="K28" s="135">
        <v>106</v>
      </c>
      <c r="L28" s="135">
        <v>100</v>
      </c>
      <c r="M28" s="135"/>
      <c r="N28" s="135">
        <v>184</v>
      </c>
      <c r="O28" s="135">
        <v>188</v>
      </c>
      <c r="P28" s="135">
        <v>220</v>
      </c>
      <c r="Q28" s="135">
        <v>204</v>
      </c>
      <c r="R28" s="135"/>
      <c r="S28" s="135"/>
      <c r="T28" s="135">
        <v>120</v>
      </c>
      <c r="U28" s="135">
        <v>100</v>
      </c>
      <c r="V28" s="135">
        <v>104</v>
      </c>
      <c r="W28" s="135">
        <v>102</v>
      </c>
      <c r="X28" s="135">
        <v>94</v>
      </c>
      <c r="Y28" s="135">
        <v>114</v>
      </c>
      <c r="Z28" s="135"/>
      <c r="AA28" s="135">
        <v>82</v>
      </c>
      <c r="AB28" s="135">
        <v>116</v>
      </c>
      <c r="AC28" s="136">
        <v>162</v>
      </c>
      <c r="AD28" s="135">
        <v>110</v>
      </c>
      <c r="AE28" s="136">
        <v>184</v>
      </c>
      <c r="AF28" s="135">
        <v>174</v>
      </c>
      <c r="AG28" s="136">
        <v>208</v>
      </c>
      <c r="AH28" s="136">
        <v>248</v>
      </c>
      <c r="AI28" s="136">
        <v>100</v>
      </c>
      <c r="AJ28" s="136">
        <v>260</v>
      </c>
      <c r="AK28" s="135">
        <v>94</v>
      </c>
      <c r="AL28" s="135"/>
    </row>
    <row r="29" spans="1:38">
      <c r="A29" s="229"/>
      <c r="B29" s="227"/>
      <c r="C29" s="103" t="s">
        <v>379</v>
      </c>
      <c r="D29" s="103">
        <v>186</v>
      </c>
      <c r="E29" s="103">
        <v>222</v>
      </c>
      <c r="F29" s="103">
        <v>318</v>
      </c>
      <c r="G29" s="103">
        <v>425</v>
      </c>
      <c r="H29" s="103">
        <v>325</v>
      </c>
      <c r="I29" s="103">
        <v>335</v>
      </c>
      <c r="J29" s="103">
        <v>350</v>
      </c>
      <c r="K29" s="103">
        <v>325</v>
      </c>
      <c r="L29" s="103">
        <v>342</v>
      </c>
      <c r="M29" s="103"/>
      <c r="N29" s="103">
        <v>96</v>
      </c>
      <c r="O29" s="103">
        <v>94</v>
      </c>
      <c r="P29" s="103">
        <v>118</v>
      </c>
      <c r="Q29" s="103">
        <v>122</v>
      </c>
      <c r="R29" s="103">
        <v>330</v>
      </c>
      <c r="S29" s="103"/>
      <c r="T29" s="103">
        <v>214</v>
      </c>
      <c r="U29" s="103">
        <v>220</v>
      </c>
      <c r="V29" s="103">
        <v>378</v>
      </c>
      <c r="W29" s="103">
        <v>230</v>
      </c>
      <c r="X29" s="103">
        <v>334</v>
      </c>
      <c r="Y29" s="103">
        <v>220</v>
      </c>
      <c r="Z29" s="103">
        <v>292</v>
      </c>
      <c r="AA29" s="103">
        <v>364</v>
      </c>
      <c r="AB29" s="103">
        <v>234</v>
      </c>
      <c r="AC29" s="130">
        <v>366</v>
      </c>
      <c r="AD29" s="103">
        <v>370</v>
      </c>
      <c r="AE29" s="130">
        <v>438</v>
      </c>
      <c r="AF29" s="103">
        <v>408</v>
      </c>
      <c r="AG29" s="130">
        <v>88</v>
      </c>
      <c r="AH29" s="130">
        <v>194</v>
      </c>
      <c r="AI29" s="130">
        <v>310</v>
      </c>
      <c r="AJ29" s="130">
        <v>76</v>
      </c>
      <c r="AK29" s="103">
        <v>250</v>
      </c>
      <c r="AL29" s="103"/>
    </row>
    <row r="30" spans="1:38">
      <c r="A30" s="229"/>
      <c r="B30" s="227"/>
      <c r="C30" s="103" t="s">
        <v>378</v>
      </c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30"/>
      <c r="AD30" s="103"/>
      <c r="AE30" s="130"/>
      <c r="AF30" s="103"/>
      <c r="AG30" s="130"/>
      <c r="AH30" s="130"/>
      <c r="AI30" s="130"/>
      <c r="AJ30" s="130"/>
      <c r="AK30" s="103"/>
      <c r="AL30" s="103"/>
    </row>
    <row r="31" spans="1:38">
      <c r="A31" s="229"/>
      <c r="B31" s="227"/>
      <c r="C31" s="103" t="s">
        <v>377</v>
      </c>
      <c r="D31" s="103">
        <v>98</v>
      </c>
      <c r="E31" s="103">
        <v>106</v>
      </c>
      <c r="F31" s="103">
        <v>100</v>
      </c>
      <c r="G31" s="103">
        <v>132</v>
      </c>
      <c r="H31" s="103">
        <v>98</v>
      </c>
      <c r="I31" s="103">
        <v>100</v>
      </c>
      <c r="J31" s="103">
        <v>100</v>
      </c>
      <c r="K31" s="103">
        <v>106</v>
      </c>
      <c r="L31" s="103">
        <v>100</v>
      </c>
      <c r="M31" s="103"/>
      <c r="N31" s="103">
        <v>184</v>
      </c>
      <c r="O31" s="103">
        <v>188</v>
      </c>
      <c r="P31" s="103">
        <v>220</v>
      </c>
      <c r="Q31" s="103">
        <v>204</v>
      </c>
      <c r="R31" s="103"/>
      <c r="S31" s="103"/>
      <c r="T31" s="103">
        <v>120</v>
      </c>
      <c r="U31" s="103">
        <v>100</v>
      </c>
      <c r="V31" s="103">
        <v>104</v>
      </c>
      <c r="W31" s="103">
        <v>102</v>
      </c>
      <c r="X31" s="103">
        <v>94</v>
      </c>
      <c r="Y31" s="103">
        <v>114</v>
      </c>
      <c r="Z31" s="103"/>
      <c r="AA31" s="103">
        <v>82</v>
      </c>
      <c r="AB31" s="103">
        <v>116</v>
      </c>
      <c r="AC31" s="130">
        <v>162</v>
      </c>
      <c r="AD31" s="103">
        <v>110</v>
      </c>
      <c r="AE31" s="130">
        <v>184</v>
      </c>
      <c r="AF31" s="103">
        <v>174</v>
      </c>
      <c r="AG31" s="130">
        <v>208</v>
      </c>
      <c r="AH31" s="130">
        <v>248</v>
      </c>
      <c r="AI31" s="130">
        <v>100</v>
      </c>
      <c r="AJ31" s="130"/>
      <c r="AK31" s="103">
        <v>94</v>
      </c>
      <c r="AL31" s="103"/>
    </row>
    <row r="32" spans="1:38">
      <c r="A32" s="229"/>
      <c r="B32" s="227"/>
      <c r="C32" s="103" t="s">
        <v>376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30"/>
      <c r="AD32" s="103"/>
      <c r="AE32" s="130"/>
      <c r="AF32" s="103"/>
      <c r="AG32" s="130"/>
      <c r="AH32" s="130"/>
      <c r="AI32" s="130"/>
      <c r="AJ32" s="130"/>
      <c r="AK32" s="103"/>
      <c r="AL32" s="103"/>
    </row>
    <row r="33" spans="1:38" s="134" customFormat="1">
      <c r="A33" s="229"/>
      <c r="B33" s="230" t="s">
        <v>381</v>
      </c>
      <c r="C33" s="135" t="s">
        <v>380</v>
      </c>
      <c r="D33" s="135">
        <v>144</v>
      </c>
      <c r="E33" s="135">
        <v>144</v>
      </c>
      <c r="F33" s="135">
        <v>180</v>
      </c>
      <c r="G33" s="135">
        <v>250</v>
      </c>
      <c r="H33" s="135">
        <v>184</v>
      </c>
      <c r="I33" s="135">
        <v>194</v>
      </c>
      <c r="J33" s="135">
        <v>158</v>
      </c>
      <c r="K33" s="135">
        <v>202</v>
      </c>
      <c r="L33" s="135">
        <v>180</v>
      </c>
      <c r="M33" s="135"/>
      <c r="N33" s="135">
        <v>302</v>
      </c>
      <c r="O33" s="135">
        <v>292</v>
      </c>
      <c r="P33" s="135">
        <v>340</v>
      </c>
      <c r="Q33" s="135">
        <v>240</v>
      </c>
      <c r="R33" s="135"/>
      <c r="S33" s="135"/>
      <c r="T33" s="135">
        <v>150</v>
      </c>
      <c r="U33" s="135">
        <v>138</v>
      </c>
      <c r="V33" s="135">
        <v>164</v>
      </c>
      <c r="W33" s="135">
        <v>134</v>
      </c>
      <c r="X33" s="135">
        <v>185</v>
      </c>
      <c r="Y33" s="135">
        <v>138</v>
      </c>
      <c r="Z33" s="135"/>
      <c r="AA33" s="135">
        <v>178</v>
      </c>
      <c r="AB33" s="135">
        <v>162</v>
      </c>
      <c r="AC33" s="136">
        <v>208</v>
      </c>
      <c r="AD33" s="135">
        <v>260</v>
      </c>
      <c r="AE33" s="136">
        <v>454</v>
      </c>
      <c r="AF33" s="135">
        <v>240</v>
      </c>
      <c r="AG33" s="136">
        <v>364</v>
      </c>
      <c r="AH33" s="136">
        <v>440</v>
      </c>
      <c r="AI33" s="136">
        <v>160</v>
      </c>
      <c r="AJ33" s="136">
        <v>492</v>
      </c>
      <c r="AK33" s="135">
        <v>200</v>
      </c>
      <c r="AL33" s="135"/>
    </row>
    <row r="34" spans="1:38">
      <c r="A34" s="229"/>
      <c r="B34" s="230"/>
      <c r="C34" s="103" t="s">
        <v>379</v>
      </c>
      <c r="D34" s="103">
        <v>310</v>
      </c>
      <c r="E34" s="103">
        <v>310</v>
      </c>
      <c r="F34" s="103">
        <v>512</v>
      </c>
      <c r="G34" s="103">
        <v>684</v>
      </c>
      <c r="H34" s="103">
        <v>540</v>
      </c>
      <c r="I34" s="103">
        <v>586</v>
      </c>
      <c r="J34" s="103">
        <v>528</v>
      </c>
      <c r="K34" s="103">
        <v>585</v>
      </c>
      <c r="L34" s="103">
        <v>559</v>
      </c>
      <c r="M34" s="103"/>
      <c r="N34" s="103">
        <v>124</v>
      </c>
      <c r="O34" s="103">
        <v>110</v>
      </c>
      <c r="P34" s="103">
        <v>124</v>
      </c>
      <c r="Q34" s="103">
        <v>130</v>
      </c>
      <c r="R34" s="103">
        <v>438</v>
      </c>
      <c r="S34" s="103"/>
      <c r="T34" s="103">
        <v>268</v>
      </c>
      <c r="U34" s="103">
        <v>292</v>
      </c>
      <c r="V34" s="103">
        <v>514</v>
      </c>
      <c r="W34" s="103">
        <v>286</v>
      </c>
      <c r="X34" s="103">
        <v>578</v>
      </c>
      <c r="Y34" s="103">
        <v>238</v>
      </c>
      <c r="Z34" s="103">
        <v>458</v>
      </c>
      <c r="AA34" s="103">
        <v>670</v>
      </c>
      <c r="AB34" s="103">
        <v>290</v>
      </c>
      <c r="AC34" s="130">
        <v>480</v>
      </c>
      <c r="AD34" s="103">
        <v>686</v>
      </c>
      <c r="AE34" s="130">
        <v>1094</v>
      </c>
      <c r="AF34" s="103">
        <v>594</v>
      </c>
      <c r="AG34" s="130">
        <v>124</v>
      </c>
      <c r="AH34" s="130">
        <v>256</v>
      </c>
      <c r="AI34" s="130">
        <v>440</v>
      </c>
      <c r="AJ34" s="130">
        <v>180</v>
      </c>
      <c r="AK34" s="103">
        <v>558</v>
      </c>
      <c r="AL34" s="103"/>
    </row>
    <row r="35" spans="1:38">
      <c r="A35" s="229"/>
      <c r="B35" s="230"/>
      <c r="C35" s="103" t="s">
        <v>378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30"/>
      <c r="AD35" s="103"/>
      <c r="AE35" s="130"/>
      <c r="AF35" s="103"/>
      <c r="AG35" s="130"/>
      <c r="AH35" s="130"/>
      <c r="AI35" s="130"/>
      <c r="AJ35" s="130"/>
      <c r="AK35" s="103"/>
      <c r="AL35" s="103"/>
    </row>
    <row r="36" spans="1:38">
      <c r="A36" s="229"/>
      <c r="B36" s="230"/>
      <c r="C36" s="103" t="s">
        <v>377</v>
      </c>
      <c r="D36" s="103">
        <v>144</v>
      </c>
      <c r="E36" s="103">
        <v>144</v>
      </c>
      <c r="F36" s="103">
        <v>180</v>
      </c>
      <c r="G36" s="103">
        <v>250</v>
      </c>
      <c r="H36" s="103">
        <v>184</v>
      </c>
      <c r="I36" s="103">
        <v>194</v>
      </c>
      <c r="J36" s="103">
        <v>158</v>
      </c>
      <c r="K36" s="103">
        <v>202</v>
      </c>
      <c r="L36" s="103">
        <v>180</v>
      </c>
      <c r="M36" s="103"/>
      <c r="N36" s="103">
        <v>302</v>
      </c>
      <c r="O36" s="103">
        <v>292</v>
      </c>
      <c r="P36" s="103">
        <v>340</v>
      </c>
      <c r="Q36" s="103">
        <v>240</v>
      </c>
      <c r="R36" s="103"/>
      <c r="S36" s="103"/>
      <c r="T36" s="103">
        <v>150</v>
      </c>
      <c r="U36" s="103">
        <v>138</v>
      </c>
      <c r="V36" s="103">
        <v>164</v>
      </c>
      <c r="W36" s="103">
        <v>134</v>
      </c>
      <c r="X36" s="103">
        <v>185</v>
      </c>
      <c r="Y36" s="103">
        <v>138</v>
      </c>
      <c r="Z36" s="103"/>
      <c r="AA36" s="103">
        <v>178</v>
      </c>
      <c r="AB36" s="103">
        <v>162</v>
      </c>
      <c r="AC36" s="130">
        <v>208</v>
      </c>
      <c r="AD36" s="103">
        <v>260</v>
      </c>
      <c r="AE36" s="130">
        <v>454</v>
      </c>
      <c r="AF36" s="103">
        <v>240</v>
      </c>
      <c r="AG36" s="130">
        <v>364</v>
      </c>
      <c r="AH36" s="130">
        <v>440</v>
      </c>
      <c r="AI36" s="130">
        <v>160</v>
      </c>
      <c r="AJ36" s="130"/>
      <c r="AK36" s="103">
        <v>200</v>
      </c>
      <c r="AL36" s="103"/>
    </row>
    <row r="37" spans="1:38">
      <c r="A37" s="229"/>
      <c r="B37" s="230"/>
      <c r="C37" s="103" t="s">
        <v>376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30"/>
      <c r="AD37" s="103"/>
      <c r="AE37" s="130"/>
      <c r="AF37" s="103"/>
      <c r="AG37" s="130"/>
      <c r="AH37" s="130"/>
      <c r="AI37" s="130"/>
      <c r="AJ37" s="130"/>
      <c r="AK37" s="103"/>
      <c r="AL37" s="103"/>
    </row>
    <row r="38" spans="1:38">
      <c r="A38" s="220" t="s">
        <v>375</v>
      </c>
      <c r="B38" s="228" t="s">
        <v>372</v>
      </c>
      <c r="C38" s="103" t="s">
        <v>347</v>
      </c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30"/>
      <c r="AD38" s="103"/>
      <c r="AE38" s="130"/>
      <c r="AF38" s="103"/>
      <c r="AG38" s="130"/>
      <c r="AH38" s="130"/>
      <c r="AI38" s="130"/>
      <c r="AJ38" s="130"/>
      <c r="AK38" s="103"/>
      <c r="AL38" s="103"/>
    </row>
    <row r="39" spans="1:38">
      <c r="A39" s="220"/>
      <c r="B39" s="228"/>
      <c r="C39" s="103" t="s">
        <v>346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30"/>
      <c r="AD39" s="103"/>
      <c r="AE39" s="130"/>
      <c r="AF39" s="103"/>
      <c r="AG39" s="130"/>
      <c r="AH39" s="130"/>
      <c r="AI39" s="130"/>
      <c r="AJ39" s="130"/>
      <c r="AK39" s="103"/>
      <c r="AL39" s="103"/>
    </row>
    <row r="40" spans="1:38">
      <c r="A40" s="220"/>
      <c r="B40" s="228" t="s">
        <v>374</v>
      </c>
      <c r="C40" s="103" t="s">
        <v>347</v>
      </c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30"/>
      <c r="AD40" s="103"/>
      <c r="AE40" s="130">
        <v>286</v>
      </c>
      <c r="AF40" s="103"/>
      <c r="AG40" s="130"/>
      <c r="AH40" s="130"/>
      <c r="AI40" s="130"/>
      <c r="AJ40" s="130"/>
      <c r="AK40" s="103"/>
      <c r="AL40" s="103"/>
    </row>
    <row r="41" spans="1:38">
      <c r="A41" s="220"/>
      <c r="B41" s="228"/>
      <c r="C41" s="103" t="s">
        <v>346</v>
      </c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30"/>
      <c r="AD41" s="103"/>
      <c r="AE41" s="130">
        <v>402</v>
      </c>
      <c r="AF41" s="103"/>
      <c r="AG41" s="130"/>
      <c r="AH41" s="130"/>
      <c r="AI41" s="130"/>
      <c r="AJ41" s="130"/>
      <c r="AK41" s="103"/>
      <c r="AL41" s="103"/>
    </row>
    <row r="42" spans="1:38">
      <c r="A42" s="220"/>
      <c r="B42" s="228" t="s">
        <v>370</v>
      </c>
      <c r="C42" s="103" t="s">
        <v>347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30"/>
      <c r="AD42" s="103"/>
      <c r="AE42" s="130"/>
      <c r="AF42" s="103"/>
      <c r="AG42" s="130"/>
      <c r="AH42" s="130"/>
      <c r="AI42" s="130"/>
      <c r="AJ42" s="130"/>
      <c r="AK42" s="103">
        <v>368</v>
      </c>
      <c r="AL42" s="103"/>
    </row>
    <row r="43" spans="1:38">
      <c r="A43" s="220"/>
      <c r="B43" s="228"/>
      <c r="C43" s="103" t="s">
        <v>346</v>
      </c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30"/>
      <c r="AD43" s="103"/>
      <c r="AE43" s="130"/>
      <c r="AF43" s="103"/>
      <c r="AG43" s="130"/>
      <c r="AH43" s="130"/>
      <c r="AI43" s="130"/>
      <c r="AJ43" s="130"/>
      <c r="AK43" s="103">
        <v>490</v>
      </c>
      <c r="AL43" s="103"/>
    </row>
    <row r="44" spans="1:38">
      <c r="A44" s="220"/>
      <c r="B44" s="228" t="s">
        <v>369</v>
      </c>
      <c r="C44" s="103" t="s">
        <v>347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30"/>
      <c r="AD44" s="103"/>
      <c r="AE44" s="130"/>
      <c r="AF44" s="103"/>
      <c r="AG44" s="130"/>
      <c r="AH44" s="130"/>
      <c r="AI44" s="130"/>
      <c r="AJ44" s="130"/>
      <c r="AK44" s="103"/>
      <c r="AL44" s="103"/>
    </row>
    <row r="45" spans="1:38">
      <c r="A45" s="220"/>
      <c r="B45" s="228"/>
      <c r="C45" s="103" t="s">
        <v>346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30"/>
      <c r="AD45" s="103"/>
      <c r="AE45" s="130"/>
      <c r="AF45" s="103"/>
      <c r="AG45" s="130"/>
      <c r="AH45" s="130"/>
      <c r="AI45" s="130"/>
      <c r="AJ45" s="130"/>
      <c r="AK45" s="103"/>
      <c r="AL45" s="103"/>
    </row>
    <row r="46" spans="1:38">
      <c r="A46" s="220"/>
      <c r="B46" s="228" t="s">
        <v>368</v>
      </c>
      <c r="C46" s="103" t="s">
        <v>347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30"/>
      <c r="AD46" s="103"/>
      <c r="AE46" s="130"/>
      <c r="AF46" s="103"/>
      <c r="AG46" s="130"/>
      <c r="AH46" s="130"/>
      <c r="AI46" s="130"/>
      <c r="AJ46" s="130"/>
      <c r="AK46" s="103"/>
      <c r="AL46" s="103"/>
    </row>
    <row r="47" spans="1:38">
      <c r="A47" s="220"/>
      <c r="B47" s="228"/>
      <c r="C47" s="103" t="s">
        <v>346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30"/>
      <c r="AD47" s="103"/>
      <c r="AE47" s="130"/>
      <c r="AF47" s="103"/>
      <c r="AG47" s="130"/>
      <c r="AH47" s="130"/>
      <c r="AI47" s="130"/>
      <c r="AJ47" s="130"/>
      <c r="AK47" s="103"/>
      <c r="AL47" s="103"/>
    </row>
    <row r="48" spans="1:38">
      <c r="A48" s="220"/>
      <c r="B48" s="228" t="s">
        <v>367</v>
      </c>
      <c r="C48" s="103" t="s">
        <v>347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30"/>
      <c r="AD48" s="103"/>
      <c r="AE48" s="130"/>
      <c r="AF48" s="103"/>
      <c r="AG48" s="130"/>
      <c r="AH48" s="130"/>
      <c r="AI48" s="130"/>
      <c r="AJ48" s="130"/>
      <c r="AK48" s="103"/>
      <c r="AL48" s="103"/>
    </row>
    <row r="49" spans="1:38">
      <c r="A49" s="220"/>
      <c r="B49" s="228"/>
      <c r="C49" s="103" t="s">
        <v>346</v>
      </c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30"/>
      <c r="AD49" s="103"/>
      <c r="AE49" s="130"/>
      <c r="AF49" s="103"/>
      <c r="AG49" s="130"/>
      <c r="AH49" s="130"/>
      <c r="AI49" s="130"/>
      <c r="AJ49" s="130"/>
      <c r="AK49" s="103"/>
      <c r="AL49" s="103"/>
    </row>
    <row r="50" spans="1:38">
      <c r="A50" s="220"/>
      <c r="B50" s="228" t="s">
        <v>366</v>
      </c>
      <c r="C50" s="103" t="s">
        <v>347</v>
      </c>
      <c r="D50" s="103"/>
      <c r="E50" s="103"/>
      <c r="F50" s="103"/>
      <c r="G50" s="103"/>
      <c r="H50" s="103"/>
      <c r="I50" s="103"/>
      <c r="J50" s="103"/>
      <c r="K50" s="103"/>
      <c r="L50" s="103">
        <v>1104</v>
      </c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>
        <v>1057</v>
      </c>
      <c r="AA50" s="103"/>
      <c r="AB50" s="103"/>
      <c r="AC50" s="130">
        <v>1678</v>
      </c>
      <c r="AD50" s="103"/>
      <c r="AE50" s="130"/>
      <c r="AF50" s="103"/>
      <c r="AG50" s="130"/>
      <c r="AH50" s="130">
        <v>1394</v>
      </c>
      <c r="AI50" s="130">
        <v>1075</v>
      </c>
      <c r="AJ50" s="130"/>
      <c r="AK50" s="103"/>
      <c r="AL50" s="103"/>
    </row>
    <row r="51" spans="1:38">
      <c r="A51" s="220"/>
      <c r="B51" s="228"/>
      <c r="C51" s="103" t="s">
        <v>346</v>
      </c>
      <c r="D51" s="103"/>
      <c r="E51" s="103"/>
      <c r="F51" s="103"/>
      <c r="G51" s="103"/>
      <c r="H51" s="103"/>
      <c r="I51" s="103"/>
      <c r="J51" s="103"/>
      <c r="K51" s="103"/>
      <c r="L51" s="103">
        <v>1044</v>
      </c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>
        <v>790</v>
      </c>
      <c r="AA51" s="103"/>
      <c r="AB51" s="103"/>
      <c r="AC51" s="130">
        <v>1648</v>
      </c>
      <c r="AD51" s="103"/>
      <c r="AE51" s="130"/>
      <c r="AF51" s="103"/>
      <c r="AG51" s="130"/>
      <c r="AH51" s="130">
        <v>1297</v>
      </c>
      <c r="AI51" s="130">
        <v>940</v>
      </c>
      <c r="AJ51" s="130"/>
      <c r="AK51" s="103"/>
      <c r="AL51" s="103"/>
    </row>
    <row r="52" spans="1:38">
      <c r="A52" s="220"/>
      <c r="B52" s="228" t="s">
        <v>365</v>
      </c>
      <c r="C52" s="103" t="s">
        <v>347</v>
      </c>
      <c r="D52" s="103"/>
      <c r="E52" s="103"/>
      <c r="F52" s="103"/>
      <c r="G52" s="103">
        <v>1654</v>
      </c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>
        <v>1025</v>
      </c>
      <c r="AB52" s="103"/>
      <c r="AC52" s="130"/>
      <c r="AD52" s="103"/>
      <c r="AE52" s="130"/>
      <c r="AF52" s="103"/>
      <c r="AG52" s="130"/>
      <c r="AH52" s="130"/>
      <c r="AI52" s="130"/>
      <c r="AJ52" s="130"/>
      <c r="AK52" s="103"/>
      <c r="AL52" s="103"/>
    </row>
    <row r="53" spans="1:38">
      <c r="A53" s="220"/>
      <c r="B53" s="228"/>
      <c r="C53" s="103" t="s">
        <v>346</v>
      </c>
      <c r="D53" s="103"/>
      <c r="E53" s="103"/>
      <c r="F53" s="103"/>
      <c r="G53" s="103">
        <v>1567</v>
      </c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>
        <v>1025</v>
      </c>
      <c r="AB53" s="103"/>
      <c r="AC53" s="130"/>
      <c r="AD53" s="103"/>
      <c r="AE53" s="130"/>
      <c r="AF53" s="103"/>
      <c r="AG53" s="130"/>
      <c r="AH53" s="130"/>
      <c r="AI53" s="130"/>
      <c r="AJ53" s="130"/>
      <c r="AK53" s="103"/>
      <c r="AL53" s="103"/>
    </row>
    <row r="54" spans="1:38">
      <c r="A54" s="220"/>
      <c r="B54" s="228" t="s">
        <v>364</v>
      </c>
      <c r="C54" s="103" t="s">
        <v>347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30"/>
      <c r="AD54" s="103"/>
      <c r="AE54" s="130"/>
      <c r="AF54" s="103"/>
      <c r="AG54" s="130"/>
      <c r="AH54" s="130"/>
      <c r="AI54" s="130"/>
      <c r="AJ54" s="130"/>
      <c r="AK54" s="103"/>
      <c r="AL54" s="103"/>
    </row>
    <row r="55" spans="1:38">
      <c r="A55" s="220"/>
      <c r="B55" s="228"/>
      <c r="C55" s="103" t="s">
        <v>346</v>
      </c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>
        <f>106-18</f>
        <v>88</v>
      </c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30"/>
      <c r="AD55" s="103"/>
      <c r="AE55" s="130"/>
      <c r="AF55" s="103"/>
      <c r="AG55" s="130"/>
      <c r="AH55" s="130"/>
      <c r="AI55" s="130"/>
      <c r="AJ55" s="130"/>
      <c r="AK55" s="103"/>
      <c r="AL55" s="103"/>
    </row>
    <row r="56" spans="1:38">
      <c r="A56" s="220"/>
      <c r="B56" s="228" t="s">
        <v>363</v>
      </c>
      <c r="C56" s="103" t="s">
        <v>347</v>
      </c>
      <c r="D56" s="103"/>
      <c r="E56" s="103"/>
      <c r="F56" s="103"/>
      <c r="G56" s="103"/>
      <c r="H56" s="103">
        <v>1442</v>
      </c>
      <c r="I56" s="103">
        <v>1450</v>
      </c>
      <c r="J56" s="103">
        <v>1465</v>
      </c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30"/>
      <c r="AD56" s="103">
        <v>1732</v>
      </c>
      <c r="AE56" s="130"/>
      <c r="AF56" s="103"/>
      <c r="AG56" s="130"/>
      <c r="AH56" s="130"/>
      <c r="AI56" s="130"/>
      <c r="AJ56" s="130"/>
      <c r="AK56" s="103"/>
      <c r="AL56" s="103"/>
    </row>
    <row r="57" spans="1:38">
      <c r="A57" s="220"/>
      <c r="B57" s="228"/>
      <c r="C57" s="103" t="s">
        <v>346</v>
      </c>
      <c r="D57" s="103"/>
      <c r="E57" s="103"/>
      <c r="F57" s="103"/>
      <c r="G57" s="103"/>
      <c r="H57" s="103">
        <v>1300</v>
      </c>
      <c r="I57" s="103">
        <v>1661</v>
      </c>
      <c r="J57" s="103">
        <v>1278</v>
      </c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30"/>
      <c r="AD57" s="103">
        <v>1629</v>
      </c>
      <c r="AE57" s="130"/>
      <c r="AF57" s="103"/>
      <c r="AG57" s="130"/>
      <c r="AH57" s="130"/>
      <c r="AI57" s="130"/>
      <c r="AJ57" s="130"/>
      <c r="AK57" s="103"/>
      <c r="AL57" s="103"/>
    </row>
    <row r="58" spans="1:38">
      <c r="A58" s="220"/>
      <c r="B58" s="228" t="s">
        <v>362</v>
      </c>
      <c r="C58" s="103" t="s">
        <v>347</v>
      </c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>
        <v>1670</v>
      </c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30"/>
      <c r="AD58" s="103"/>
      <c r="AE58" s="130"/>
      <c r="AF58" s="103"/>
      <c r="AG58" s="130"/>
      <c r="AH58" s="130"/>
      <c r="AI58" s="130"/>
      <c r="AJ58" s="130"/>
      <c r="AK58" s="103"/>
      <c r="AL58" s="103"/>
    </row>
    <row r="59" spans="1:38">
      <c r="A59" s="220"/>
      <c r="B59" s="228"/>
      <c r="C59" s="103" t="s">
        <v>346</v>
      </c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>
        <v>1779</v>
      </c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30"/>
      <c r="AD59" s="103"/>
      <c r="AE59" s="130"/>
      <c r="AF59" s="103"/>
      <c r="AG59" s="130"/>
      <c r="AH59" s="130"/>
      <c r="AI59" s="130"/>
      <c r="AJ59" s="130"/>
      <c r="AK59" s="103"/>
      <c r="AL59" s="103"/>
    </row>
    <row r="60" spans="1:38">
      <c r="A60" s="220"/>
      <c r="B60" s="228" t="s">
        <v>361</v>
      </c>
      <c r="C60" s="103" t="s">
        <v>347</v>
      </c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30"/>
      <c r="AD60" s="103"/>
      <c r="AE60" s="130"/>
      <c r="AF60" s="103"/>
      <c r="AG60" s="130">
        <v>2086</v>
      </c>
      <c r="AH60" s="130"/>
      <c r="AI60" s="130"/>
      <c r="AJ60" s="130"/>
      <c r="AK60" s="103"/>
      <c r="AL60" s="103"/>
    </row>
    <row r="61" spans="1:38">
      <c r="A61" s="220"/>
      <c r="B61" s="228"/>
      <c r="C61" s="103" t="s">
        <v>346</v>
      </c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30"/>
      <c r="AD61" s="103"/>
      <c r="AE61" s="130"/>
      <c r="AF61" s="103"/>
      <c r="AG61" s="130">
        <v>2158</v>
      </c>
      <c r="AH61" s="130"/>
      <c r="AI61" s="130"/>
      <c r="AJ61" s="130"/>
      <c r="AK61" s="103"/>
      <c r="AL61" s="103"/>
    </row>
    <row r="62" spans="1:38">
      <c r="A62" s="220"/>
      <c r="B62" s="228" t="s">
        <v>360</v>
      </c>
      <c r="C62" s="103" t="s">
        <v>347</v>
      </c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30"/>
      <c r="AD62" s="103"/>
      <c r="AE62" s="130"/>
      <c r="AF62" s="103"/>
      <c r="AG62" s="130"/>
      <c r="AH62" s="130"/>
      <c r="AI62" s="130"/>
      <c r="AJ62" s="130"/>
      <c r="AK62" s="103"/>
      <c r="AL62" s="103"/>
    </row>
    <row r="63" spans="1:38">
      <c r="A63" s="220"/>
      <c r="B63" s="228"/>
      <c r="C63" s="103" t="s">
        <v>346</v>
      </c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30"/>
      <c r="AD63" s="103"/>
      <c r="AE63" s="130"/>
      <c r="AF63" s="103"/>
      <c r="AG63" s="130"/>
      <c r="AH63" s="130"/>
      <c r="AI63" s="130"/>
      <c r="AJ63" s="130"/>
      <c r="AK63" s="103"/>
      <c r="AL63" s="103"/>
    </row>
    <row r="64" spans="1:38">
      <c r="A64" s="220"/>
      <c r="B64" s="228" t="s">
        <v>359</v>
      </c>
      <c r="C64" s="103" t="s">
        <v>347</v>
      </c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30"/>
      <c r="AD64" s="103"/>
      <c r="AE64" s="130"/>
      <c r="AF64" s="103"/>
      <c r="AG64" s="130"/>
      <c r="AH64" s="130"/>
      <c r="AI64" s="130"/>
      <c r="AJ64" s="130"/>
      <c r="AK64" s="103"/>
      <c r="AL64" s="103"/>
    </row>
    <row r="65" spans="1:38">
      <c r="A65" s="220"/>
      <c r="B65" s="228"/>
      <c r="C65" s="103" t="s">
        <v>346</v>
      </c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30"/>
      <c r="AD65" s="103"/>
      <c r="AE65" s="130"/>
      <c r="AF65" s="103"/>
      <c r="AG65" s="130"/>
      <c r="AH65" s="130"/>
      <c r="AI65" s="130"/>
      <c r="AJ65" s="130"/>
      <c r="AK65" s="103"/>
      <c r="AL65" s="103"/>
    </row>
    <row r="66" spans="1:38">
      <c r="A66" s="220"/>
      <c r="B66" s="228" t="s">
        <v>358</v>
      </c>
      <c r="C66" s="103" t="s">
        <v>347</v>
      </c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30"/>
      <c r="AD66" s="103"/>
      <c r="AE66" s="130"/>
      <c r="AF66" s="103"/>
      <c r="AG66" s="130"/>
      <c r="AH66" s="130"/>
      <c r="AI66" s="130"/>
      <c r="AJ66" s="130"/>
      <c r="AK66" s="103"/>
      <c r="AL66" s="103"/>
    </row>
    <row r="67" spans="1:38">
      <c r="A67" s="220"/>
      <c r="B67" s="228"/>
      <c r="C67" s="103" t="s">
        <v>346</v>
      </c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30"/>
      <c r="AD67" s="103"/>
      <c r="AE67" s="130"/>
      <c r="AF67" s="103"/>
      <c r="AG67" s="130"/>
      <c r="AH67" s="130"/>
      <c r="AI67" s="130"/>
      <c r="AJ67" s="130"/>
      <c r="AK67" s="103"/>
      <c r="AL67" s="103"/>
    </row>
    <row r="68" spans="1:38">
      <c r="A68" s="220"/>
      <c r="B68" s="228" t="s">
        <v>357</v>
      </c>
      <c r="C68" s="103" t="s">
        <v>347</v>
      </c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30"/>
      <c r="AD68" s="103"/>
      <c r="AE68" s="130"/>
      <c r="AF68" s="103"/>
      <c r="AG68" s="130"/>
      <c r="AH68" s="130"/>
      <c r="AI68" s="130"/>
      <c r="AJ68" s="130"/>
      <c r="AK68" s="103"/>
      <c r="AL68" s="103"/>
    </row>
    <row r="69" spans="1:38">
      <c r="A69" s="220"/>
      <c r="B69" s="228"/>
      <c r="C69" s="103" t="s">
        <v>346</v>
      </c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30"/>
      <c r="AD69" s="103"/>
      <c r="AE69" s="130"/>
      <c r="AF69" s="103"/>
      <c r="AG69" s="130"/>
      <c r="AH69" s="130"/>
      <c r="AI69" s="130"/>
      <c r="AJ69" s="130"/>
      <c r="AK69" s="103"/>
      <c r="AL69" s="103"/>
    </row>
    <row r="70" spans="1:38">
      <c r="A70" s="220"/>
      <c r="B70" s="228" t="s">
        <v>356</v>
      </c>
      <c r="C70" s="103" t="s">
        <v>347</v>
      </c>
      <c r="D70" s="103"/>
      <c r="E70" s="103"/>
      <c r="F70" s="103">
        <v>2499</v>
      </c>
      <c r="G70" s="103"/>
      <c r="H70" s="103"/>
      <c r="I70" s="103"/>
      <c r="J70" s="103"/>
      <c r="K70" s="103">
        <v>2750</v>
      </c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30"/>
      <c r="AD70" s="103"/>
      <c r="AE70" s="130"/>
      <c r="AF70" s="103"/>
      <c r="AG70" s="130"/>
      <c r="AH70" s="130"/>
      <c r="AI70" s="130"/>
      <c r="AJ70" s="130"/>
      <c r="AK70" s="103"/>
      <c r="AL70" s="103"/>
    </row>
    <row r="71" spans="1:38">
      <c r="A71" s="220"/>
      <c r="B71" s="228"/>
      <c r="C71" s="103" t="s">
        <v>346</v>
      </c>
      <c r="D71" s="103"/>
      <c r="E71" s="103"/>
      <c r="F71" s="103">
        <v>2505</v>
      </c>
      <c r="G71" s="103"/>
      <c r="H71" s="103"/>
      <c r="I71" s="103"/>
      <c r="J71" s="103"/>
      <c r="K71" s="103">
        <v>2382</v>
      </c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30"/>
      <c r="AD71" s="103"/>
      <c r="AE71" s="130"/>
      <c r="AF71" s="103"/>
      <c r="AG71" s="130"/>
      <c r="AH71" s="130"/>
      <c r="AI71" s="130"/>
      <c r="AJ71" s="130"/>
      <c r="AK71" s="103"/>
      <c r="AL71" s="103"/>
    </row>
    <row r="72" spans="1:38">
      <c r="A72" s="220"/>
      <c r="B72" s="228" t="s">
        <v>355</v>
      </c>
      <c r="C72" s="103" t="s">
        <v>347</v>
      </c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>
        <v>2711</v>
      </c>
      <c r="Y72" s="103"/>
      <c r="Z72" s="103"/>
      <c r="AA72" s="103"/>
      <c r="AB72" s="103"/>
      <c r="AC72" s="130"/>
      <c r="AD72" s="103"/>
      <c r="AE72" s="130"/>
      <c r="AF72" s="103"/>
      <c r="AG72" s="130"/>
      <c r="AH72" s="130"/>
      <c r="AI72" s="130"/>
      <c r="AJ72" s="130"/>
      <c r="AK72" s="103"/>
      <c r="AL72" s="103"/>
    </row>
    <row r="73" spans="1:38">
      <c r="A73" s="220"/>
      <c r="B73" s="228"/>
      <c r="C73" s="103" t="s">
        <v>346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>
        <v>2668</v>
      </c>
      <c r="Y73" s="103"/>
      <c r="Z73" s="103"/>
      <c r="AA73" s="103"/>
      <c r="AB73" s="103"/>
      <c r="AC73" s="130"/>
      <c r="AD73" s="103"/>
      <c r="AE73" s="130"/>
      <c r="AF73" s="103"/>
      <c r="AG73" s="130"/>
      <c r="AH73" s="130"/>
      <c r="AI73" s="130"/>
      <c r="AJ73" s="130"/>
      <c r="AK73" s="103"/>
      <c r="AL73" s="103"/>
    </row>
    <row r="74" spans="1:38">
      <c r="A74" s="220"/>
      <c r="B74" s="228" t="s">
        <v>354</v>
      </c>
      <c r="C74" s="103" t="s">
        <v>347</v>
      </c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>
        <v>3055</v>
      </c>
      <c r="W74" s="103"/>
      <c r="X74" s="103"/>
      <c r="Y74" s="103"/>
      <c r="Z74" s="103"/>
      <c r="AA74" s="103"/>
      <c r="AB74" s="103"/>
      <c r="AC74" s="130"/>
      <c r="AD74" s="103"/>
      <c r="AE74" s="130"/>
      <c r="AF74" s="103"/>
      <c r="AG74" s="130"/>
      <c r="AH74" s="130"/>
      <c r="AI74" s="130"/>
      <c r="AJ74" s="130"/>
      <c r="AK74" s="103"/>
      <c r="AL74" s="103"/>
    </row>
    <row r="75" spans="1:38">
      <c r="A75" s="220"/>
      <c r="B75" s="228"/>
      <c r="C75" s="103" t="s">
        <v>346</v>
      </c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>
        <v>2365</v>
      </c>
      <c r="W75" s="103"/>
      <c r="X75" s="103"/>
      <c r="Y75" s="103"/>
      <c r="Z75" s="103"/>
      <c r="AA75" s="103"/>
      <c r="AB75" s="103"/>
      <c r="AC75" s="130"/>
      <c r="AD75" s="103"/>
      <c r="AE75" s="130"/>
      <c r="AF75" s="103"/>
      <c r="AG75" s="130"/>
      <c r="AH75" s="130"/>
      <c r="AI75" s="130"/>
      <c r="AJ75" s="130"/>
      <c r="AK75" s="103"/>
      <c r="AL75" s="103"/>
    </row>
    <row r="76" spans="1:38">
      <c r="A76" s="220"/>
      <c r="B76" s="228" t="s">
        <v>353</v>
      </c>
      <c r="C76" s="103" t="s">
        <v>347</v>
      </c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30"/>
      <c r="AD76" s="103"/>
      <c r="AE76" s="130"/>
      <c r="AF76" s="103"/>
      <c r="AG76" s="130"/>
      <c r="AH76" s="130"/>
      <c r="AI76" s="130"/>
      <c r="AJ76" s="130"/>
      <c r="AK76" s="103"/>
      <c r="AL76" s="103"/>
    </row>
    <row r="77" spans="1:38">
      <c r="A77" s="220"/>
      <c r="B77" s="228"/>
      <c r="C77" s="103" t="s">
        <v>346</v>
      </c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30"/>
      <c r="AD77" s="103"/>
      <c r="AE77" s="130"/>
      <c r="AF77" s="103"/>
      <c r="AG77" s="130"/>
      <c r="AH77" s="130"/>
      <c r="AI77" s="130"/>
      <c r="AJ77" s="130"/>
      <c r="AK77" s="103"/>
      <c r="AL77" s="103"/>
    </row>
    <row r="78" spans="1:38">
      <c r="A78" s="220"/>
      <c r="B78" s="228" t="s">
        <v>352</v>
      </c>
      <c r="C78" s="103" t="s">
        <v>347</v>
      </c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30"/>
      <c r="AD78" s="103"/>
      <c r="AE78" s="130"/>
      <c r="AF78" s="103"/>
      <c r="AG78" s="130"/>
      <c r="AH78" s="130"/>
      <c r="AI78" s="130"/>
      <c r="AJ78" s="130"/>
      <c r="AK78" s="103"/>
      <c r="AL78" s="103"/>
    </row>
    <row r="79" spans="1:38">
      <c r="A79" s="220"/>
      <c r="B79" s="228"/>
      <c r="C79" s="103" t="s">
        <v>346</v>
      </c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30"/>
      <c r="AD79" s="103"/>
      <c r="AE79" s="130"/>
      <c r="AF79" s="103"/>
      <c r="AG79" s="130"/>
      <c r="AH79" s="130"/>
      <c r="AI79" s="130"/>
      <c r="AJ79" s="130"/>
      <c r="AK79" s="103"/>
      <c r="AL79" s="103"/>
    </row>
    <row r="80" spans="1:38">
      <c r="A80" s="220"/>
      <c r="B80" s="228" t="s">
        <v>351</v>
      </c>
      <c r="C80" s="103" t="s">
        <v>347</v>
      </c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30"/>
      <c r="AD80" s="103"/>
      <c r="AE80" s="130"/>
      <c r="AF80" s="103"/>
      <c r="AG80" s="130"/>
      <c r="AH80" s="130"/>
      <c r="AI80" s="130"/>
      <c r="AJ80" s="130"/>
      <c r="AK80" s="103"/>
      <c r="AL80" s="103"/>
    </row>
    <row r="81" spans="1:38">
      <c r="A81" s="220"/>
      <c r="B81" s="228"/>
      <c r="C81" s="103" t="s">
        <v>346</v>
      </c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30"/>
      <c r="AD81" s="103"/>
      <c r="AE81" s="130"/>
      <c r="AF81" s="103"/>
      <c r="AG81" s="130"/>
      <c r="AH81" s="130"/>
      <c r="AI81" s="130"/>
      <c r="AJ81" s="130"/>
      <c r="AK81" s="103"/>
      <c r="AL81" s="103"/>
    </row>
    <row r="82" spans="1:38">
      <c r="A82" s="220"/>
      <c r="B82" s="228" t="s">
        <v>350</v>
      </c>
      <c r="C82" s="103" t="s">
        <v>347</v>
      </c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30"/>
      <c r="AD82" s="103"/>
      <c r="AE82" s="130"/>
      <c r="AF82" s="103"/>
      <c r="AG82" s="130"/>
      <c r="AH82" s="130"/>
      <c r="AI82" s="130"/>
      <c r="AJ82" s="130"/>
      <c r="AK82" s="103"/>
      <c r="AL82" s="103"/>
    </row>
    <row r="83" spans="1:38">
      <c r="A83" s="220"/>
      <c r="B83" s="228"/>
      <c r="C83" s="103" t="s">
        <v>346</v>
      </c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30"/>
      <c r="AD83" s="103"/>
      <c r="AE83" s="130"/>
      <c r="AF83" s="103"/>
      <c r="AG83" s="130"/>
      <c r="AH83" s="130"/>
      <c r="AI83" s="130"/>
      <c r="AJ83" s="130"/>
      <c r="AK83" s="103"/>
      <c r="AL83" s="103"/>
    </row>
    <row r="84" spans="1:38">
      <c r="A84" s="220"/>
      <c r="B84" s="228" t="s">
        <v>349</v>
      </c>
      <c r="C84" s="103" t="s">
        <v>347</v>
      </c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30"/>
      <c r="AD84" s="103"/>
      <c r="AE84" s="130"/>
      <c r="AF84" s="103"/>
      <c r="AG84" s="130"/>
      <c r="AH84" s="130"/>
      <c r="AI84" s="130"/>
      <c r="AJ84" s="130"/>
      <c r="AK84" s="103"/>
      <c r="AL84" s="103"/>
    </row>
    <row r="85" spans="1:38">
      <c r="A85" s="220"/>
      <c r="B85" s="228"/>
      <c r="C85" s="103" t="s">
        <v>346</v>
      </c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30"/>
      <c r="AD85" s="103"/>
      <c r="AE85" s="130"/>
      <c r="AF85" s="103"/>
      <c r="AG85" s="130"/>
      <c r="AH85" s="130"/>
      <c r="AI85" s="130"/>
      <c r="AJ85" s="130"/>
      <c r="AK85" s="103"/>
      <c r="AL85" s="103"/>
    </row>
    <row r="86" spans="1:38">
      <c r="A86" s="220"/>
      <c r="B86" s="228" t="s">
        <v>348</v>
      </c>
      <c r="C86" s="103" t="s">
        <v>347</v>
      </c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30"/>
      <c r="AD86" s="103"/>
      <c r="AE86" s="130"/>
      <c r="AF86" s="103"/>
      <c r="AG86" s="130"/>
      <c r="AH86" s="130"/>
      <c r="AI86" s="130"/>
      <c r="AJ86" s="130"/>
      <c r="AK86" s="103"/>
      <c r="AL86" s="103"/>
    </row>
    <row r="87" spans="1:38">
      <c r="A87" s="220"/>
      <c r="B87" s="228"/>
      <c r="C87" s="103" t="s">
        <v>346</v>
      </c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30"/>
      <c r="AD87" s="103"/>
      <c r="AE87" s="130"/>
      <c r="AF87" s="103"/>
      <c r="AG87" s="130"/>
      <c r="AH87" s="130"/>
      <c r="AI87" s="130"/>
      <c r="AJ87" s="130"/>
      <c r="AK87" s="103"/>
      <c r="AL87" s="103"/>
    </row>
    <row r="88" spans="1:38" s="131" customFormat="1">
      <c r="A88" s="233" t="s">
        <v>373</v>
      </c>
      <c r="B88" s="227" t="s">
        <v>372</v>
      </c>
      <c r="C88" s="132" t="s">
        <v>347</v>
      </c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3"/>
      <c r="AD88" s="132"/>
      <c r="AE88" s="133"/>
      <c r="AF88" s="132"/>
      <c r="AG88" s="133"/>
      <c r="AH88" s="133"/>
      <c r="AI88" s="133"/>
      <c r="AJ88" s="133"/>
      <c r="AK88" s="132"/>
      <c r="AL88" s="132"/>
    </row>
    <row r="89" spans="1:38">
      <c r="A89" s="233"/>
      <c r="B89" s="227"/>
      <c r="C89" s="103" t="s">
        <v>346</v>
      </c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30"/>
      <c r="AD89" s="103"/>
      <c r="AE89" s="130"/>
      <c r="AF89" s="103"/>
      <c r="AG89" s="130"/>
      <c r="AH89" s="130"/>
      <c r="AI89" s="130"/>
      <c r="AJ89" s="130"/>
      <c r="AK89" s="103"/>
      <c r="AL89" s="103"/>
    </row>
    <row r="90" spans="1:38">
      <c r="A90" s="233"/>
      <c r="B90" s="227"/>
      <c r="C90" s="103" t="s">
        <v>345</v>
      </c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30"/>
      <c r="AD90" s="103"/>
      <c r="AE90" s="130"/>
      <c r="AF90" s="103"/>
      <c r="AG90" s="130"/>
      <c r="AH90" s="130"/>
      <c r="AI90" s="130"/>
      <c r="AJ90" s="130"/>
      <c r="AK90" s="103"/>
      <c r="AL90" s="103"/>
    </row>
    <row r="91" spans="1:38">
      <c r="A91" s="233"/>
      <c r="B91" s="227"/>
      <c r="C91" s="103" t="s">
        <v>344</v>
      </c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30"/>
      <c r="AD91" s="103"/>
      <c r="AE91" s="130"/>
      <c r="AF91" s="103"/>
      <c r="AG91" s="130"/>
      <c r="AH91" s="130"/>
      <c r="AI91" s="130"/>
      <c r="AJ91" s="130"/>
      <c r="AK91" s="103"/>
      <c r="AL91" s="103"/>
    </row>
    <row r="92" spans="1:38" s="131" customFormat="1">
      <c r="A92" s="233"/>
      <c r="B92" s="227" t="s">
        <v>371</v>
      </c>
      <c r="C92" s="132" t="s">
        <v>347</v>
      </c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3"/>
      <c r="AD92" s="132"/>
      <c r="AE92" s="133"/>
      <c r="AF92" s="132"/>
      <c r="AG92" s="133"/>
      <c r="AH92" s="133"/>
      <c r="AI92" s="133"/>
      <c r="AJ92" s="133"/>
      <c r="AK92" s="132"/>
      <c r="AL92" s="132"/>
    </row>
    <row r="93" spans="1:38">
      <c r="A93" s="233"/>
      <c r="B93" s="227"/>
      <c r="C93" s="103" t="s">
        <v>346</v>
      </c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30"/>
      <c r="AD93" s="103"/>
      <c r="AE93" s="130"/>
      <c r="AF93" s="103"/>
      <c r="AG93" s="130"/>
      <c r="AH93" s="130"/>
      <c r="AI93" s="130"/>
      <c r="AJ93" s="130"/>
      <c r="AK93" s="103"/>
      <c r="AL93" s="103"/>
    </row>
    <row r="94" spans="1:38">
      <c r="A94" s="233"/>
      <c r="B94" s="227"/>
      <c r="C94" s="103" t="s">
        <v>345</v>
      </c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30"/>
      <c r="AD94" s="103"/>
      <c r="AE94" s="130"/>
      <c r="AF94" s="103"/>
      <c r="AG94" s="130"/>
      <c r="AH94" s="130"/>
      <c r="AI94" s="130"/>
      <c r="AJ94" s="130"/>
      <c r="AK94" s="103"/>
      <c r="AL94" s="103"/>
    </row>
    <row r="95" spans="1:38">
      <c r="A95" s="233"/>
      <c r="B95" s="227"/>
      <c r="C95" s="103" t="s">
        <v>344</v>
      </c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30"/>
      <c r="AD95" s="103"/>
      <c r="AE95" s="130"/>
      <c r="AF95" s="103"/>
      <c r="AG95" s="130"/>
      <c r="AH95" s="130"/>
      <c r="AI95" s="130"/>
      <c r="AJ95" s="130"/>
      <c r="AK95" s="103"/>
      <c r="AL95" s="103"/>
    </row>
    <row r="96" spans="1:38" s="131" customFormat="1">
      <c r="A96" s="233"/>
      <c r="B96" s="227" t="s">
        <v>370</v>
      </c>
      <c r="C96" s="132" t="s">
        <v>347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3"/>
      <c r="AD96" s="132"/>
      <c r="AE96" s="133">
        <v>838</v>
      </c>
      <c r="AF96" s="132"/>
      <c r="AG96" s="133"/>
      <c r="AH96" s="133"/>
      <c r="AI96" s="133"/>
      <c r="AJ96" s="133"/>
      <c r="AK96" s="132"/>
      <c r="AL96" s="132"/>
    </row>
    <row r="97" spans="1:38">
      <c r="A97" s="233"/>
      <c r="B97" s="227"/>
      <c r="C97" s="103" t="s">
        <v>346</v>
      </c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30"/>
      <c r="AD97" s="103"/>
      <c r="AE97" s="130">
        <v>858</v>
      </c>
      <c r="AF97" s="103"/>
      <c r="AG97" s="130"/>
      <c r="AH97" s="130"/>
      <c r="AI97" s="130"/>
      <c r="AJ97" s="130"/>
      <c r="AK97" s="103"/>
      <c r="AL97" s="103"/>
    </row>
    <row r="98" spans="1:38">
      <c r="A98" s="233"/>
      <c r="B98" s="227"/>
      <c r="C98" s="103" t="s">
        <v>345</v>
      </c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30"/>
      <c r="AD98" s="103"/>
      <c r="AE98" s="130">
        <v>516</v>
      </c>
      <c r="AF98" s="103"/>
      <c r="AG98" s="130"/>
      <c r="AH98" s="130"/>
      <c r="AI98" s="130"/>
      <c r="AJ98" s="130"/>
      <c r="AK98" s="103"/>
      <c r="AL98" s="103"/>
    </row>
    <row r="99" spans="1:38">
      <c r="A99" s="233"/>
      <c r="B99" s="227"/>
      <c r="C99" s="103" t="s">
        <v>344</v>
      </c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30"/>
      <c r="AD99" s="103"/>
      <c r="AE99" s="130">
        <v>838</v>
      </c>
      <c r="AF99" s="103"/>
      <c r="AG99" s="130"/>
      <c r="AH99" s="130"/>
      <c r="AI99" s="130"/>
      <c r="AJ99" s="130"/>
      <c r="AK99" s="103"/>
      <c r="AL99" s="103"/>
    </row>
    <row r="100" spans="1:38" s="131" customFormat="1">
      <c r="A100" s="233"/>
      <c r="B100" s="227" t="s">
        <v>369</v>
      </c>
      <c r="C100" s="132" t="s">
        <v>347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3"/>
      <c r="AD100" s="132"/>
      <c r="AE100" s="133"/>
      <c r="AF100" s="132">
        <v>1131</v>
      </c>
      <c r="AG100" s="133"/>
      <c r="AH100" s="133"/>
      <c r="AI100" s="133"/>
      <c r="AJ100" s="133"/>
      <c r="AK100" s="132"/>
      <c r="AL100" s="132"/>
    </row>
    <row r="101" spans="1:38">
      <c r="A101" s="233"/>
      <c r="B101" s="227"/>
      <c r="C101" s="103" t="s">
        <v>346</v>
      </c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30"/>
      <c r="AD101" s="103"/>
      <c r="AE101" s="130"/>
      <c r="AF101" s="103">
        <v>1318</v>
      </c>
      <c r="AG101" s="130"/>
      <c r="AH101" s="130"/>
      <c r="AI101" s="130"/>
      <c r="AJ101" s="130"/>
      <c r="AK101" s="103"/>
      <c r="AL101" s="103"/>
    </row>
    <row r="102" spans="1:38">
      <c r="A102" s="233"/>
      <c r="B102" s="227"/>
      <c r="C102" s="103" t="s">
        <v>345</v>
      </c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30"/>
      <c r="AD102" s="103"/>
      <c r="AE102" s="130"/>
      <c r="AF102" s="103">
        <v>1099</v>
      </c>
      <c r="AG102" s="130"/>
      <c r="AH102" s="130"/>
      <c r="AI102" s="130"/>
      <c r="AJ102" s="130"/>
      <c r="AK102" s="103"/>
      <c r="AL102" s="103"/>
    </row>
    <row r="103" spans="1:38">
      <c r="A103" s="233"/>
      <c r="B103" s="227"/>
      <c r="C103" s="103" t="s">
        <v>344</v>
      </c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30"/>
      <c r="AD103" s="103"/>
      <c r="AE103" s="130"/>
      <c r="AF103" s="103">
        <v>1728</v>
      </c>
      <c r="AG103" s="130"/>
      <c r="AH103" s="130"/>
      <c r="AI103" s="130"/>
      <c r="AJ103" s="130"/>
      <c r="AK103" s="103"/>
      <c r="AL103" s="103"/>
    </row>
    <row r="104" spans="1:38" s="131" customFormat="1">
      <c r="A104" s="233"/>
      <c r="B104" s="227" t="s">
        <v>368</v>
      </c>
      <c r="C104" s="132" t="s">
        <v>347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3"/>
      <c r="AD104" s="132"/>
      <c r="AE104" s="133"/>
      <c r="AF104" s="132"/>
      <c r="AG104" s="133"/>
      <c r="AH104" s="133"/>
      <c r="AI104" s="133"/>
      <c r="AJ104" s="133">
        <v>847</v>
      </c>
      <c r="AK104" s="132"/>
      <c r="AL104" s="132"/>
    </row>
    <row r="105" spans="1:38">
      <c r="A105" s="233"/>
      <c r="B105" s="227"/>
      <c r="C105" s="103" t="s">
        <v>346</v>
      </c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30"/>
      <c r="AD105" s="103"/>
      <c r="AE105" s="130"/>
      <c r="AF105" s="103"/>
      <c r="AG105" s="130"/>
      <c r="AH105" s="130"/>
      <c r="AI105" s="130"/>
      <c r="AJ105" s="130">
        <v>1180</v>
      </c>
      <c r="AK105" s="103"/>
      <c r="AL105" s="103"/>
    </row>
    <row r="106" spans="1:38">
      <c r="A106" s="233"/>
      <c r="B106" s="227"/>
      <c r="C106" s="103" t="s">
        <v>345</v>
      </c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30"/>
      <c r="AD106" s="103"/>
      <c r="AE106" s="130"/>
      <c r="AF106" s="103"/>
      <c r="AG106" s="130"/>
      <c r="AH106" s="130"/>
      <c r="AI106" s="130"/>
      <c r="AJ106" s="130">
        <v>754</v>
      </c>
      <c r="AK106" s="103"/>
      <c r="AL106" s="103"/>
    </row>
    <row r="107" spans="1:38">
      <c r="A107" s="233"/>
      <c r="B107" s="227"/>
      <c r="C107" s="103" t="s">
        <v>344</v>
      </c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30"/>
      <c r="AD107" s="103"/>
      <c r="AE107" s="130"/>
      <c r="AF107" s="103"/>
      <c r="AG107" s="130"/>
      <c r="AH107" s="130"/>
      <c r="AI107" s="130"/>
      <c r="AJ107" s="130">
        <v>1411</v>
      </c>
      <c r="AK107" s="103"/>
      <c r="AL107" s="103"/>
    </row>
    <row r="108" spans="1:38" s="131" customFormat="1">
      <c r="A108" s="233"/>
      <c r="B108" s="227" t="s">
        <v>367</v>
      </c>
      <c r="C108" s="132" t="s">
        <v>347</v>
      </c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3">
        <v>1922</v>
      </c>
      <c r="AD108" s="132"/>
      <c r="AE108" s="133"/>
      <c r="AF108" s="132"/>
      <c r="AG108" s="133"/>
      <c r="AH108" s="133"/>
      <c r="AI108" s="133"/>
      <c r="AJ108" s="133"/>
      <c r="AK108" s="132"/>
      <c r="AL108" s="132"/>
    </row>
    <row r="109" spans="1:38">
      <c r="A109" s="233"/>
      <c r="B109" s="227"/>
      <c r="C109" s="103" t="s">
        <v>346</v>
      </c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30">
        <v>2178</v>
      </c>
      <c r="AD109" s="103"/>
      <c r="AE109" s="130"/>
      <c r="AF109" s="103"/>
      <c r="AG109" s="130"/>
      <c r="AH109" s="130"/>
      <c r="AI109" s="130"/>
      <c r="AJ109" s="130"/>
      <c r="AK109" s="103"/>
      <c r="AL109" s="103"/>
    </row>
    <row r="110" spans="1:38">
      <c r="A110" s="233"/>
      <c r="B110" s="227"/>
      <c r="C110" s="103" t="s">
        <v>345</v>
      </c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30">
        <v>1132</v>
      </c>
      <c r="AD110" s="103"/>
      <c r="AE110" s="130"/>
      <c r="AF110" s="103"/>
      <c r="AG110" s="130"/>
      <c r="AH110" s="130"/>
      <c r="AI110" s="130"/>
      <c r="AJ110" s="130"/>
      <c r="AK110" s="103"/>
      <c r="AL110" s="103"/>
    </row>
    <row r="111" spans="1:38">
      <c r="A111" s="233"/>
      <c r="B111" s="227"/>
      <c r="C111" s="103" t="s">
        <v>344</v>
      </c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30">
        <v>1658</v>
      </c>
      <c r="AD111" s="103"/>
      <c r="AE111" s="130"/>
      <c r="AF111" s="103"/>
      <c r="AG111" s="130"/>
      <c r="AH111" s="130"/>
      <c r="AI111" s="130"/>
      <c r="AJ111" s="130"/>
      <c r="AK111" s="103"/>
      <c r="AL111" s="103"/>
    </row>
    <row r="112" spans="1:38" s="131" customFormat="1">
      <c r="A112" s="233"/>
      <c r="B112" s="227" t="s">
        <v>366</v>
      </c>
      <c r="C112" s="132" t="s">
        <v>347</v>
      </c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3"/>
      <c r="AD112" s="132">
        <v>1419</v>
      </c>
      <c r="AE112" s="133"/>
      <c r="AF112" s="132"/>
      <c r="AG112" s="133"/>
      <c r="AH112" s="133"/>
      <c r="AI112" s="133"/>
      <c r="AJ112" s="133"/>
      <c r="AK112" s="132"/>
      <c r="AL112" s="132"/>
    </row>
    <row r="113" spans="1:38">
      <c r="A113" s="233"/>
      <c r="B113" s="227"/>
      <c r="C113" s="103" t="s">
        <v>346</v>
      </c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30"/>
      <c r="AD113" s="103">
        <v>2351</v>
      </c>
      <c r="AE113" s="130"/>
      <c r="AF113" s="103"/>
      <c r="AG113" s="130"/>
      <c r="AH113" s="130"/>
      <c r="AI113" s="130"/>
      <c r="AJ113" s="130"/>
      <c r="AK113" s="103"/>
      <c r="AL113" s="103"/>
    </row>
    <row r="114" spans="1:38">
      <c r="A114" s="233"/>
      <c r="B114" s="227"/>
      <c r="C114" s="103" t="s">
        <v>345</v>
      </c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30"/>
      <c r="AD114" s="103">
        <v>1394</v>
      </c>
      <c r="AE114" s="130"/>
      <c r="AF114" s="103"/>
      <c r="AG114" s="130"/>
      <c r="AH114" s="130"/>
      <c r="AI114" s="130"/>
      <c r="AJ114" s="130"/>
      <c r="AK114" s="103"/>
      <c r="AL114" s="103"/>
    </row>
    <row r="115" spans="1:38">
      <c r="A115" s="233"/>
      <c r="B115" s="227"/>
      <c r="C115" s="103" t="s">
        <v>344</v>
      </c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30"/>
      <c r="AD115" s="103">
        <v>1928</v>
      </c>
      <c r="AE115" s="130"/>
      <c r="AF115" s="103"/>
      <c r="AG115" s="130"/>
      <c r="AH115" s="130"/>
      <c r="AI115" s="130"/>
      <c r="AJ115" s="130"/>
      <c r="AK115" s="103"/>
      <c r="AL115" s="103"/>
    </row>
    <row r="116" spans="1:38" s="131" customFormat="1">
      <c r="A116" s="233"/>
      <c r="B116" s="227" t="s">
        <v>365</v>
      </c>
      <c r="C116" s="132" t="s">
        <v>347</v>
      </c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3"/>
      <c r="AD116" s="132"/>
      <c r="AE116" s="133"/>
      <c r="AF116" s="132"/>
      <c r="AG116" s="133"/>
      <c r="AH116" s="133"/>
      <c r="AI116" s="133"/>
      <c r="AJ116" s="133"/>
      <c r="AK116" s="132"/>
      <c r="AL116" s="132"/>
    </row>
    <row r="117" spans="1:38">
      <c r="A117" s="233"/>
      <c r="B117" s="227"/>
      <c r="C117" s="103" t="s">
        <v>346</v>
      </c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30"/>
      <c r="AD117" s="103"/>
      <c r="AE117" s="130"/>
      <c r="AF117" s="103"/>
      <c r="AG117" s="130"/>
      <c r="AH117" s="130"/>
      <c r="AI117" s="130"/>
      <c r="AJ117" s="130"/>
      <c r="AK117" s="103"/>
      <c r="AL117" s="103"/>
    </row>
    <row r="118" spans="1:38">
      <c r="A118" s="233"/>
      <c r="B118" s="227"/>
      <c r="C118" s="103" t="s">
        <v>345</v>
      </c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30"/>
      <c r="AD118" s="103"/>
      <c r="AE118" s="130"/>
      <c r="AF118" s="103"/>
      <c r="AG118" s="130"/>
      <c r="AH118" s="130"/>
      <c r="AI118" s="130"/>
      <c r="AJ118" s="130"/>
      <c r="AK118" s="103"/>
      <c r="AL118" s="103"/>
    </row>
    <row r="119" spans="1:38">
      <c r="A119" s="233"/>
      <c r="B119" s="227"/>
      <c r="C119" s="103" t="s">
        <v>344</v>
      </c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30"/>
      <c r="AD119" s="103"/>
      <c r="AE119" s="130"/>
      <c r="AF119" s="103"/>
      <c r="AG119" s="130"/>
      <c r="AH119" s="130"/>
      <c r="AI119" s="130"/>
      <c r="AJ119" s="130"/>
      <c r="AK119" s="103"/>
      <c r="AL119" s="103"/>
    </row>
    <row r="120" spans="1:38" s="131" customFormat="1">
      <c r="A120" s="233"/>
      <c r="B120" s="227" t="s">
        <v>364</v>
      </c>
      <c r="C120" s="132" t="s">
        <v>347</v>
      </c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>
        <v>1617</v>
      </c>
      <c r="W120" s="132"/>
      <c r="X120" s="132"/>
      <c r="Y120" s="132"/>
      <c r="Z120" s="132"/>
      <c r="AA120" s="132"/>
      <c r="AB120" s="132"/>
      <c r="AC120" s="133"/>
      <c r="AD120" s="132"/>
      <c r="AE120" s="133"/>
      <c r="AF120" s="132"/>
      <c r="AG120" s="133"/>
      <c r="AH120" s="133"/>
      <c r="AI120" s="133"/>
      <c r="AJ120" s="133"/>
      <c r="AK120" s="132"/>
      <c r="AL120" s="132"/>
    </row>
    <row r="121" spans="1:38">
      <c r="A121" s="233"/>
      <c r="B121" s="227"/>
      <c r="C121" s="103" t="s">
        <v>346</v>
      </c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>
        <v>2386</v>
      </c>
      <c r="W121" s="103"/>
      <c r="X121" s="103"/>
      <c r="Y121" s="103"/>
      <c r="Z121" s="103"/>
      <c r="AA121" s="103"/>
      <c r="AB121" s="103"/>
      <c r="AC121" s="130"/>
      <c r="AD121" s="103"/>
      <c r="AE121" s="130"/>
      <c r="AF121" s="103"/>
      <c r="AG121" s="130"/>
      <c r="AH121" s="130"/>
      <c r="AI121" s="130"/>
      <c r="AJ121" s="130"/>
      <c r="AK121" s="103"/>
      <c r="AL121" s="103"/>
    </row>
    <row r="122" spans="1:38">
      <c r="A122" s="233"/>
      <c r="B122" s="227"/>
      <c r="C122" s="103" t="s">
        <v>345</v>
      </c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>
        <v>869</v>
      </c>
      <c r="W122" s="103"/>
      <c r="X122" s="103"/>
      <c r="Y122" s="103"/>
      <c r="Z122" s="103"/>
      <c r="AA122" s="103"/>
      <c r="AB122" s="103"/>
      <c r="AC122" s="130"/>
      <c r="AD122" s="103"/>
      <c r="AE122" s="130"/>
      <c r="AF122" s="103"/>
      <c r="AG122" s="130"/>
      <c r="AH122" s="130"/>
      <c r="AI122" s="130"/>
      <c r="AJ122" s="130"/>
      <c r="AK122" s="103"/>
      <c r="AL122" s="103"/>
    </row>
    <row r="123" spans="1:38">
      <c r="A123" s="233"/>
      <c r="B123" s="227"/>
      <c r="C123" s="103" t="s">
        <v>344</v>
      </c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>
        <v>2164</v>
      </c>
      <c r="W123" s="103"/>
      <c r="X123" s="103"/>
      <c r="Y123" s="103"/>
      <c r="Z123" s="103"/>
      <c r="AA123" s="103"/>
      <c r="AB123" s="103"/>
      <c r="AC123" s="130"/>
      <c r="AD123" s="103"/>
      <c r="AE123" s="130"/>
      <c r="AF123" s="103"/>
      <c r="AG123" s="130"/>
      <c r="AH123" s="130"/>
      <c r="AI123" s="130"/>
      <c r="AJ123" s="130"/>
      <c r="AK123" s="103"/>
      <c r="AL123" s="103"/>
    </row>
    <row r="124" spans="1:38" s="131" customFormat="1">
      <c r="A124" s="233"/>
      <c r="B124" s="227" t="s">
        <v>363</v>
      </c>
      <c r="C124" s="132" t="s">
        <v>347</v>
      </c>
      <c r="D124" s="132"/>
      <c r="E124" s="132"/>
      <c r="F124" s="132"/>
      <c r="G124" s="132">
        <v>2434</v>
      </c>
      <c r="H124" s="132">
        <v>1868</v>
      </c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>
        <v>2096</v>
      </c>
      <c r="AA124" s="132"/>
      <c r="AB124" s="132"/>
      <c r="AC124" s="133"/>
      <c r="AD124" s="132"/>
      <c r="AE124" s="133"/>
      <c r="AF124" s="132"/>
      <c r="AG124" s="133"/>
      <c r="AH124" s="133"/>
      <c r="AI124" s="133"/>
      <c r="AJ124" s="133"/>
      <c r="AK124" s="132">
        <v>1879</v>
      </c>
      <c r="AL124" s="132"/>
    </row>
    <row r="125" spans="1:38">
      <c r="A125" s="233"/>
      <c r="B125" s="227"/>
      <c r="C125" s="103" t="s">
        <v>346</v>
      </c>
      <c r="D125" s="103"/>
      <c r="E125" s="103"/>
      <c r="F125" s="103"/>
      <c r="G125" s="103">
        <v>2651</v>
      </c>
      <c r="H125" s="103">
        <v>1644</v>
      </c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>
        <v>2140</v>
      </c>
      <c r="AA125" s="103"/>
      <c r="AB125" s="103"/>
      <c r="AC125" s="130"/>
      <c r="AD125" s="103"/>
      <c r="AE125" s="130"/>
      <c r="AF125" s="103"/>
      <c r="AG125" s="130"/>
      <c r="AH125" s="130"/>
      <c r="AI125" s="130"/>
      <c r="AJ125" s="130"/>
      <c r="AK125" s="103">
        <v>2135</v>
      </c>
      <c r="AL125" s="103"/>
    </row>
    <row r="126" spans="1:38">
      <c r="A126" s="233"/>
      <c r="B126" s="227"/>
      <c r="C126" s="103" t="s">
        <v>345</v>
      </c>
      <c r="D126" s="103"/>
      <c r="E126" s="103"/>
      <c r="F126" s="103"/>
      <c r="G126" s="103">
        <v>2280</v>
      </c>
      <c r="H126" s="103">
        <v>952</v>
      </c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>
        <v>924</v>
      </c>
      <c r="AA126" s="103"/>
      <c r="AB126" s="103"/>
      <c r="AC126" s="130"/>
      <c r="AD126" s="103"/>
      <c r="AE126" s="130"/>
      <c r="AF126" s="103"/>
      <c r="AG126" s="130"/>
      <c r="AH126" s="130"/>
      <c r="AI126" s="130"/>
      <c r="AJ126" s="130"/>
      <c r="AK126" s="103">
        <v>1611</v>
      </c>
      <c r="AL126" s="103"/>
    </row>
    <row r="127" spans="1:38">
      <c r="A127" s="233"/>
      <c r="B127" s="227"/>
      <c r="C127" s="103" t="s">
        <v>344</v>
      </c>
      <c r="D127" s="103"/>
      <c r="E127" s="103"/>
      <c r="F127" s="103"/>
      <c r="G127" s="103">
        <v>3910</v>
      </c>
      <c r="H127" s="103">
        <v>2955</v>
      </c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>
        <v>2810</v>
      </c>
      <c r="AA127" s="103"/>
      <c r="AB127" s="103"/>
      <c r="AC127" s="130"/>
      <c r="AD127" s="103"/>
      <c r="AE127" s="130"/>
      <c r="AF127" s="103"/>
      <c r="AG127" s="130"/>
      <c r="AH127" s="130"/>
      <c r="AI127" s="130"/>
      <c r="AJ127" s="130"/>
      <c r="AK127" s="103">
        <v>2921</v>
      </c>
      <c r="AL127" s="103"/>
    </row>
    <row r="128" spans="1:38" s="131" customFormat="1">
      <c r="A128" s="233"/>
      <c r="B128" s="227" t="s">
        <v>362</v>
      </c>
      <c r="C128" s="132" t="s">
        <v>347</v>
      </c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>
        <v>2186</v>
      </c>
      <c r="R128" s="132"/>
      <c r="S128" s="132"/>
      <c r="T128" s="132">
        <v>2062</v>
      </c>
      <c r="U128" s="132">
        <v>2016</v>
      </c>
      <c r="V128" s="132"/>
      <c r="W128" s="132"/>
      <c r="X128" s="132"/>
      <c r="Y128" s="132"/>
      <c r="Z128" s="132"/>
      <c r="AA128" s="132"/>
      <c r="AB128" s="132">
        <v>2423</v>
      </c>
      <c r="AC128" s="133"/>
      <c r="AD128" s="132"/>
      <c r="AE128" s="133"/>
      <c r="AF128" s="132"/>
      <c r="AG128" s="133"/>
      <c r="AH128" s="133"/>
      <c r="AI128" s="133"/>
      <c r="AJ128" s="133"/>
      <c r="AK128" s="132"/>
      <c r="AL128" s="132"/>
    </row>
    <row r="129" spans="1:38">
      <c r="A129" s="233"/>
      <c r="B129" s="227"/>
      <c r="C129" s="103" t="s">
        <v>346</v>
      </c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>
        <v>2564</v>
      </c>
      <c r="R129" s="103"/>
      <c r="S129" s="103"/>
      <c r="T129" s="103">
        <v>3000</v>
      </c>
      <c r="U129" s="103">
        <v>2803</v>
      </c>
      <c r="V129" s="103"/>
      <c r="W129" s="103"/>
      <c r="X129" s="103"/>
      <c r="Y129" s="103"/>
      <c r="Z129" s="103"/>
      <c r="AA129" s="103"/>
      <c r="AB129" s="103">
        <v>3036</v>
      </c>
      <c r="AC129" s="130"/>
      <c r="AD129" s="103"/>
      <c r="AE129" s="130"/>
      <c r="AF129" s="103"/>
      <c r="AG129" s="130"/>
      <c r="AH129" s="130"/>
      <c r="AI129" s="130"/>
      <c r="AJ129" s="130"/>
      <c r="AK129" s="103"/>
      <c r="AL129" s="103"/>
    </row>
    <row r="130" spans="1:38">
      <c r="A130" s="233"/>
      <c r="B130" s="227"/>
      <c r="C130" s="103" t="s">
        <v>345</v>
      </c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>
        <v>1569</v>
      </c>
      <c r="R130" s="103"/>
      <c r="S130" s="103"/>
      <c r="T130" s="103">
        <v>1450</v>
      </c>
      <c r="U130" s="103">
        <v>1322</v>
      </c>
      <c r="V130" s="103"/>
      <c r="W130" s="103"/>
      <c r="X130" s="103"/>
      <c r="Y130" s="103"/>
      <c r="Z130" s="103"/>
      <c r="AA130" s="103"/>
      <c r="AB130" s="103">
        <v>1485</v>
      </c>
      <c r="AC130" s="130"/>
      <c r="AD130" s="103"/>
      <c r="AE130" s="130"/>
      <c r="AF130" s="103"/>
      <c r="AG130" s="130"/>
      <c r="AH130" s="130"/>
      <c r="AI130" s="130"/>
      <c r="AJ130" s="130"/>
      <c r="AK130" s="103"/>
      <c r="AL130" s="103"/>
    </row>
    <row r="131" spans="1:38">
      <c r="A131" s="233"/>
      <c r="B131" s="227"/>
      <c r="C131" s="103" t="s">
        <v>344</v>
      </c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>
        <v>3146</v>
      </c>
      <c r="R131" s="103"/>
      <c r="S131" s="103"/>
      <c r="T131" s="103">
        <v>3094</v>
      </c>
      <c r="U131" s="103">
        <v>2739</v>
      </c>
      <c r="V131" s="103"/>
      <c r="W131" s="103"/>
      <c r="X131" s="103"/>
      <c r="Y131" s="103"/>
      <c r="Z131" s="103"/>
      <c r="AA131" s="103"/>
      <c r="AB131" s="103">
        <v>3489</v>
      </c>
      <c r="AC131" s="130"/>
      <c r="AD131" s="103"/>
      <c r="AE131" s="130"/>
      <c r="AF131" s="103"/>
      <c r="AG131" s="130"/>
      <c r="AH131" s="130"/>
      <c r="AI131" s="130"/>
      <c r="AJ131" s="130"/>
      <c r="AK131" s="103"/>
      <c r="AL131" s="103"/>
    </row>
    <row r="132" spans="1:38" s="131" customFormat="1">
      <c r="A132" s="233"/>
      <c r="B132" s="227" t="s">
        <v>361</v>
      </c>
      <c r="C132" s="132" t="s">
        <v>347</v>
      </c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>
        <v>2170</v>
      </c>
      <c r="Y132" s="132"/>
      <c r="Z132" s="132"/>
      <c r="AA132" s="132"/>
      <c r="AB132" s="132"/>
      <c r="AC132" s="133"/>
      <c r="AD132" s="132"/>
      <c r="AE132" s="133"/>
      <c r="AF132" s="132"/>
      <c r="AG132" s="133">
        <v>2115</v>
      </c>
      <c r="AH132" s="133">
        <v>2996</v>
      </c>
      <c r="AI132" s="133"/>
      <c r="AJ132" s="133"/>
      <c r="AK132" s="132"/>
      <c r="AL132" s="132"/>
    </row>
    <row r="133" spans="1:38">
      <c r="A133" s="233"/>
      <c r="B133" s="227"/>
      <c r="C133" s="103" t="s">
        <v>346</v>
      </c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>
        <v>2756</v>
      </c>
      <c r="Y133" s="103"/>
      <c r="Z133" s="103"/>
      <c r="AA133" s="103"/>
      <c r="AB133" s="103"/>
      <c r="AC133" s="130"/>
      <c r="AD133" s="103"/>
      <c r="AE133" s="130"/>
      <c r="AF133" s="103"/>
      <c r="AG133" s="130">
        <v>2391</v>
      </c>
      <c r="AH133" s="130">
        <v>2738</v>
      </c>
      <c r="AI133" s="130"/>
      <c r="AJ133" s="130"/>
      <c r="AK133" s="103"/>
      <c r="AL133" s="103"/>
    </row>
    <row r="134" spans="1:38">
      <c r="A134" s="233"/>
      <c r="B134" s="227"/>
      <c r="C134" s="103" t="s">
        <v>345</v>
      </c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>
        <v>1705</v>
      </c>
      <c r="Y134" s="103"/>
      <c r="Z134" s="103"/>
      <c r="AA134" s="103"/>
      <c r="AB134" s="103"/>
      <c r="AC134" s="130"/>
      <c r="AD134" s="103"/>
      <c r="AE134" s="130"/>
      <c r="AF134" s="103"/>
      <c r="AG134" s="130">
        <v>1932</v>
      </c>
      <c r="AH134" s="130">
        <v>2088</v>
      </c>
      <c r="AI134" s="130"/>
      <c r="AJ134" s="130"/>
      <c r="AK134" s="103"/>
      <c r="AL134" s="103"/>
    </row>
    <row r="135" spans="1:38">
      <c r="A135" s="233"/>
      <c r="B135" s="227"/>
      <c r="C135" s="103" t="s">
        <v>344</v>
      </c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>
        <v>3229</v>
      </c>
      <c r="Y135" s="103"/>
      <c r="Z135" s="103"/>
      <c r="AA135" s="103"/>
      <c r="AB135" s="103"/>
      <c r="AC135" s="130"/>
      <c r="AD135" s="103"/>
      <c r="AE135" s="130"/>
      <c r="AF135" s="103"/>
      <c r="AG135" s="130">
        <v>3145</v>
      </c>
      <c r="AH135" s="130">
        <v>4175</v>
      </c>
      <c r="AI135" s="130"/>
      <c r="AJ135" s="130"/>
      <c r="AK135" s="103"/>
      <c r="AL135" s="103"/>
    </row>
    <row r="136" spans="1:38" s="131" customFormat="1">
      <c r="A136" s="233"/>
      <c r="B136" s="227" t="s">
        <v>360</v>
      </c>
      <c r="C136" s="132" t="s">
        <v>347</v>
      </c>
      <c r="D136" s="132"/>
      <c r="E136" s="132"/>
      <c r="F136" s="132"/>
      <c r="G136" s="132"/>
      <c r="H136" s="132"/>
      <c r="I136" s="132">
        <v>2215</v>
      </c>
      <c r="J136" s="132">
        <v>2400</v>
      </c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>
        <v>2466</v>
      </c>
      <c r="Z136" s="132"/>
      <c r="AA136" s="132">
        <v>2175</v>
      </c>
      <c r="AB136" s="132"/>
      <c r="AC136" s="133"/>
      <c r="AD136" s="132"/>
      <c r="AE136" s="133"/>
      <c r="AF136" s="132"/>
      <c r="AG136" s="133"/>
      <c r="AH136" s="133"/>
      <c r="AI136" s="133"/>
      <c r="AJ136" s="133"/>
      <c r="AK136" s="132"/>
      <c r="AL136" s="132"/>
    </row>
    <row r="137" spans="1:38">
      <c r="A137" s="233"/>
      <c r="B137" s="227"/>
      <c r="C137" s="103" t="s">
        <v>346</v>
      </c>
      <c r="D137" s="103"/>
      <c r="E137" s="103"/>
      <c r="F137" s="103"/>
      <c r="G137" s="103"/>
      <c r="H137" s="103"/>
      <c r="I137" s="103">
        <v>2591</v>
      </c>
      <c r="J137" s="103">
        <v>2080</v>
      </c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>
        <v>2978</v>
      </c>
      <c r="Z137" s="103"/>
      <c r="AA137" s="103">
        <v>2694</v>
      </c>
      <c r="AB137" s="103"/>
      <c r="AC137" s="130"/>
      <c r="AD137" s="103"/>
      <c r="AE137" s="130"/>
      <c r="AF137" s="103"/>
      <c r="AG137" s="130"/>
      <c r="AH137" s="130"/>
      <c r="AI137" s="130"/>
      <c r="AJ137" s="130"/>
      <c r="AK137" s="103"/>
      <c r="AL137" s="103"/>
    </row>
    <row r="138" spans="1:38">
      <c r="A138" s="233"/>
      <c r="B138" s="227"/>
      <c r="C138" s="103" t="s">
        <v>345</v>
      </c>
      <c r="D138" s="103"/>
      <c r="E138" s="103"/>
      <c r="F138" s="103"/>
      <c r="G138" s="103"/>
      <c r="H138" s="103"/>
      <c r="I138" s="103">
        <v>1812</v>
      </c>
      <c r="J138" s="103">
        <v>1288</v>
      </c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>
        <v>1583</v>
      </c>
      <c r="Z138" s="103"/>
      <c r="AA138" s="103">
        <v>1670</v>
      </c>
      <c r="AB138" s="103"/>
      <c r="AC138" s="130"/>
      <c r="AD138" s="103"/>
      <c r="AE138" s="130"/>
      <c r="AF138" s="103"/>
      <c r="AG138" s="130"/>
      <c r="AH138" s="130"/>
      <c r="AI138" s="130"/>
      <c r="AJ138" s="130"/>
      <c r="AK138" s="103"/>
      <c r="AL138" s="103"/>
    </row>
    <row r="139" spans="1:38">
      <c r="A139" s="233"/>
      <c r="B139" s="227"/>
      <c r="C139" s="103" t="s">
        <v>344</v>
      </c>
      <c r="D139" s="103"/>
      <c r="E139" s="103"/>
      <c r="F139" s="103"/>
      <c r="G139" s="103"/>
      <c r="H139" s="103"/>
      <c r="I139" s="103">
        <v>3459</v>
      </c>
      <c r="J139" s="103">
        <v>3874</v>
      </c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>
        <v>3479</v>
      </c>
      <c r="Z139" s="103"/>
      <c r="AA139" s="103">
        <v>2941</v>
      </c>
      <c r="AB139" s="103"/>
      <c r="AC139" s="130"/>
      <c r="AD139" s="103"/>
      <c r="AE139" s="130"/>
      <c r="AF139" s="103"/>
      <c r="AG139" s="130"/>
      <c r="AH139" s="130"/>
      <c r="AI139" s="130"/>
      <c r="AJ139" s="130"/>
      <c r="AK139" s="103"/>
      <c r="AL139" s="103"/>
    </row>
    <row r="140" spans="1:38" s="131" customFormat="1">
      <c r="A140" s="233"/>
      <c r="B140" s="227" t="s">
        <v>359</v>
      </c>
      <c r="C140" s="132" t="s">
        <v>347</v>
      </c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3"/>
      <c r="AD140" s="132"/>
      <c r="AE140" s="133"/>
      <c r="AF140" s="132"/>
      <c r="AG140" s="133"/>
      <c r="AH140" s="133"/>
      <c r="AI140" s="133"/>
      <c r="AJ140" s="133"/>
      <c r="AK140" s="132"/>
      <c r="AL140" s="132"/>
    </row>
    <row r="141" spans="1:38">
      <c r="A141" s="233"/>
      <c r="B141" s="227"/>
      <c r="C141" s="103" t="s">
        <v>346</v>
      </c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30"/>
      <c r="AD141" s="103"/>
      <c r="AE141" s="130"/>
      <c r="AF141" s="103"/>
      <c r="AG141" s="130"/>
      <c r="AH141" s="130"/>
      <c r="AI141" s="130"/>
      <c r="AJ141" s="130"/>
      <c r="AK141" s="103"/>
      <c r="AL141" s="103"/>
    </row>
    <row r="142" spans="1:38">
      <c r="A142" s="233"/>
      <c r="B142" s="227"/>
      <c r="C142" s="103" t="s">
        <v>345</v>
      </c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30"/>
      <c r="AD142" s="103"/>
      <c r="AE142" s="130"/>
      <c r="AF142" s="103"/>
      <c r="AG142" s="130"/>
      <c r="AH142" s="130"/>
      <c r="AI142" s="130"/>
      <c r="AJ142" s="130"/>
      <c r="AK142" s="103"/>
      <c r="AL142" s="103"/>
    </row>
    <row r="143" spans="1:38">
      <c r="A143" s="233"/>
      <c r="B143" s="227"/>
      <c r="C143" s="103" t="s">
        <v>344</v>
      </c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30"/>
      <c r="AD143" s="103"/>
      <c r="AE143" s="130"/>
      <c r="AF143" s="103"/>
      <c r="AG143" s="130"/>
      <c r="AH143" s="130"/>
      <c r="AI143" s="130"/>
      <c r="AJ143" s="130"/>
      <c r="AK143" s="103"/>
      <c r="AL143" s="103"/>
    </row>
    <row r="144" spans="1:38" s="131" customFormat="1">
      <c r="A144" s="233"/>
      <c r="B144" s="227" t="s">
        <v>358</v>
      </c>
      <c r="C144" s="132" t="s">
        <v>347</v>
      </c>
      <c r="D144" s="132"/>
      <c r="E144" s="132"/>
      <c r="F144" s="132">
        <v>2844</v>
      </c>
      <c r="G144" s="132"/>
      <c r="H144" s="132"/>
      <c r="I144" s="132"/>
      <c r="J144" s="132"/>
      <c r="K144" s="132">
        <v>2563</v>
      </c>
      <c r="L144" s="132">
        <v>2967</v>
      </c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3"/>
      <c r="AD144" s="132"/>
      <c r="AE144" s="133"/>
      <c r="AF144" s="132"/>
      <c r="AG144" s="133"/>
      <c r="AH144" s="133"/>
      <c r="AI144" s="133"/>
      <c r="AJ144" s="133"/>
      <c r="AK144" s="132"/>
      <c r="AL144" s="132"/>
    </row>
    <row r="145" spans="1:38">
      <c r="A145" s="233"/>
      <c r="B145" s="227"/>
      <c r="C145" s="103" t="s">
        <v>346</v>
      </c>
      <c r="D145" s="103"/>
      <c r="E145" s="103"/>
      <c r="F145" s="103">
        <v>2869</v>
      </c>
      <c r="G145" s="103"/>
      <c r="H145" s="103"/>
      <c r="I145" s="103"/>
      <c r="J145" s="103"/>
      <c r="K145" s="103">
        <v>3127</v>
      </c>
      <c r="L145" s="103">
        <v>3318</v>
      </c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30"/>
      <c r="AD145" s="103"/>
      <c r="AE145" s="130"/>
      <c r="AF145" s="103"/>
      <c r="AG145" s="130"/>
      <c r="AH145" s="130"/>
      <c r="AI145" s="130"/>
      <c r="AJ145" s="130"/>
      <c r="AK145" s="103"/>
      <c r="AL145" s="103"/>
    </row>
    <row r="146" spans="1:38">
      <c r="A146" s="233"/>
      <c r="B146" s="227"/>
      <c r="C146" s="103" t="s">
        <v>345</v>
      </c>
      <c r="D146" s="103"/>
      <c r="E146" s="103"/>
      <c r="F146" s="103">
        <v>1559</v>
      </c>
      <c r="G146" s="103"/>
      <c r="H146" s="103"/>
      <c r="I146" s="103"/>
      <c r="J146" s="103"/>
      <c r="K146" s="103">
        <v>2413</v>
      </c>
      <c r="L146" s="103">
        <v>2748</v>
      </c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30"/>
      <c r="AD146" s="103"/>
      <c r="AE146" s="130"/>
      <c r="AF146" s="103"/>
      <c r="AG146" s="130"/>
      <c r="AH146" s="130"/>
      <c r="AI146" s="130"/>
      <c r="AJ146" s="130"/>
      <c r="AK146" s="103"/>
      <c r="AL146" s="103"/>
    </row>
    <row r="147" spans="1:38">
      <c r="A147" s="233"/>
      <c r="B147" s="227"/>
      <c r="C147" s="103" t="s">
        <v>344</v>
      </c>
      <c r="D147" s="103"/>
      <c r="E147" s="103"/>
      <c r="F147" s="103">
        <v>4357</v>
      </c>
      <c r="G147" s="103"/>
      <c r="H147" s="103"/>
      <c r="I147" s="103"/>
      <c r="J147" s="103"/>
      <c r="K147" s="103">
        <v>3325</v>
      </c>
      <c r="L147" s="103">
        <v>4372</v>
      </c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30"/>
      <c r="AD147" s="103"/>
      <c r="AE147" s="130"/>
      <c r="AF147" s="103"/>
      <c r="AG147" s="130"/>
      <c r="AH147" s="130"/>
      <c r="AI147" s="130"/>
      <c r="AJ147" s="130"/>
      <c r="AK147" s="103"/>
      <c r="AL147" s="103"/>
    </row>
    <row r="148" spans="1:38" s="131" customFormat="1">
      <c r="A148" s="233"/>
      <c r="B148" s="227" t="s">
        <v>357</v>
      </c>
      <c r="C148" s="132" t="s">
        <v>347</v>
      </c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>
        <v>2886</v>
      </c>
      <c r="X148" s="132"/>
      <c r="Y148" s="132"/>
      <c r="Z148" s="132"/>
      <c r="AA148" s="132"/>
      <c r="AB148" s="132"/>
      <c r="AC148" s="133"/>
      <c r="AD148" s="132"/>
      <c r="AE148" s="133"/>
      <c r="AF148" s="132"/>
      <c r="AG148" s="133"/>
      <c r="AH148" s="133"/>
      <c r="AI148" s="133"/>
      <c r="AJ148" s="133"/>
      <c r="AK148" s="132"/>
      <c r="AL148" s="132"/>
    </row>
    <row r="149" spans="1:38">
      <c r="A149" s="233"/>
      <c r="B149" s="227"/>
      <c r="C149" s="103" t="s">
        <v>346</v>
      </c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>
        <v>3454</v>
      </c>
      <c r="X149" s="103"/>
      <c r="Y149" s="103"/>
      <c r="Z149" s="103"/>
      <c r="AA149" s="103"/>
      <c r="AB149" s="103"/>
      <c r="AC149" s="130"/>
      <c r="AD149" s="103"/>
      <c r="AE149" s="130"/>
      <c r="AF149" s="103"/>
      <c r="AG149" s="130"/>
      <c r="AH149" s="130"/>
      <c r="AI149" s="130"/>
      <c r="AJ149" s="130"/>
      <c r="AK149" s="103"/>
      <c r="AL149" s="103"/>
    </row>
    <row r="150" spans="1:38">
      <c r="A150" s="233"/>
      <c r="B150" s="227"/>
      <c r="C150" s="103" t="s">
        <v>345</v>
      </c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>
        <v>1922</v>
      </c>
      <c r="X150" s="103"/>
      <c r="Y150" s="103"/>
      <c r="Z150" s="103"/>
      <c r="AA150" s="103"/>
      <c r="AB150" s="103"/>
      <c r="AC150" s="130"/>
      <c r="AD150" s="103"/>
      <c r="AE150" s="130"/>
      <c r="AF150" s="103"/>
      <c r="AG150" s="130"/>
      <c r="AH150" s="130"/>
      <c r="AI150" s="130"/>
      <c r="AJ150" s="130"/>
      <c r="AK150" s="103"/>
      <c r="AL150" s="103"/>
    </row>
    <row r="151" spans="1:38">
      <c r="A151" s="233"/>
      <c r="B151" s="227"/>
      <c r="C151" s="103" t="s">
        <v>344</v>
      </c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>
        <v>3974</v>
      </c>
      <c r="X151" s="103"/>
      <c r="Y151" s="103"/>
      <c r="Z151" s="103"/>
      <c r="AA151" s="103"/>
      <c r="AB151" s="103"/>
      <c r="AC151" s="130"/>
      <c r="AD151" s="103"/>
      <c r="AE151" s="130"/>
      <c r="AF151" s="103"/>
      <c r="AG151" s="130"/>
      <c r="AH151" s="130"/>
      <c r="AI151" s="130"/>
      <c r="AJ151" s="130"/>
      <c r="AK151" s="103"/>
      <c r="AL151" s="103"/>
    </row>
    <row r="152" spans="1:38" s="131" customFormat="1">
      <c r="A152" s="233"/>
      <c r="B152" s="227" t="s">
        <v>356</v>
      </c>
      <c r="C152" s="132" t="s">
        <v>347</v>
      </c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3"/>
      <c r="AD152" s="132"/>
      <c r="AE152" s="133"/>
      <c r="AF152" s="132"/>
      <c r="AG152" s="133"/>
      <c r="AH152" s="133"/>
      <c r="AI152" s="133"/>
      <c r="AJ152" s="133"/>
      <c r="AK152" s="132"/>
      <c r="AL152" s="132"/>
    </row>
    <row r="153" spans="1:38">
      <c r="A153" s="233"/>
      <c r="B153" s="227"/>
      <c r="C153" s="103" t="s">
        <v>346</v>
      </c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30"/>
      <c r="AD153" s="103"/>
      <c r="AE153" s="130"/>
      <c r="AF153" s="103"/>
      <c r="AG153" s="130"/>
      <c r="AH153" s="130"/>
      <c r="AI153" s="130"/>
      <c r="AJ153" s="130"/>
      <c r="AK153" s="103"/>
      <c r="AL153" s="103"/>
    </row>
    <row r="154" spans="1:38">
      <c r="A154" s="233"/>
      <c r="B154" s="227"/>
      <c r="C154" s="103" t="s">
        <v>345</v>
      </c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30"/>
      <c r="AD154" s="103"/>
      <c r="AE154" s="130"/>
      <c r="AF154" s="103"/>
      <c r="AG154" s="130"/>
      <c r="AH154" s="130"/>
      <c r="AI154" s="130"/>
      <c r="AJ154" s="130"/>
      <c r="AK154" s="103"/>
      <c r="AL154" s="103"/>
    </row>
    <row r="155" spans="1:38">
      <c r="A155" s="233"/>
      <c r="B155" s="227"/>
      <c r="C155" s="103" t="s">
        <v>344</v>
      </c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30"/>
      <c r="AD155" s="103"/>
      <c r="AE155" s="130"/>
      <c r="AF155" s="103"/>
      <c r="AG155" s="130"/>
      <c r="AH155" s="130"/>
      <c r="AI155" s="130"/>
      <c r="AJ155" s="130"/>
      <c r="AK155" s="103"/>
      <c r="AL155" s="103"/>
    </row>
    <row r="156" spans="1:38" s="131" customFormat="1">
      <c r="A156" s="233"/>
      <c r="B156" s="227" t="s">
        <v>355</v>
      </c>
      <c r="C156" s="132" t="s">
        <v>347</v>
      </c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3"/>
      <c r="AD156" s="132"/>
      <c r="AE156" s="133"/>
      <c r="AF156" s="132"/>
      <c r="AG156" s="133"/>
      <c r="AH156" s="133"/>
      <c r="AI156" s="133"/>
      <c r="AJ156" s="133"/>
      <c r="AK156" s="132"/>
      <c r="AL156" s="132"/>
    </row>
    <row r="157" spans="1:38">
      <c r="A157" s="233"/>
      <c r="B157" s="227"/>
      <c r="C157" s="103" t="s">
        <v>346</v>
      </c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30"/>
      <c r="AD157" s="103"/>
      <c r="AE157" s="130"/>
      <c r="AF157" s="103"/>
      <c r="AG157" s="130"/>
      <c r="AH157" s="130"/>
      <c r="AI157" s="130"/>
      <c r="AJ157" s="130"/>
      <c r="AK157" s="103"/>
      <c r="AL157" s="103"/>
    </row>
    <row r="158" spans="1:38">
      <c r="A158" s="233"/>
      <c r="B158" s="227"/>
      <c r="C158" s="103" t="s">
        <v>345</v>
      </c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30"/>
      <c r="AD158" s="103"/>
      <c r="AE158" s="130"/>
      <c r="AF158" s="103"/>
      <c r="AG158" s="130"/>
      <c r="AH158" s="130"/>
      <c r="AI158" s="130"/>
      <c r="AJ158" s="130"/>
      <c r="AK158" s="103"/>
      <c r="AL158" s="103"/>
    </row>
    <row r="159" spans="1:38">
      <c r="A159" s="233"/>
      <c r="B159" s="227"/>
      <c r="C159" s="103" t="s">
        <v>344</v>
      </c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30"/>
      <c r="AD159" s="103"/>
      <c r="AE159" s="130"/>
      <c r="AF159" s="103"/>
      <c r="AG159" s="130"/>
      <c r="AH159" s="130"/>
      <c r="AI159" s="130"/>
      <c r="AJ159" s="130"/>
      <c r="AK159" s="103"/>
      <c r="AL159" s="103"/>
    </row>
    <row r="160" spans="1:38" s="131" customFormat="1">
      <c r="A160" s="233"/>
      <c r="B160" s="227" t="s">
        <v>354</v>
      </c>
      <c r="C160" s="132" t="s">
        <v>347</v>
      </c>
      <c r="D160" s="132"/>
      <c r="E160" s="132">
        <v>3213</v>
      </c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3"/>
      <c r="AD160" s="132"/>
      <c r="AE160" s="133"/>
      <c r="AF160" s="132"/>
      <c r="AG160" s="133"/>
      <c r="AH160" s="133"/>
      <c r="AI160" s="133"/>
      <c r="AJ160" s="133"/>
      <c r="AK160" s="132"/>
      <c r="AL160" s="132"/>
    </row>
    <row r="161" spans="1:38">
      <c r="A161" s="233"/>
      <c r="B161" s="227"/>
      <c r="C161" s="103" t="s">
        <v>346</v>
      </c>
      <c r="D161" s="103"/>
      <c r="E161" s="103">
        <v>3720</v>
      </c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30"/>
      <c r="AD161" s="103"/>
      <c r="AE161" s="130"/>
      <c r="AF161" s="103"/>
      <c r="AG161" s="130"/>
      <c r="AH161" s="130"/>
      <c r="AI161" s="130"/>
      <c r="AJ161" s="130"/>
      <c r="AK161" s="103"/>
      <c r="AL161" s="103"/>
    </row>
    <row r="162" spans="1:38">
      <c r="A162" s="233"/>
      <c r="B162" s="227"/>
      <c r="C162" s="103" t="s">
        <v>345</v>
      </c>
      <c r="D162" s="103"/>
      <c r="E162" s="103">
        <v>2221</v>
      </c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30"/>
      <c r="AD162" s="103"/>
      <c r="AE162" s="130"/>
      <c r="AF162" s="103"/>
      <c r="AG162" s="130"/>
      <c r="AH162" s="130"/>
      <c r="AI162" s="130"/>
      <c r="AJ162" s="130"/>
      <c r="AK162" s="103"/>
      <c r="AL162" s="103"/>
    </row>
    <row r="163" spans="1:38">
      <c r="A163" s="233"/>
      <c r="B163" s="227"/>
      <c r="C163" s="103" t="s">
        <v>344</v>
      </c>
      <c r="D163" s="103"/>
      <c r="E163" s="103">
        <v>4613</v>
      </c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30"/>
      <c r="AD163" s="103"/>
      <c r="AE163" s="130"/>
      <c r="AF163" s="103"/>
      <c r="AG163" s="130"/>
      <c r="AH163" s="130"/>
      <c r="AI163" s="130"/>
      <c r="AJ163" s="130"/>
      <c r="AK163" s="103"/>
      <c r="AL163" s="103"/>
    </row>
    <row r="164" spans="1:38" s="131" customFormat="1">
      <c r="A164" s="233"/>
      <c r="B164" s="227" t="s">
        <v>353</v>
      </c>
      <c r="C164" s="132" t="s">
        <v>347</v>
      </c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3"/>
      <c r="AD164" s="132"/>
      <c r="AE164" s="133"/>
      <c r="AF164" s="132"/>
      <c r="AG164" s="133"/>
      <c r="AH164" s="133"/>
      <c r="AI164" s="133"/>
      <c r="AJ164" s="133"/>
      <c r="AK164" s="132"/>
      <c r="AL164" s="132"/>
    </row>
    <row r="165" spans="1:38">
      <c r="A165" s="233"/>
      <c r="B165" s="227"/>
      <c r="C165" s="103" t="s">
        <v>346</v>
      </c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30"/>
      <c r="AD165" s="103"/>
      <c r="AE165" s="130"/>
      <c r="AF165" s="103"/>
      <c r="AG165" s="130"/>
      <c r="AH165" s="130"/>
      <c r="AI165" s="130"/>
      <c r="AJ165" s="130"/>
      <c r="AK165" s="103"/>
      <c r="AL165" s="103"/>
    </row>
    <row r="166" spans="1:38">
      <c r="A166" s="233"/>
      <c r="B166" s="227"/>
      <c r="C166" s="103" t="s">
        <v>345</v>
      </c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30"/>
      <c r="AD166" s="103"/>
      <c r="AE166" s="130"/>
      <c r="AF166" s="103"/>
      <c r="AG166" s="130"/>
      <c r="AH166" s="130"/>
      <c r="AI166" s="130"/>
      <c r="AJ166" s="130"/>
      <c r="AK166" s="103"/>
      <c r="AL166" s="103"/>
    </row>
    <row r="167" spans="1:38">
      <c r="A167" s="233"/>
      <c r="B167" s="227"/>
      <c r="C167" s="103" t="s">
        <v>344</v>
      </c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30"/>
      <c r="AD167" s="103"/>
      <c r="AE167" s="130"/>
      <c r="AF167" s="103"/>
      <c r="AG167" s="130"/>
      <c r="AH167" s="130"/>
      <c r="AI167" s="130"/>
      <c r="AJ167" s="130"/>
      <c r="AK167" s="103"/>
      <c r="AL167" s="103"/>
    </row>
    <row r="168" spans="1:38" s="131" customFormat="1">
      <c r="A168" s="233"/>
      <c r="B168" s="227" t="s">
        <v>352</v>
      </c>
      <c r="C168" s="132" t="s">
        <v>347</v>
      </c>
      <c r="D168" s="132">
        <v>3232</v>
      </c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3"/>
      <c r="AD168" s="132"/>
      <c r="AE168" s="133"/>
      <c r="AF168" s="132"/>
      <c r="AG168" s="133"/>
      <c r="AH168" s="133"/>
      <c r="AI168" s="133"/>
      <c r="AJ168" s="133"/>
      <c r="AK168" s="132"/>
      <c r="AL168" s="132"/>
    </row>
    <row r="169" spans="1:38">
      <c r="A169" s="233"/>
      <c r="B169" s="227"/>
      <c r="C169" s="103" t="s">
        <v>346</v>
      </c>
      <c r="D169" s="103">
        <v>4848</v>
      </c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30"/>
      <c r="AD169" s="103"/>
      <c r="AE169" s="130"/>
      <c r="AF169" s="103"/>
      <c r="AG169" s="130"/>
      <c r="AH169" s="130"/>
      <c r="AI169" s="130"/>
      <c r="AJ169" s="130"/>
      <c r="AK169" s="103"/>
      <c r="AL169" s="103"/>
    </row>
    <row r="170" spans="1:38">
      <c r="A170" s="233"/>
      <c r="B170" s="227"/>
      <c r="C170" s="103" t="s">
        <v>345</v>
      </c>
      <c r="D170" s="103">
        <v>2513</v>
      </c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30"/>
      <c r="AD170" s="103"/>
      <c r="AE170" s="130"/>
      <c r="AF170" s="103"/>
      <c r="AG170" s="130"/>
      <c r="AH170" s="130"/>
      <c r="AI170" s="130"/>
      <c r="AJ170" s="130"/>
      <c r="AK170" s="103"/>
      <c r="AL170" s="103"/>
    </row>
    <row r="171" spans="1:38">
      <c r="A171" s="233"/>
      <c r="B171" s="227"/>
      <c r="C171" s="103" t="s">
        <v>344</v>
      </c>
      <c r="D171" s="103">
        <v>4835</v>
      </c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30"/>
      <c r="AD171" s="103"/>
      <c r="AE171" s="130"/>
      <c r="AF171" s="103"/>
      <c r="AG171" s="130"/>
      <c r="AH171" s="130"/>
      <c r="AI171" s="130"/>
      <c r="AJ171" s="130"/>
      <c r="AK171" s="103"/>
      <c r="AL171" s="103"/>
    </row>
    <row r="172" spans="1:38" s="131" customFormat="1">
      <c r="A172" s="233"/>
      <c r="B172" s="227" t="s">
        <v>351</v>
      </c>
      <c r="C172" s="132" t="s">
        <v>347</v>
      </c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3"/>
      <c r="AD172" s="132"/>
      <c r="AE172" s="133"/>
      <c r="AF172" s="132"/>
      <c r="AG172" s="133"/>
      <c r="AH172" s="133"/>
      <c r="AI172" s="133">
        <v>3949</v>
      </c>
      <c r="AJ172" s="133"/>
      <c r="AK172" s="132"/>
      <c r="AL172" s="132"/>
    </row>
    <row r="173" spans="1:38">
      <c r="A173" s="233"/>
      <c r="B173" s="227"/>
      <c r="C173" s="103" t="s">
        <v>346</v>
      </c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30"/>
      <c r="AD173" s="103"/>
      <c r="AE173" s="130"/>
      <c r="AF173" s="103"/>
      <c r="AG173" s="130"/>
      <c r="AH173" s="130"/>
      <c r="AI173" s="130">
        <v>4441</v>
      </c>
      <c r="AJ173" s="130"/>
      <c r="AK173" s="103"/>
      <c r="AL173" s="103"/>
    </row>
    <row r="174" spans="1:38">
      <c r="A174" s="233"/>
      <c r="B174" s="227"/>
      <c r="C174" s="103" t="s">
        <v>345</v>
      </c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30"/>
      <c r="AD174" s="103"/>
      <c r="AE174" s="130"/>
      <c r="AF174" s="103"/>
      <c r="AG174" s="130"/>
      <c r="AH174" s="130"/>
      <c r="AI174" s="130">
        <v>4506</v>
      </c>
      <c r="AJ174" s="130"/>
      <c r="AK174" s="103"/>
      <c r="AL174" s="103"/>
    </row>
    <row r="175" spans="1:38">
      <c r="A175" s="233"/>
      <c r="B175" s="227"/>
      <c r="C175" s="103" t="s">
        <v>344</v>
      </c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30"/>
      <c r="AD175" s="103"/>
      <c r="AE175" s="130"/>
      <c r="AF175" s="103"/>
      <c r="AG175" s="130"/>
      <c r="AH175" s="130"/>
      <c r="AI175" s="130">
        <v>5552</v>
      </c>
      <c r="AJ175" s="130"/>
      <c r="AK175" s="103"/>
      <c r="AL175" s="103"/>
    </row>
    <row r="176" spans="1:38" s="131" customFormat="1">
      <c r="A176" s="233"/>
      <c r="B176" s="227" t="s">
        <v>350</v>
      </c>
      <c r="C176" s="132" t="s">
        <v>347</v>
      </c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3"/>
      <c r="AD176" s="132"/>
      <c r="AE176" s="133"/>
      <c r="AF176" s="132"/>
      <c r="AG176" s="133"/>
      <c r="AH176" s="133"/>
      <c r="AI176" s="133"/>
      <c r="AJ176" s="133"/>
      <c r="AK176" s="132"/>
      <c r="AL176" s="132"/>
    </row>
    <row r="177" spans="1:38">
      <c r="A177" s="233"/>
      <c r="B177" s="227"/>
      <c r="C177" s="103" t="s">
        <v>346</v>
      </c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30"/>
      <c r="AD177" s="103"/>
      <c r="AE177" s="130"/>
      <c r="AF177" s="103"/>
      <c r="AG177" s="130"/>
      <c r="AH177" s="130"/>
      <c r="AI177" s="130"/>
      <c r="AJ177" s="130"/>
      <c r="AK177" s="103"/>
      <c r="AL177" s="103"/>
    </row>
    <row r="178" spans="1:38">
      <c r="A178" s="233"/>
      <c r="B178" s="227"/>
      <c r="C178" s="103" t="s">
        <v>345</v>
      </c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30"/>
      <c r="AD178" s="103"/>
      <c r="AE178" s="130"/>
      <c r="AF178" s="103"/>
      <c r="AG178" s="130"/>
      <c r="AH178" s="130"/>
      <c r="AI178" s="130"/>
      <c r="AJ178" s="130"/>
      <c r="AK178" s="103"/>
      <c r="AL178" s="103"/>
    </row>
    <row r="179" spans="1:38">
      <c r="A179" s="233"/>
      <c r="B179" s="227"/>
      <c r="C179" s="103" t="s">
        <v>344</v>
      </c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30"/>
      <c r="AD179" s="103"/>
      <c r="AE179" s="130"/>
      <c r="AF179" s="103"/>
      <c r="AG179" s="130"/>
      <c r="AH179" s="130"/>
      <c r="AI179" s="130"/>
      <c r="AJ179" s="130"/>
      <c r="AK179" s="103"/>
      <c r="AL179" s="103"/>
    </row>
    <row r="180" spans="1:38" s="131" customFormat="1">
      <c r="A180" s="233"/>
      <c r="B180" s="227" t="s">
        <v>349</v>
      </c>
      <c r="C180" s="132" t="s">
        <v>347</v>
      </c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3"/>
      <c r="AD180" s="132"/>
      <c r="AE180" s="133"/>
      <c r="AF180" s="132"/>
      <c r="AG180" s="133"/>
      <c r="AH180" s="133"/>
      <c r="AI180" s="133"/>
      <c r="AJ180" s="133"/>
      <c r="AK180" s="132"/>
      <c r="AL180" s="132"/>
    </row>
    <row r="181" spans="1:38">
      <c r="A181" s="233"/>
      <c r="B181" s="227"/>
      <c r="C181" s="103" t="s">
        <v>346</v>
      </c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30"/>
      <c r="AD181" s="103"/>
      <c r="AE181" s="130"/>
      <c r="AF181" s="103"/>
      <c r="AG181" s="130"/>
      <c r="AH181" s="130"/>
      <c r="AI181" s="130"/>
      <c r="AJ181" s="130"/>
      <c r="AK181" s="103"/>
      <c r="AL181" s="103"/>
    </row>
    <row r="182" spans="1:38">
      <c r="A182" s="233"/>
      <c r="B182" s="227"/>
      <c r="C182" s="103" t="s">
        <v>345</v>
      </c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30"/>
      <c r="AD182" s="103"/>
      <c r="AE182" s="130"/>
      <c r="AF182" s="103"/>
      <c r="AG182" s="130"/>
      <c r="AH182" s="130"/>
      <c r="AI182" s="130"/>
      <c r="AJ182" s="130"/>
      <c r="AK182" s="103"/>
      <c r="AL182" s="103"/>
    </row>
    <row r="183" spans="1:38">
      <c r="A183" s="233"/>
      <c r="B183" s="227"/>
      <c r="C183" s="103" t="s">
        <v>344</v>
      </c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30"/>
      <c r="AD183" s="103"/>
      <c r="AE183" s="130"/>
      <c r="AF183" s="103"/>
      <c r="AG183" s="130"/>
      <c r="AH183" s="130"/>
      <c r="AI183" s="130"/>
      <c r="AJ183" s="130"/>
      <c r="AK183" s="103"/>
      <c r="AL183" s="103"/>
    </row>
    <row r="184" spans="1:38" s="131" customFormat="1">
      <c r="A184" s="233"/>
      <c r="B184" s="227" t="s">
        <v>348</v>
      </c>
      <c r="C184" s="132" t="s">
        <v>347</v>
      </c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3"/>
      <c r="AD184" s="132"/>
      <c r="AE184" s="133"/>
      <c r="AF184" s="132"/>
      <c r="AG184" s="133"/>
      <c r="AH184" s="133"/>
      <c r="AI184" s="133"/>
      <c r="AJ184" s="133"/>
      <c r="AK184" s="132"/>
      <c r="AL184" s="132"/>
    </row>
    <row r="185" spans="1:38">
      <c r="A185" s="233"/>
      <c r="B185" s="227"/>
      <c r="C185" s="103" t="s">
        <v>346</v>
      </c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30"/>
      <c r="AD185" s="103"/>
      <c r="AE185" s="130"/>
      <c r="AF185" s="103"/>
      <c r="AG185" s="130"/>
      <c r="AH185" s="130"/>
      <c r="AI185" s="130"/>
      <c r="AJ185" s="130"/>
      <c r="AK185" s="103"/>
      <c r="AL185" s="103"/>
    </row>
    <row r="186" spans="1:38">
      <c r="A186" s="233"/>
      <c r="B186" s="227"/>
      <c r="C186" s="103" t="s">
        <v>345</v>
      </c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30"/>
      <c r="AD186" s="103"/>
      <c r="AE186" s="130"/>
      <c r="AF186" s="103"/>
      <c r="AG186" s="130"/>
      <c r="AH186" s="130"/>
      <c r="AI186" s="130"/>
      <c r="AJ186" s="130"/>
      <c r="AK186" s="103"/>
      <c r="AL186" s="103"/>
    </row>
    <row r="187" spans="1:38">
      <c r="A187" s="233"/>
      <c r="B187" s="227"/>
      <c r="C187" s="103" t="s">
        <v>344</v>
      </c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30"/>
      <c r="AD187" s="103"/>
      <c r="AE187" s="130"/>
      <c r="AF187" s="103"/>
      <c r="AG187" s="130"/>
      <c r="AH187" s="130"/>
      <c r="AI187" s="130"/>
      <c r="AJ187" s="130"/>
      <c r="AK187" s="103"/>
      <c r="AL187" s="103"/>
    </row>
  </sheetData>
  <mergeCells count="101">
    <mergeCell ref="L3:L6"/>
    <mergeCell ref="M3:M6"/>
    <mergeCell ref="O3:O6"/>
    <mergeCell ref="P3:P6"/>
    <mergeCell ref="Q3:Q6"/>
    <mergeCell ref="R3:R6"/>
    <mergeCell ref="S3:S6"/>
    <mergeCell ref="N3:N6"/>
    <mergeCell ref="AL3:AL6"/>
    <mergeCell ref="AJ3:AJ6"/>
    <mergeCell ref="AK3:AK6"/>
    <mergeCell ref="AB3:AB6"/>
    <mergeCell ref="AC3:AC6"/>
    <mergeCell ref="AD3:AD6"/>
    <mergeCell ref="AE3:AE6"/>
    <mergeCell ref="AF3:AF6"/>
    <mergeCell ref="AM3:AM6"/>
    <mergeCell ref="AN3:AN6"/>
    <mergeCell ref="A1:C1"/>
    <mergeCell ref="A2:C2"/>
    <mergeCell ref="W3:W6"/>
    <mergeCell ref="U3:U6"/>
    <mergeCell ref="V3:V6"/>
    <mergeCell ref="AA3:AA6"/>
    <mergeCell ref="A3:C6"/>
    <mergeCell ref="J3:J6"/>
    <mergeCell ref="F3:F6"/>
    <mergeCell ref="X3:X6"/>
    <mergeCell ref="H3:H6"/>
    <mergeCell ref="G3:G6"/>
    <mergeCell ref="AG3:AG6"/>
    <mergeCell ref="AH3:AH6"/>
    <mergeCell ref="D3:D6"/>
    <mergeCell ref="E3:E6"/>
    <mergeCell ref="Y3:Y6"/>
    <mergeCell ref="Z3:Z6"/>
    <mergeCell ref="T3:T6"/>
    <mergeCell ref="I3:I6"/>
    <mergeCell ref="K3:K6"/>
    <mergeCell ref="AI3:AI6"/>
    <mergeCell ref="B128:B131"/>
    <mergeCell ref="B78:B79"/>
    <mergeCell ref="B80:B81"/>
    <mergeCell ref="A7:A22"/>
    <mergeCell ref="B7:B10"/>
    <mergeCell ref="B11:B14"/>
    <mergeCell ref="B15:B18"/>
    <mergeCell ref="B19:B22"/>
    <mergeCell ref="B86:B87"/>
    <mergeCell ref="B68:B69"/>
    <mergeCell ref="B104:B107"/>
    <mergeCell ref="B108:B111"/>
    <mergeCell ref="B112:B115"/>
    <mergeCell ref="B116:B119"/>
    <mergeCell ref="B120:B123"/>
    <mergeCell ref="B124:B127"/>
    <mergeCell ref="B82:B83"/>
    <mergeCell ref="B84:B85"/>
    <mergeCell ref="B62:B63"/>
    <mergeCell ref="A88:A187"/>
    <mergeCell ref="B88:B91"/>
    <mergeCell ref="B92:B95"/>
    <mergeCell ref="B96:B99"/>
    <mergeCell ref="B100:B103"/>
    <mergeCell ref="B76:B77"/>
    <mergeCell ref="A23:A37"/>
    <mergeCell ref="B23:B27"/>
    <mergeCell ref="B28:B32"/>
    <mergeCell ref="B33:B37"/>
    <mergeCell ref="A38:A87"/>
    <mergeCell ref="B64:B65"/>
    <mergeCell ref="B66:B67"/>
    <mergeCell ref="B48:B49"/>
    <mergeCell ref="B38:B39"/>
    <mergeCell ref="B40:B41"/>
    <mergeCell ref="B42:B43"/>
    <mergeCell ref="B44:B45"/>
    <mergeCell ref="B46:B47"/>
    <mergeCell ref="B70:B71"/>
    <mergeCell ref="B50:B51"/>
    <mergeCell ref="B52:B53"/>
    <mergeCell ref="B54:B55"/>
    <mergeCell ref="B56:B57"/>
    <mergeCell ref="B58:B59"/>
    <mergeCell ref="B60:B61"/>
    <mergeCell ref="B72:B73"/>
    <mergeCell ref="B74:B75"/>
    <mergeCell ref="B184:B187"/>
    <mergeCell ref="B160:B163"/>
    <mergeCell ref="B164:B167"/>
    <mergeCell ref="B168:B171"/>
    <mergeCell ref="B172:B175"/>
    <mergeCell ref="B176:B179"/>
    <mergeCell ref="B180:B183"/>
    <mergeCell ref="B156:B159"/>
    <mergeCell ref="B132:B135"/>
    <mergeCell ref="B136:B139"/>
    <mergeCell ref="B140:B143"/>
    <mergeCell ref="B144:B147"/>
    <mergeCell ref="B148:B151"/>
    <mergeCell ref="B152:B15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B3E14-D186-4498-82C9-6F3EB927D166}">
  <dimension ref="A3:AE116"/>
  <sheetViews>
    <sheetView zoomScale="52" zoomScaleNormal="85" workbookViewId="0">
      <selection activeCell="T49" sqref="T49"/>
    </sheetView>
  </sheetViews>
  <sheetFormatPr defaultRowHeight="14.25"/>
  <cols>
    <col min="1" max="1" width="11.375" customWidth="1"/>
    <col min="2" max="2" width="14.25" customWidth="1"/>
    <col min="11" max="11" width="15" customWidth="1"/>
    <col min="12" max="12" width="13.25" customWidth="1"/>
    <col min="13" max="13" width="8.875" customWidth="1"/>
    <col min="20" max="20" width="17.75" customWidth="1"/>
  </cols>
  <sheetData>
    <row r="3" spans="1:31">
      <c r="A3" s="158" t="s">
        <v>494</v>
      </c>
      <c r="B3" s="158">
        <v>7.24</v>
      </c>
      <c r="D3" s="89"/>
      <c r="E3" s="103" t="s">
        <v>478</v>
      </c>
      <c r="F3" s="160" t="s">
        <v>385</v>
      </c>
      <c r="G3" s="254" t="s">
        <v>382</v>
      </c>
      <c r="H3" s="254"/>
      <c r="I3" s="254"/>
      <c r="J3" s="159"/>
      <c r="K3" s="89"/>
      <c r="L3" s="241" t="s">
        <v>493</v>
      </c>
      <c r="M3" s="254" t="s">
        <v>385</v>
      </c>
      <c r="N3" s="254"/>
      <c r="O3" s="254"/>
      <c r="P3" s="254"/>
      <c r="Q3" s="254"/>
      <c r="R3" s="254"/>
      <c r="S3" s="254"/>
      <c r="T3" s="254"/>
      <c r="U3" s="254"/>
      <c r="V3" s="103" t="s">
        <v>347</v>
      </c>
      <c r="W3" s="103" t="s">
        <v>346</v>
      </c>
      <c r="X3" s="103" t="s">
        <v>345</v>
      </c>
      <c r="Y3" s="103" t="s">
        <v>344</v>
      </c>
      <c r="AA3" s="241" t="s">
        <v>492</v>
      </c>
      <c r="AB3" s="179" t="s">
        <v>491</v>
      </c>
      <c r="AC3" s="180"/>
      <c r="AD3" s="180"/>
      <c r="AE3" s="181"/>
    </row>
    <row r="4" spans="1:31">
      <c r="A4" s="158" t="s">
        <v>490</v>
      </c>
      <c r="B4" s="158">
        <v>39</v>
      </c>
      <c r="D4" s="263" t="s">
        <v>489</v>
      </c>
      <c r="E4" s="197" t="s">
        <v>347</v>
      </c>
      <c r="F4" s="197">
        <v>39</v>
      </c>
      <c r="G4" s="197">
        <v>74</v>
      </c>
      <c r="H4" s="103" t="s">
        <v>291</v>
      </c>
      <c r="I4" s="103">
        <v>35</v>
      </c>
      <c r="J4" s="89"/>
      <c r="K4" s="89"/>
      <c r="L4" s="242"/>
      <c r="M4" s="103">
        <v>30</v>
      </c>
      <c r="N4" s="103"/>
      <c r="O4" s="103"/>
      <c r="P4" s="103"/>
      <c r="Q4" s="103"/>
      <c r="R4" s="103"/>
      <c r="S4" s="103"/>
      <c r="T4" s="103"/>
      <c r="U4" s="103"/>
      <c r="V4" s="197"/>
      <c r="W4" s="197"/>
      <c r="X4" s="197"/>
      <c r="Y4" s="197"/>
      <c r="Z4" s="89"/>
      <c r="AA4" s="242"/>
      <c r="AB4" s="144">
        <v>31</v>
      </c>
      <c r="AC4" s="144">
        <v>19</v>
      </c>
      <c r="AD4" s="144">
        <v>10</v>
      </c>
      <c r="AE4" s="144">
        <v>11</v>
      </c>
    </row>
    <row r="5" spans="1:31">
      <c r="A5" s="158" t="s">
        <v>488</v>
      </c>
      <c r="B5" s="158">
        <v>19</v>
      </c>
      <c r="D5" s="264"/>
      <c r="E5" s="197"/>
      <c r="F5" s="197"/>
      <c r="G5" s="197"/>
      <c r="H5" s="103" t="s">
        <v>293</v>
      </c>
      <c r="I5" s="103">
        <v>39</v>
      </c>
      <c r="J5" s="89"/>
      <c r="K5" s="89"/>
      <c r="L5" s="242"/>
      <c r="M5" s="103"/>
      <c r="N5" s="103"/>
      <c r="O5" s="103"/>
      <c r="P5" s="103"/>
      <c r="Q5" s="103"/>
      <c r="R5" s="103"/>
      <c r="S5" s="103"/>
      <c r="T5" s="103"/>
      <c r="U5" s="103"/>
      <c r="V5" s="197"/>
      <c r="W5" s="197"/>
      <c r="X5" s="197"/>
      <c r="Y5" s="197"/>
      <c r="Z5" s="89"/>
      <c r="AA5" s="242"/>
      <c r="AB5" s="144">
        <v>12</v>
      </c>
      <c r="AC5" s="144">
        <v>25</v>
      </c>
      <c r="AD5" s="144">
        <v>20</v>
      </c>
      <c r="AE5" s="144">
        <v>41</v>
      </c>
    </row>
    <row r="6" spans="1:31">
      <c r="A6" s="158" t="s">
        <v>487</v>
      </c>
      <c r="B6" s="158" t="s">
        <v>486</v>
      </c>
      <c r="D6" s="264"/>
      <c r="E6" s="197" t="s">
        <v>346</v>
      </c>
      <c r="F6" s="197">
        <v>41</v>
      </c>
      <c r="G6" s="197">
        <v>79</v>
      </c>
      <c r="H6" s="103" t="s">
        <v>291</v>
      </c>
      <c r="I6" s="103">
        <v>6</v>
      </c>
      <c r="J6" s="89"/>
      <c r="K6" s="89"/>
      <c r="L6" s="242"/>
      <c r="M6" s="254" t="s">
        <v>382</v>
      </c>
      <c r="N6" s="254"/>
      <c r="O6" s="254"/>
      <c r="P6" s="254"/>
      <c r="Q6" s="254"/>
      <c r="R6" s="254"/>
      <c r="S6" s="254"/>
      <c r="T6" s="254"/>
      <c r="U6" s="254"/>
      <c r="V6" s="103" t="s">
        <v>347</v>
      </c>
      <c r="W6" s="103" t="s">
        <v>346</v>
      </c>
      <c r="X6" s="103" t="s">
        <v>345</v>
      </c>
      <c r="Y6" s="103" t="s">
        <v>344</v>
      </c>
      <c r="Z6" s="89"/>
      <c r="AA6" s="242"/>
      <c r="AB6" s="144">
        <v>32</v>
      </c>
      <c r="AC6" s="144">
        <v>6</v>
      </c>
      <c r="AD6" s="144">
        <v>2</v>
      </c>
      <c r="AE6" s="144">
        <v>29</v>
      </c>
    </row>
    <row r="7" spans="1:31">
      <c r="D7" s="264"/>
      <c r="E7" s="197"/>
      <c r="F7" s="197"/>
      <c r="G7" s="197"/>
      <c r="H7" s="103" t="s">
        <v>293</v>
      </c>
      <c r="I7" s="103">
        <v>57</v>
      </c>
      <c r="J7" s="89"/>
      <c r="K7" s="89"/>
      <c r="L7" s="242"/>
      <c r="M7" s="103">
        <v>13</v>
      </c>
      <c r="N7" s="103">
        <v>3</v>
      </c>
      <c r="O7" s="103"/>
      <c r="P7" s="103"/>
      <c r="Q7" s="103"/>
      <c r="R7" s="103"/>
      <c r="S7" s="103"/>
      <c r="T7" s="103"/>
      <c r="U7" s="103"/>
      <c r="V7" s="197"/>
      <c r="W7" s="197"/>
      <c r="X7" s="197"/>
      <c r="Y7" s="197"/>
      <c r="Z7" s="89"/>
      <c r="AA7" s="242"/>
      <c r="AB7" s="144">
        <v>15</v>
      </c>
      <c r="AC7" s="144">
        <v>40</v>
      </c>
      <c r="AD7" s="144">
        <v>30</v>
      </c>
      <c r="AE7" s="144">
        <v>8</v>
      </c>
    </row>
    <row r="8" spans="1:31">
      <c r="D8" s="264"/>
      <c r="E8" s="197"/>
      <c r="F8" s="197"/>
      <c r="G8" s="197"/>
      <c r="H8" s="103">
        <v>113</v>
      </c>
      <c r="I8" s="103">
        <v>10</v>
      </c>
      <c r="J8" s="89"/>
      <c r="K8" s="89"/>
      <c r="L8" s="242"/>
      <c r="M8" s="103">
        <v>40</v>
      </c>
      <c r="N8" s="103">
        <v>8</v>
      </c>
      <c r="O8" s="103"/>
      <c r="P8" s="103"/>
      <c r="Q8" s="103"/>
      <c r="R8" s="103"/>
      <c r="S8" s="103"/>
      <c r="T8" s="103"/>
      <c r="U8" s="103"/>
      <c r="V8" s="197"/>
      <c r="W8" s="197"/>
      <c r="X8" s="197"/>
      <c r="Y8" s="197"/>
      <c r="Z8" s="89"/>
      <c r="AA8" s="242"/>
      <c r="AB8" s="144">
        <v>3</v>
      </c>
      <c r="AC8" s="144">
        <v>9</v>
      </c>
      <c r="AD8" s="144">
        <v>34</v>
      </c>
      <c r="AE8" s="144"/>
    </row>
    <row r="9" spans="1:31">
      <c r="D9" s="264"/>
      <c r="E9" s="197" t="s">
        <v>345</v>
      </c>
      <c r="F9" s="197">
        <v>50</v>
      </c>
      <c r="G9" s="197">
        <v>76</v>
      </c>
      <c r="H9" s="103">
        <v>212</v>
      </c>
      <c r="I9" s="103">
        <v>38</v>
      </c>
      <c r="J9" s="89"/>
      <c r="K9" s="89"/>
      <c r="L9" s="242"/>
      <c r="M9" s="254" t="s">
        <v>381</v>
      </c>
      <c r="N9" s="254"/>
      <c r="O9" s="254"/>
      <c r="P9" s="254"/>
      <c r="Q9" s="254"/>
      <c r="R9" s="254"/>
      <c r="S9" s="254"/>
      <c r="T9" s="254"/>
      <c r="U9" s="254"/>
      <c r="V9" s="103" t="s">
        <v>347</v>
      </c>
      <c r="W9" s="103" t="s">
        <v>346</v>
      </c>
      <c r="X9" s="103" t="s">
        <v>345</v>
      </c>
      <c r="Y9" s="103" t="s">
        <v>344</v>
      </c>
      <c r="Z9" s="89"/>
      <c r="AA9" s="242"/>
      <c r="AB9" s="144"/>
      <c r="AC9" s="144"/>
      <c r="AD9" s="144"/>
      <c r="AE9" s="144"/>
    </row>
    <row r="10" spans="1:31">
      <c r="D10" s="264"/>
      <c r="E10" s="197"/>
      <c r="F10" s="197"/>
      <c r="G10" s="197"/>
      <c r="H10" s="103">
        <v>1121</v>
      </c>
      <c r="I10" s="103">
        <v>27</v>
      </c>
      <c r="J10" s="89"/>
      <c r="K10" s="89"/>
      <c r="L10" s="242"/>
      <c r="M10" s="103">
        <v>40</v>
      </c>
      <c r="N10" s="103">
        <v>8</v>
      </c>
      <c r="O10" s="103"/>
      <c r="P10" s="103"/>
      <c r="Q10" s="103"/>
      <c r="R10" s="103"/>
      <c r="S10" s="103"/>
      <c r="T10" s="103"/>
      <c r="U10" s="103"/>
      <c r="V10" s="197"/>
      <c r="W10" s="197"/>
      <c r="X10" s="197"/>
      <c r="Y10" s="197"/>
      <c r="Z10" s="89"/>
      <c r="AA10" s="242"/>
      <c r="AB10" s="144"/>
      <c r="AC10" s="144"/>
      <c r="AD10" s="144"/>
      <c r="AE10" s="144"/>
    </row>
    <row r="11" spans="1:31">
      <c r="D11" s="264"/>
      <c r="E11" s="197"/>
      <c r="F11" s="197"/>
      <c r="G11" s="197"/>
      <c r="H11" s="103">
        <v>112</v>
      </c>
      <c r="I11" s="103">
        <v>11</v>
      </c>
      <c r="J11" s="89"/>
      <c r="K11" s="89"/>
      <c r="L11" s="242"/>
      <c r="M11" s="103">
        <v>3</v>
      </c>
      <c r="N11" s="103">
        <v>30</v>
      </c>
      <c r="O11" s="103"/>
      <c r="P11" s="103"/>
      <c r="Q11" s="103"/>
      <c r="R11" s="103"/>
      <c r="S11" s="103"/>
      <c r="T11" s="103"/>
      <c r="U11" s="103"/>
      <c r="V11" s="197"/>
      <c r="W11" s="197"/>
      <c r="X11" s="197"/>
      <c r="Y11" s="197"/>
      <c r="Z11" s="89"/>
      <c r="AA11" s="242"/>
      <c r="AB11" s="144"/>
      <c r="AC11" s="144"/>
      <c r="AD11" s="144"/>
      <c r="AE11" s="144"/>
    </row>
    <row r="12" spans="1:31">
      <c r="D12" s="264"/>
      <c r="E12" s="197" t="s">
        <v>344</v>
      </c>
      <c r="F12" s="197">
        <v>0</v>
      </c>
      <c r="G12" s="197">
        <v>60</v>
      </c>
      <c r="H12" s="103" t="s">
        <v>302</v>
      </c>
      <c r="I12" s="103">
        <v>55</v>
      </c>
      <c r="J12" s="89"/>
      <c r="K12" s="89"/>
      <c r="L12" s="242"/>
      <c r="M12" s="254" t="s">
        <v>387</v>
      </c>
      <c r="N12" s="254"/>
      <c r="O12" s="254"/>
      <c r="P12" s="254"/>
      <c r="Q12" s="254"/>
      <c r="R12" s="254"/>
      <c r="S12" s="254"/>
      <c r="T12" s="254"/>
      <c r="U12" s="254"/>
      <c r="V12" s="103" t="s">
        <v>347</v>
      </c>
      <c r="W12" s="103" t="s">
        <v>346</v>
      </c>
      <c r="X12" s="103" t="s">
        <v>345</v>
      </c>
      <c r="Y12" s="103" t="s">
        <v>344</v>
      </c>
      <c r="Z12" s="89"/>
      <c r="AA12" s="242"/>
      <c r="AB12" s="103" t="s">
        <v>347</v>
      </c>
      <c r="AC12" s="103" t="s">
        <v>346</v>
      </c>
      <c r="AD12" s="103" t="s">
        <v>345</v>
      </c>
      <c r="AE12" s="103" t="s">
        <v>344</v>
      </c>
    </row>
    <row r="13" spans="1:31">
      <c r="D13" s="264"/>
      <c r="E13" s="197"/>
      <c r="F13" s="197"/>
      <c r="G13" s="197"/>
      <c r="H13" s="103">
        <v>111</v>
      </c>
      <c r="I13" s="103">
        <v>5</v>
      </c>
      <c r="J13" s="89"/>
      <c r="K13" s="89"/>
      <c r="L13" s="242"/>
      <c r="M13" s="103">
        <v>1</v>
      </c>
      <c r="N13" s="103">
        <v>40</v>
      </c>
      <c r="O13" s="103">
        <v>8</v>
      </c>
      <c r="P13" s="103">
        <v>30</v>
      </c>
      <c r="Q13" s="103"/>
      <c r="R13" s="103"/>
      <c r="S13" s="103"/>
      <c r="T13" s="103"/>
      <c r="U13" s="103"/>
      <c r="V13" s="197"/>
      <c r="W13" s="197"/>
      <c r="X13" s="197"/>
      <c r="Y13" s="197"/>
      <c r="Z13" s="89"/>
      <c r="AA13" s="242"/>
      <c r="AB13" s="197"/>
      <c r="AC13" s="197"/>
      <c r="AD13" s="197"/>
      <c r="AE13" s="197"/>
    </row>
    <row r="14" spans="1:31">
      <c r="D14" s="89"/>
      <c r="E14" s="89"/>
      <c r="F14" s="89"/>
      <c r="G14" s="89"/>
      <c r="H14" s="89"/>
      <c r="I14" s="89"/>
      <c r="J14" s="89"/>
      <c r="K14" s="89"/>
      <c r="L14" s="242"/>
      <c r="M14" s="103">
        <v>16</v>
      </c>
      <c r="N14" s="103">
        <v>3</v>
      </c>
      <c r="O14" s="103">
        <v>6</v>
      </c>
      <c r="P14" s="103"/>
      <c r="Q14" s="103"/>
      <c r="R14" s="103"/>
      <c r="S14" s="103"/>
      <c r="T14" s="103"/>
      <c r="U14" s="103"/>
      <c r="V14" s="197"/>
      <c r="W14" s="197"/>
      <c r="X14" s="197"/>
      <c r="Y14" s="197"/>
      <c r="Z14" s="89"/>
      <c r="AA14" s="242"/>
      <c r="AB14" s="197"/>
      <c r="AC14" s="197"/>
      <c r="AD14" s="197"/>
      <c r="AE14" s="197"/>
    </row>
    <row r="15" spans="1:31">
      <c r="D15" s="2"/>
    </row>
    <row r="16" spans="1:31">
      <c r="D16" s="2"/>
    </row>
    <row r="17" spans="1:27">
      <c r="D17" s="2"/>
    </row>
    <row r="19" spans="1:27">
      <c r="A19" s="231" t="s">
        <v>385</v>
      </c>
      <c r="B19" s="255" t="s">
        <v>485</v>
      </c>
      <c r="C19" s="234" t="s">
        <v>470</v>
      </c>
      <c r="D19" s="234"/>
      <c r="E19" s="234"/>
      <c r="F19" s="234"/>
      <c r="G19" s="234"/>
      <c r="H19" s="234"/>
      <c r="I19" s="234"/>
      <c r="J19" s="141"/>
      <c r="K19" s="228" t="s">
        <v>478</v>
      </c>
      <c r="L19" s="223" t="s">
        <v>468</v>
      </c>
      <c r="M19" s="223"/>
      <c r="N19" s="223"/>
      <c r="O19" s="223"/>
      <c r="P19" s="223"/>
      <c r="Q19" s="223"/>
      <c r="R19" s="223"/>
      <c r="S19" s="271" t="s">
        <v>467</v>
      </c>
      <c r="T19" s="228" t="s">
        <v>466</v>
      </c>
      <c r="U19" s="235" t="s">
        <v>465</v>
      </c>
      <c r="V19" s="235"/>
      <c r="W19" s="235"/>
      <c r="X19" s="235"/>
      <c r="Y19" s="235"/>
      <c r="Z19" s="235"/>
      <c r="AA19" s="235"/>
    </row>
    <row r="20" spans="1:27">
      <c r="A20" s="231"/>
      <c r="B20" s="255"/>
      <c r="C20" s="103" t="s">
        <v>7</v>
      </c>
      <c r="D20" s="103" t="s">
        <v>464</v>
      </c>
      <c r="E20" s="103" t="s">
        <v>463</v>
      </c>
      <c r="F20" s="103" t="s">
        <v>462</v>
      </c>
      <c r="G20" s="103" t="s">
        <v>461</v>
      </c>
      <c r="H20" s="103" t="s">
        <v>22</v>
      </c>
      <c r="I20" s="103" t="s">
        <v>25</v>
      </c>
      <c r="J20" s="103"/>
      <c r="K20" s="228"/>
      <c r="L20" s="103" t="s">
        <v>7</v>
      </c>
      <c r="M20" s="103"/>
      <c r="N20" s="103"/>
      <c r="O20" s="103"/>
      <c r="P20" s="103"/>
      <c r="Q20" s="103"/>
      <c r="R20" s="103"/>
      <c r="S20" s="272"/>
      <c r="T20" s="228"/>
      <c r="U20" s="103" t="s">
        <v>7</v>
      </c>
      <c r="V20" s="103" t="s">
        <v>464</v>
      </c>
      <c r="W20" s="103" t="s">
        <v>463</v>
      </c>
      <c r="X20" s="103" t="s">
        <v>462</v>
      </c>
      <c r="Y20" s="103" t="s">
        <v>461</v>
      </c>
      <c r="Z20" s="103" t="s">
        <v>22</v>
      </c>
      <c r="AA20" s="103" t="s">
        <v>25</v>
      </c>
    </row>
    <row r="21" spans="1:27">
      <c r="A21" s="231"/>
      <c r="B21" s="157" t="s">
        <v>347</v>
      </c>
      <c r="C21" s="147">
        <v>1365</v>
      </c>
      <c r="D21" s="146"/>
      <c r="E21" s="146"/>
      <c r="F21" s="146"/>
      <c r="G21" s="146"/>
      <c r="H21" s="146"/>
      <c r="I21" s="145"/>
      <c r="J21" s="145" t="s">
        <v>450</v>
      </c>
      <c r="K21" s="103" t="s">
        <v>484</v>
      </c>
      <c r="L21" s="147">
        <v>2.3252999999999999</v>
      </c>
      <c r="M21" s="146"/>
      <c r="N21" s="146"/>
      <c r="O21" s="146"/>
      <c r="P21" s="146"/>
      <c r="Q21" s="146"/>
      <c r="R21" s="145"/>
      <c r="S21" s="113">
        <v>0.41930000000000001</v>
      </c>
      <c r="T21" s="156">
        <f>SUM(U21)</f>
        <v>33.410889473684207</v>
      </c>
      <c r="U21" s="147">
        <f>IF(J21="S",L21/95*$C$21,IF(J38="B",L21/95*$C$22,IF(J21="Q",L21/85*$C$23,IF(J21="L",L21/95*$C$24))))</f>
        <v>33.410889473684207</v>
      </c>
      <c r="V21" s="146"/>
      <c r="W21" s="146"/>
      <c r="X21" s="146"/>
      <c r="Y21" s="146"/>
      <c r="Z21" s="146"/>
      <c r="AA21" s="145"/>
    </row>
    <row r="22" spans="1:27">
      <c r="A22" s="231"/>
      <c r="B22" s="157" t="s">
        <v>346</v>
      </c>
      <c r="C22" s="153">
        <v>1248</v>
      </c>
      <c r="D22" s="112"/>
      <c r="E22" s="112"/>
      <c r="F22" s="112"/>
      <c r="G22" s="112"/>
      <c r="H22" s="112"/>
      <c r="I22" s="152"/>
      <c r="J22" s="152" t="s">
        <v>453</v>
      </c>
      <c r="K22" s="103" t="s">
        <v>483</v>
      </c>
      <c r="L22" s="153">
        <v>2.42</v>
      </c>
      <c r="M22" s="112"/>
      <c r="N22" s="112"/>
      <c r="O22" s="112"/>
      <c r="P22" s="112"/>
      <c r="Q22" s="112"/>
      <c r="R22" s="152"/>
      <c r="S22" s="113">
        <v>0.73929999999999996</v>
      </c>
      <c r="T22" s="156">
        <f>SUM(U22)</f>
        <v>31.791157894736841</v>
      </c>
      <c r="U22" s="153">
        <f>L22/95*C22</f>
        <v>31.791157894736841</v>
      </c>
      <c r="V22" s="112"/>
      <c r="W22" s="112"/>
      <c r="X22" s="112"/>
      <c r="Y22" s="112"/>
      <c r="Z22" s="112"/>
      <c r="AA22" s="152"/>
    </row>
    <row r="23" spans="1:27">
      <c r="A23" s="231"/>
      <c r="B23" s="157" t="s">
        <v>345</v>
      </c>
      <c r="C23" s="151">
        <v>1755</v>
      </c>
      <c r="D23" s="150"/>
      <c r="E23" s="150"/>
      <c r="F23" s="150"/>
      <c r="G23" s="150"/>
      <c r="H23" s="150"/>
      <c r="I23" s="149"/>
      <c r="J23" s="149" t="s">
        <v>457</v>
      </c>
      <c r="K23" s="103" t="s">
        <v>482</v>
      </c>
      <c r="L23" s="151">
        <v>1.8414999999999999</v>
      </c>
      <c r="M23" s="150"/>
      <c r="N23" s="150"/>
      <c r="O23" s="150"/>
      <c r="P23" s="150"/>
      <c r="Q23" s="150"/>
      <c r="R23" s="149"/>
      <c r="S23" s="113">
        <v>0.41930000000000001</v>
      </c>
      <c r="T23" s="156">
        <f>SUM(U23)</f>
        <v>38.021558823529411</v>
      </c>
      <c r="U23" s="151">
        <f>L23/85*C23</f>
        <v>38.021558823529411</v>
      </c>
      <c r="V23" s="150"/>
      <c r="W23" s="150"/>
      <c r="X23" s="150"/>
      <c r="Y23" s="150"/>
      <c r="Z23" s="150"/>
      <c r="AA23" s="149"/>
    </row>
    <row r="24" spans="1:27">
      <c r="A24" s="231"/>
      <c r="B24" s="245" t="s">
        <v>448</v>
      </c>
      <c r="C24" s="246" t="s">
        <v>481</v>
      </c>
      <c r="D24" s="246"/>
      <c r="E24">
        <v>207582.8</v>
      </c>
      <c r="F24" s="247" t="s">
        <v>446</v>
      </c>
      <c r="G24" s="247"/>
      <c r="H24">
        <v>10927.600000000002</v>
      </c>
      <c r="I24" s="246" t="s">
        <v>445</v>
      </c>
      <c r="J24" s="246"/>
      <c r="K24" s="246"/>
      <c r="L24" s="238" t="s">
        <v>480</v>
      </c>
      <c r="N24" s="89" t="s">
        <v>443</v>
      </c>
      <c r="O24" s="89" t="s">
        <v>379</v>
      </c>
      <c r="P24" s="89" t="s">
        <v>378</v>
      </c>
      <c r="Q24" s="89" t="s">
        <v>442</v>
      </c>
      <c r="R24" s="89" t="s">
        <v>376</v>
      </c>
    </row>
    <row r="25" spans="1:27">
      <c r="A25" s="231"/>
      <c r="B25" s="190"/>
      <c r="C25" s="243" t="s">
        <v>265</v>
      </c>
      <c r="D25" s="243"/>
      <c r="E25">
        <v>77781.600000000006</v>
      </c>
      <c r="F25" s="243" t="s">
        <v>441</v>
      </c>
      <c r="G25" s="243"/>
      <c r="H25">
        <v>1311.3120000000004</v>
      </c>
      <c r="I25" s="248">
        <v>0</v>
      </c>
      <c r="J25" s="248"/>
      <c r="K25" s="248"/>
      <c r="L25" s="190"/>
      <c r="M25" s="89" t="s">
        <v>440</v>
      </c>
      <c r="N25">
        <v>64</v>
      </c>
      <c r="O25">
        <v>125</v>
      </c>
      <c r="P25">
        <v>0</v>
      </c>
      <c r="Q25">
        <v>64</v>
      </c>
    </row>
    <row r="26" spans="1:27">
      <c r="A26" s="231"/>
      <c r="B26" s="190"/>
      <c r="C26" s="243" t="s">
        <v>266</v>
      </c>
      <c r="D26" s="243"/>
      <c r="E26">
        <v>17877.599999999999</v>
      </c>
      <c r="F26" s="243" t="s">
        <v>439</v>
      </c>
      <c r="G26" s="243"/>
      <c r="H26">
        <v>0</v>
      </c>
      <c r="I26" s="249" t="s">
        <v>438</v>
      </c>
      <c r="J26" s="249"/>
      <c r="K26" s="249"/>
      <c r="L26" s="190"/>
      <c r="M26" s="89" t="s">
        <v>437</v>
      </c>
    </row>
    <row r="27" spans="1:27">
      <c r="A27" s="231"/>
      <c r="B27" s="190"/>
      <c r="C27" s="243" t="s">
        <v>267</v>
      </c>
      <c r="D27" s="243"/>
      <c r="E27">
        <v>21539.699999999997</v>
      </c>
      <c r="F27" s="143" t="s">
        <v>479</v>
      </c>
      <c r="H27">
        <v>223708.18800000002</v>
      </c>
      <c r="I27" s="244">
        <v>0</v>
      </c>
      <c r="J27" s="244"/>
      <c r="K27" s="244"/>
      <c r="L27" s="142"/>
      <c r="M27" s="190"/>
      <c r="N27" s="89"/>
    </row>
    <row r="28" spans="1:27">
      <c r="A28" s="231"/>
      <c r="B28" s="190"/>
      <c r="L28" s="142"/>
      <c r="M28" s="190"/>
      <c r="N28" s="89"/>
    </row>
    <row r="29" spans="1:27">
      <c r="A29" s="231"/>
      <c r="B29" s="89"/>
      <c r="L29" s="142"/>
      <c r="M29" s="190"/>
      <c r="N29" s="89"/>
    </row>
    <row r="30" spans="1:27">
      <c r="A30" s="231"/>
      <c r="L30" s="142"/>
      <c r="M30" s="190"/>
      <c r="N30" s="89"/>
    </row>
    <row r="31" spans="1:27">
      <c r="L31" s="89"/>
    </row>
    <row r="32" spans="1:27">
      <c r="L32" s="89"/>
    </row>
    <row r="33" spans="1:27">
      <c r="L33" s="89"/>
    </row>
    <row r="34" spans="1:27">
      <c r="L34" s="89"/>
    </row>
    <row r="35" spans="1:27">
      <c r="L35" s="155"/>
    </row>
    <row r="36" spans="1:27">
      <c r="A36" s="250" t="s">
        <v>382</v>
      </c>
      <c r="B36" s="239" t="s">
        <v>471</v>
      </c>
      <c r="C36" s="234" t="s">
        <v>470</v>
      </c>
      <c r="D36" s="234"/>
      <c r="E36" s="234"/>
      <c r="F36" s="234"/>
      <c r="G36" s="234"/>
      <c r="H36" s="234"/>
      <c r="I36" s="234"/>
      <c r="J36" s="141"/>
      <c r="K36" s="228" t="s">
        <v>478</v>
      </c>
      <c r="L36" s="223" t="s">
        <v>468</v>
      </c>
      <c r="M36" s="223"/>
      <c r="N36" s="223"/>
      <c r="O36" s="223"/>
      <c r="P36" s="223"/>
      <c r="Q36" s="223"/>
      <c r="R36" s="223"/>
      <c r="S36" s="271" t="s">
        <v>467</v>
      </c>
      <c r="T36" s="228" t="s">
        <v>466</v>
      </c>
      <c r="U36" s="235" t="s">
        <v>465</v>
      </c>
      <c r="V36" s="235"/>
      <c r="W36" s="235"/>
      <c r="X36" s="235"/>
      <c r="Y36" s="235"/>
      <c r="Z36" s="235"/>
      <c r="AA36" s="235"/>
    </row>
    <row r="37" spans="1:27">
      <c r="A37" s="251"/>
      <c r="B37" s="256"/>
      <c r="C37" s="103" t="s">
        <v>7</v>
      </c>
      <c r="D37" s="103" t="s">
        <v>464</v>
      </c>
      <c r="E37" s="103" t="s">
        <v>463</v>
      </c>
      <c r="F37" s="103" t="s">
        <v>462</v>
      </c>
      <c r="G37" s="103" t="s">
        <v>461</v>
      </c>
      <c r="H37" s="103" t="s">
        <v>22</v>
      </c>
      <c r="I37" s="103" t="s">
        <v>25</v>
      </c>
      <c r="J37" s="103"/>
      <c r="K37" s="228"/>
      <c r="L37" s="103" t="s">
        <v>7</v>
      </c>
      <c r="M37" s="103" t="s">
        <v>464</v>
      </c>
      <c r="N37" s="103" t="s">
        <v>463</v>
      </c>
      <c r="O37" s="103"/>
      <c r="P37" s="103"/>
      <c r="Q37" s="103"/>
      <c r="R37" s="103"/>
      <c r="S37" s="272"/>
      <c r="T37" s="228"/>
      <c r="U37" s="103" t="s">
        <v>7</v>
      </c>
      <c r="V37" s="103" t="s">
        <v>464</v>
      </c>
      <c r="W37" s="103" t="s">
        <v>463</v>
      </c>
      <c r="X37" s="103" t="s">
        <v>462</v>
      </c>
      <c r="Y37" s="103" t="s">
        <v>461</v>
      </c>
      <c r="Z37" s="103" t="s">
        <v>22</v>
      </c>
      <c r="AA37" s="103" t="s">
        <v>25</v>
      </c>
    </row>
    <row r="38" spans="1:27">
      <c r="A38" s="251"/>
      <c r="B38" s="113" t="s">
        <v>290</v>
      </c>
      <c r="C38" s="79">
        <v>1166</v>
      </c>
      <c r="D38" s="79">
        <v>990</v>
      </c>
      <c r="E38" s="79">
        <v>990</v>
      </c>
      <c r="F38" s="112"/>
      <c r="G38" s="112"/>
      <c r="H38" s="112"/>
      <c r="I38" s="152"/>
      <c r="J38" s="152" t="s">
        <v>189</v>
      </c>
      <c r="K38" s="103" t="s">
        <v>495</v>
      </c>
      <c r="L38" s="153">
        <v>1.6991000000000001</v>
      </c>
      <c r="M38" s="112">
        <v>1.6477999999999999</v>
      </c>
      <c r="N38" s="112">
        <v>1.6364000000000001</v>
      </c>
      <c r="O38" s="112"/>
      <c r="P38" s="112"/>
      <c r="Q38" s="112"/>
      <c r="R38" s="152"/>
      <c r="S38" s="113">
        <v>0.5948</v>
      </c>
      <c r="T38" s="148">
        <f t="shared" ref="T38:T45" si="0">SUM(U38:W38)</f>
        <v>85.245416666666671</v>
      </c>
      <c r="U38" s="153">
        <f>IF(J38="S",L38/100*$C$38,IF(J38="B",L38/100*$C$39,IF(J38="Q",L38/100*$C$40,IF(J38="L",L38/90*$C$41))))</f>
        <v>28.035150000000002</v>
      </c>
      <c r="V38" s="112">
        <f>IF(J38="S",M38/100*$D$38,IF(J38="B",M38/100*$D$39,IF(J38="Q",M38/100*$D$40,IF(J38="L",M38/90*$D$41))))</f>
        <v>30.209666666666667</v>
      </c>
      <c r="W38" s="112">
        <f>IF(J38="S",N38/100*$E$38,IF(J38="B",N38/100*$E$39,IF(J38="Q",N38/100*$E$40,IF(J38="L",N38/90*$E$41))))</f>
        <v>27.000600000000002</v>
      </c>
      <c r="X38" s="112"/>
      <c r="Y38" s="112"/>
      <c r="Z38" s="112"/>
      <c r="AA38" s="152"/>
    </row>
    <row r="39" spans="1:27">
      <c r="A39" s="251"/>
      <c r="B39" s="113" t="s">
        <v>459</v>
      </c>
      <c r="C39" s="79">
        <v>1155</v>
      </c>
      <c r="D39" s="79">
        <v>1155</v>
      </c>
      <c r="E39" s="79">
        <v>1155</v>
      </c>
      <c r="F39" s="112"/>
      <c r="G39" s="112"/>
      <c r="H39" s="112"/>
      <c r="I39" s="152"/>
      <c r="J39" s="152" t="s">
        <v>189</v>
      </c>
      <c r="K39" s="103" t="s">
        <v>496</v>
      </c>
      <c r="L39" s="153">
        <v>1.4725999999999999</v>
      </c>
      <c r="M39" s="112">
        <v>1.4214</v>
      </c>
      <c r="N39" s="112">
        <v>1.4098999999999999</v>
      </c>
      <c r="O39" s="112"/>
      <c r="P39" s="112"/>
      <c r="Q39" s="112"/>
      <c r="R39" s="152"/>
      <c r="S39" s="113">
        <v>0</v>
      </c>
      <c r="T39" s="148">
        <f t="shared" si="0"/>
        <v>73.620249999999999</v>
      </c>
      <c r="U39" s="153">
        <f t="shared" ref="U39:U45" si="1">IF(J39="S",L39/100*$C$38,IF(J39="B",L39/100*$C$39,IF(J39="Q",L39/100*$C$40,IF(J39="L",L39/90*$C$41))))</f>
        <v>24.297900000000002</v>
      </c>
      <c r="V39" s="112">
        <f t="shared" ref="V39:V45" si="2">IF(J39="S",M39/100*$D$38,IF(J39="B",M39/100*$D$39,IF(J39="Q",M39/100*$D$40,IF(J39="L",M39/90*$D$41))))</f>
        <v>26.058999999999997</v>
      </c>
      <c r="W39" s="112">
        <f t="shared" ref="W39:W45" si="3">IF(J39="S",N39/100*$E$38,IF(J39="B",N39/100*$E$39,IF(J39="Q",N39/100*$E$40,IF(J39="L",N39/90*$E$41))))</f>
        <v>23.263349999999999</v>
      </c>
      <c r="X39" s="112"/>
      <c r="Y39" s="112"/>
      <c r="Z39" s="112"/>
      <c r="AA39" s="152"/>
    </row>
    <row r="40" spans="1:27">
      <c r="A40" s="251"/>
      <c r="B40" s="113" t="s">
        <v>298</v>
      </c>
      <c r="C40" s="79">
        <v>1408</v>
      </c>
      <c r="D40" s="79">
        <v>1320</v>
      </c>
      <c r="E40" s="79">
        <v>1320</v>
      </c>
      <c r="F40" s="112"/>
      <c r="G40" s="112"/>
      <c r="H40" s="112"/>
      <c r="I40" s="152"/>
      <c r="J40" s="152" t="s">
        <v>457</v>
      </c>
      <c r="K40" s="103" t="s">
        <v>497</v>
      </c>
      <c r="L40" s="153">
        <v>2.1722000000000001</v>
      </c>
      <c r="M40" s="112">
        <v>2.2151000000000001</v>
      </c>
      <c r="N40" s="112">
        <v>2.1581999999999999</v>
      </c>
      <c r="O40" s="112"/>
      <c r="P40" s="112"/>
      <c r="Q40" s="112"/>
      <c r="R40" s="152"/>
      <c r="S40" s="113">
        <v>0.48830000000000001</v>
      </c>
      <c r="T40" s="148">
        <f t="shared" si="0"/>
        <v>88.31213600000001</v>
      </c>
      <c r="U40" s="153">
        <f t="shared" si="1"/>
        <v>30.584576000000002</v>
      </c>
      <c r="V40" s="112">
        <f t="shared" si="2"/>
        <v>29.239319999999999</v>
      </c>
      <c r="W40" s="112">
        <f t="shared" si="3"/>
        <v>28.488240000000001</v>
      </c>
      <c r="X40" s="112"/>
      <c r="Y40" s="112"/>
      <c r="Z40" s="112"/>
      <c r="AA40" s="152"/>
    </row>
    <row r="41" spans="1:27">
      <c r="A41" s="251"/>
      <c r="B41" s="113" t="s">
        <v>344</v>
      </c>
      <c r="C41" s="79">
        <v>1485</v>
      </c>
      <c r="D41" s="79">
        <v>1650</v>
      </c>
      <c r="E41" s="79">
        <v>1485</v>
      </c>
      <c r="F41" s="112"/>
      <c r="G41" s="112"/>
      <c r="H41" s="112"/>
      <c r="I41" s="152"/>
      <c r="J41" s="152" t="s">
        <v>453</v>
      </c>
      <c r="K41" s="103" t="s">
        <v>498</v>
      </c>
      <c r="L41" s="153">
        <v>1.6620999999999999</v>
      </c>
      <c r="M41" s="112">
        <v>1.7626999999999999</v>
      </c>
      <c r="N41" s="112">
        <v>1.7652000000000001</v>
      </c>
      <c r="O41" s="112"/>
      <c r="P41" s="112"/>
      <c r="Q41" s="112"/>
      <c r="R41" s="152"/>
      <c r="S41" s="113">
        <v>0.4299</v>
      </c>
      <c r="T41" s="148">
        <f t="shared" si="0"/>
        <v>59.944500000000005</v>
      </c>
      <c r="U41" s="153">
        <f t="shared" si="1"/>
        <v>19.197255000000002</v>
      </c>
      <c r="V41" s="112">
        <f t="shared" si="2"/>
        <v>20.359185</v>
      </c>
      <c r="W41" s="112">
        <f t="shared" si="3"/>
        <v>20.388060000000003</v>
      </c>
      <c r="X41" s="112"/>
      <c r="Y41" s="112"/>
      <c r="Z41" s="112"/>
      <c r="AA41" s="152"/>
    </row>
    <row r="42" spans="1:27">
      <c r="A42" s="251"/>
      <c r="B42" s="153"/>
      <c r="C42" s="153"/>
      <c r="D42" s="112"/>
      <c r="E42" s="112"/>
      <c r="F42" s="112"/>
      <c r="G42" s="112"/>
      <c r="H42" s="112"/>
      <c r="I42" s="152"/>
      <c r="J42" s="152" t="s">
        <v>453</v>
      </c>
      <c r="K42" s="103" t="s">
        <v>499</v>
      </c>
      <c r="L42" s="153">
        <v>0.83250000000000002</v>
      </c>
      <c r="M42" s="112">
        <v>1.8438000000000001</v>
      </c>
      <c r="N42" s="112">
        <v>0.83819999999999995</v>
      </c>
      <c r="O42" s="112"/>
      <c r="P42" s="112"/>
      <c r="Q42" s="112"/>
      <c r="R42" s="152"/>
      <c r="S42" s="113">
        <v>0</v>
      </c>
      <c r="T42" s="148">
        <f t="shared" si="0"/>
        <v>40.592475</v>
      </c>
      <c r="U42" s="153">
        <f t="shared" si="1"/>
        <v>9.6153750000000002</v>
      </c>
      <c r="V42" s="112">
        <f t="shared" si="2"/>
        <v>21.29589</v>
      </c>
      <c r="W42" s="112">
        <f t="shared" si="3"/>
        <v>9.6812099999999983</v>
      </c>
      <c r="X42" s="112"/>
      <c r="Y42" s="112"/>
      <c r="Z42" s="112"/>
      <c r="AA42" s="152"/>
    </row>
    <row r="43" spans="1:27">
      <c r="A43" s="251"/>
      <c r="B43" s="153"/>
      <c r="C43" s="153"/>
      <c r="D43" s="112"/>
      <c r="E43" s="112"/>
      <c r="F43" s="112"/>
      <c r="G43" s="112"/>
      <c r="H43" s="112"/>
      <c r="I43" s="152"/>
      <c r="J43" s="152" t="s">
        <v>450</v>
      </c>
      <c r="K43" s="103" t="s">
        <v>500</v>
      </c>
      <c r="L43" s="153">
        <v>2.1476999999999999</v>
      </c>
      <c r="M43" s="112">
        <v>2.1204999999999998</v>
      </c>
      <c r="N43" s="112">
        <v>2.0863</v>
      </c>
      <c r="O43" s="112"/>
      <c r="P43" s="112"/>
      <c r="Q43" s="112"/>
      <c r="R43" s="152"/>
      <c r="S43" s="113">
        <v>0</v>
      </c>
      <c r="T43" s="148">
        <f t="shared" si="0"/>
        <v>66.689502000000005</v>
      </c>
      <c r="U43" s="153">
        <f t="shared" si="1"/>
        <v>25.042182</v>
      </c>
      <c r="V43" s="112">
        <f t="shared" si="2"/>
        <v>20.992949999999997</v>
      </c>
      <c r="W43" s="112">
        <f t="shared" si="3"/>
        <v>20.65437</v>
      </c>
      <c r="X43" s="112"/>
      <c r="Y43" s="112"/>
      <c r="Z43" s="112"/>
      <c r="AA43" s="152"/>
    </row>
    <row r="44" spans="1:27">
      <c r="A44" s="251"/>
      <c r="B44" s="153"/>
      <c r="C44" s="153"/>
      <c r="D44" s="112"/>
      <c r="E44" s="112"/>
      <c r="F44" s="112"/>
      <c r="G44" s="112"/>
      <c r="H44" s="112"/>
      <c r="I44" s="152"/>
      <c r="J44" s="152" t="s">
        <v>450</v>
      </c>
      <c r="K44" s="103" t="s">
        <v>451</v>
      </c>
      <c r="L44" s="153">
        <v>1.8751</v>
      </c>
      <c r="M44" s="112">
        <v>1.8482000000000001</v>
      </c>
      <c r="N44" s="112">
        <v>1.8142</v>
      </c>
      <c r="O44" s="112"/>
      <c r="P44" s="112"/>
      <c r="Q44" s="112"/>
      <c r="R44" s="152"/>
      <c r="S44" s="113">
        <v>0</v>
      </c>
      <c r="T44" s="148">
        <f t="shared" si="0"/>
        <v>58.121426000000007</v>
      </c>
      <c r="U44" s="153">
        <f t="shared" si="1"/>
        <v>21.863666000000002</v>
      </c>
      <c r="V44" s="112">
        <f t="shared" si="2"/>
        <v>18.297180000000001</v>
      </c>
      <c r="W44" s="112">
        <f t="shared" si="3"/>
        <v>17.96058</v>
      </c>
      <c r="X44" s="112"/>
      <c r="Y44" s="112"/>
      <c r="Z44" s="112"/>
      <c r="AA44" s="152"/>
    </row>
    <row r="45" spans="1:27">
      <c r="A45" s="252"/>
      <c r="B45" s="151"/>
      <c r="C45" s="151"/>
      <c r="D45" s="150"/>
      <c r="E45" s="150"/>
      <c r="F45" s="150"/>
      <c r="G45" s="150"/>
      <c r="H45" s="150"/>
      <c r="I45" s="149"/>
      <c r="J45" s="149" t="s">
        <v>450</v>
      </c>
      <c r="K45" s="103" t="s">
        <v>449</v>
      </c>
      <c r="L45" s="151">
        <v>1.4811000000000001</v>
      </c>
      <c r="M45" s="150">
        <v>1.4981</v>
      </c>
      <c r="N45" s="150">
        <v>1.4401999999999999</v>
      </c>
      <c r="O45" s="150"/>
      <c r="P45" s="150"/>
      <c r="Q45" s="150"/>
      <c r="R45" s="149"/>
      <c r="S45" s="113">
        <v>0</v>
      </c>
      <c r="T45" s="148">
        <f t="shared" si="0"/>
        <v>46.358795999999998</v>
      </c>
      <c r="U45" s="153">
        <f t="shared" si="1"/>
        <v>17.269626000000002</v>
      </c>
      <c r="V45" s="112">
        <f t="shared" si="2"/>
        <v>14.831189999999999</v>
      </c>
      <c r="W45" s="112">
        <f t="shared" si="3"/>
        <v>14.25798</v>
      </c>
      <c r="X45" s="150"/>
      <c r="Y45" s="150"/>
      <c r="Z45" s="150"/>
      <c r="AA45" s="149"/>
    </row>
    <row r="46" spans="1:27">
      <c r="B46" s="245" t="s">
        <v>448</v>
      </c>
      <c r="C46" s="246" t="s">
        <v>477</v>
      </c>
      <c r="D46" s="246"/>
      <c r="E46">
        <v>135680.85</v>
      </c>
      <c r="F46" s="247" t="s">
        <v>446</v>
      </c>
      <c r="G46" s="247"/>
      <c r="H46">
        <v>40195.616000000009</v>
      </c>
      <c r="I46" s="246" t="s">
        <v>445</v>
      </c>
      <c r="J46" s="246"/>
      <c r="K46" s="246"/>
      <c r="L46" s="238" t="s">
        <v>476</v>
      </c>
      <c r="M46" s="144"/>
      <c r="N46" s="103" t="s">
        <v>443</v>
      </c>
      <c r="O46" s="103" t="s">
        <v>379</v>
      </c>
      <c r="P46" s="89" t="s">
        <v>378</v>
      </c>
      <c r="Q46" s="89" t="s">
        <v>442</v>
      </c>
      <c r="R46" s="89" t="s">
        <v>376</v>
      </c>
    </row>
    <row r="47" spans="1:27">
      <c r="B47" s="190"/>
      <c r="C47" s="243" t="s">
        <v>265</v>
      </c>
      <c r="D47" s="243"/>
      <c r="E47">
        <v>65929.5</v>
      </c>
      <c r="F47" s="243" t="s">
        <v>441</v>
      </c>
      <c r="G47" s="243"/>
      <c r="H47">
        <v>4823.4739200000013</v>
      </c>
      <c r="I47" s="248">
        <v>0</v>
      </c>
      <c r="J47" s="248"/>
      <c r="K47" s="248"/>
      <c r="L47" s="190"/>
      <c r="M47" s="103" t="s">
        <v>440</v>
      </c>
      <c r="N47" s="113">
        <v>110</v>
      </c>
      <c r="O47" s="144">
        <v>180</v>
      </c>
      <c r="P47">
        <v>0</v>
      </c>
      <c r="Q47">
        <v>110</v>
      </c>
    </row>
    <row r="48" spans="1:27">
      <c r="B48" s="190"/>
      <c r="C48" s="243" t="s">
        <v>266</v>
      </c>
      <c r="D48" s="243"/>
      <c r="E48">
        <v>70529.589000000007</v>
      </c>
      <c r="F48" s="243" t="s">
        <v>439</v>
      </c>
      <c r="G48" s="243"/>
      <c r="H48">
        <v>0</v>
      </c>
      <c r="I48" s="249" t="s">
        <v>438</v>
      </c>
      <c r="J48" s="249"/>
      <c r="K48" s="249"/>
      <c r="L48" s="190"/>
      <c r="M48" s="103" t="s">
        <v>437</v>
      </c>
      <c r="N48" s="144"/>
      <c r="O48" s="144"/>
    </row>
    <row r="49" spans="1:27">
      <c r="B49" s="190"/>
      <c r="C49" s="243" t="s">
        <v>267</v>
      </c>
      <c r="D49" s="243"/>
      <c r="E49">
        <v>33660.899999999994</v>
      </c>
      <c r="F49" s="143" t="s">
        <v>475</v>
      </c>
      <c r="H49">
        <v>42400.771080000006</v>
      </c>
      <c r="I49" s="244">
        <v>0</v>
      </c>
      <c r="J49" s="244"/>
      <c r="K49" s="244"/>
      <c r="L49" s="142"/>
      <c r="M49" s="142"/>
      <c r="N49" s="89"/>
    </row>
    <row r="50" spans="1:27">
      <c r="B50" s="190"/>
      <c r="L50" s="142"/>
      <c r="M50" s="142"/>
      <c r="N50" s="89"/>
    </row>
    <row r="51" spans="1:27">
      <c r="B51" s="89"/>
      <c r="L51" s="142"/>
      <c r="M51" s="142"/>
      <c r="N51" s="89"/>
    </row>
    <row r="52" spans="1:27">
      <c r="L52" s="142"/>
      <c r="M52" s="142"/>
      <c r="N52" s="89"/>
    </row>
    <row r="56" spans="1:27">
      <c r="A56" s="217" t="s">
        <v>381</v>
      </c>
      <c r="B56" s="239" t="s">
        <v>471</v>
      </c>
      <c r="C56" s="260" t="s">
        <v>470</v>
      </c>
      <c r="D56" s="261"/>
      <c r="E56" s="261"/>
      <c r="F56" s="261"/>
      <c r="G56" s="261"/>
      <c r="H56" s="261"/>
      <c r="I56" s="262"/>
      <c r="J56" s="154"/>
      <c r="K56" s="239" t="s">
        <v>469</v>
      </c>
      <c r="L56" s="257" t="s">
        <v>468</v>
      </c>
      <c r="M56" s="258"/>
      <c r="N56" s="258"/>
      <c r="O56" s="258"/>
      <c r="P56" s="258"/>
      <c r="Q56" s="258"/>
      <c r="R56" s="259"/>
      <c r="S56" s="271" t="s">
        <v>467</v>
      </c>
      <c r="T56" s="239" t="s">
        <v>466</v>
      </c>
      <c r="U56" s="273" t="s">
        <v>465</v>
      </c>
      <c r="V56" s="274"/>
      <c r="W56" s="274"/>
      <c r="X56" s="274"/>
      <c r="Y56" s="274"/>
      <c r="Z56" s="274"/>
      <c r="AA56" s="275"/>
    </row>
    <row r="57" spans="1:27">
      <c r="A57" s="253"/>
      <c r="B57" s="240"/>
      <c r="C57" s="103" t="s">
        <v>7</v>
      </c>
      <c r="D57" s="103" t="s">
        <v>464</v>
      </c>
      <c r="E57" s="103" t="s">
        <v>463</v>
      </c>
      <c r="F57" s="103" t="s">
        <v>462</v>
      </c>
      <c r="G57" s="103" t="s">
        <v>461</v>
      </c>
      <c r="H57" s="103" t="s">
        <v>22</v>
      </c>
      <c r="I57" s="103" t="s">
        <v>25</v>
      </c>
      <c r="J57" s="128"/>
      <c r="K57" s="240"/>
      <c r="L57" s="103" t="s">
        <v>7</v>
      </c>
      <c r="M57" s="103" t="s">
        <v>464</v>
      </c>
      <c r="N57" s="103" t="s">
        <v>463</v>
      </c>
      <c r="O57" s="103" t="s">
        <v>462</v>
      </c>
      <c r="P57" s="103" t="s">
        <v>461</v>
      </c>
      <c r="Q57" s="103"/>
      <c r="R57" s="103"/>
      <c r="S57" s="272"/>
      <c r="T57" s="240"/>
      <c r="U57" s="103" t="s">
        <v>7</v>
      </c>
      <c r="V57" s="103" t="s">
        <v>464</v>
      </c>
      <c r="W57" s="103" t="s">
        <v>463</v>
      </c>
      <c r="X57" s="103" t="s">
        <v>462</v>
      </c>
      <c r="Y57" s="103" t="s">
        <v>461</v>
      </c>
      <c r="Z57" s="103" t="s">
        <v>22</v>
      </c>
      <c r="AA57" s="103" t="s">
        <v>25</v>
      </c>
    </row>
    <row r="58" spans="1:27">
      <c r="A58" s="253"/>
      <c r="B58" s="113" t="s">
        <v>290</v>
      </c>
      <c r="C58" s="147">
        <v>899</v>
      </c>
      <c r="D58" s="146">
        <v>803</v>
      </c>
      <c r="E58" s="146">
        <v>802</v>
      </c>
      <c r="F58" s="146">
        <v>896</v>
      </c>
      <c r="G58" s="146">
        <v>1056</v>
      </c>
      <c r="H58" s="146"/>
      <c r="I58" s="145"/>
      <c r="J58" s="145" t="s">
        <v>189</v>
      </c>
      <c r="K58" s="103" t="s">
        <v>460</v>
      </c>
      <c r="L58" s="147">
        <v>1.7068000000000001</v>
      </c>
      <c r="M58" s="146">
        <v>1.7138</v>
      </c>
      <c r="N58" s="146">
        <v>1.7124999999999999</v>
      </c>
      <c r="O58" s="146">
        <v>1.7134</v>
      </c>
      <c r="P58" s="146">
        <v>1.7142999999999999</v>
      </c>
      <c r="Q58" s="146"/>
      <c r="R58" s="145"/>
      <c r="S58" s="113">
        <v>0.64370000000000005</v>
      </c>
      <c r="T58" s="148">
        <f t="shared" ref="T58:T65" si="4">SUM(U58:Y58)</f>
        <v>118.078469</v>
      </c>
      <c r="U58" s="147">
        <f t="shared" ref="U58:U65" si="5">IF(J58="S",L58/100*$C$58,IF(J58="B",L58/100*$C$59,IF(J58="Q",L58/100*$C$60,IF(J58="L",L58/100*$C$61))))</f>
        <v>21.898243999999998</v>
      </c>
      <c r="V58" s="146">
        <f t="shared" ref="V58:V65" si="6">IF(J58="S",M58/100*$D$58,IF(J58="B",M58/100*$D$59,IF(J58="Q",M58/100*$D$60,IF(J58="L",M58/100*$D$61))))</f>
        <v>24.678720000000002</v>
      </c>
      <c r="W58" s="146">
        <f t="shared" ref="W58:W65" si="7">IF(J58="S",N58/100*$E$58,IF(J58="B",N58/100*$E$59,IF(J58="Q",N58/100*$E$60,IF(J58="L",N58/100*$E$61))))</f>
        <v>22.142624999999999</v>
      </c>
      <c r="X58" s="146">
        <f t="shared" ref="X58:X65" si="8">IF(J58="S",O58/100*$F$58,IF(J58="B",O58/100*$F$59,IF(J58="Q",O58/100*$F$60,IF(J58="L",O58/100*$F$61))))</f>
        <v>24.67296</v>
      </c>
      <c r="Y58" s="146">
        <f t="shared" ref="Y58:Y65" si="9">IF(J58="S",P58/100*$G$58,IF(J58="B",P58/100*$G$59,IF(J58="Q",P58/100*$G$60,IF(J58="L",P58/100*$G$61))))</f>
        <v>24.685919999999999</v>
      </c>
      <c r="Z58" s="146"/>
      <c r="AA58" s="145"/>
    </row>
    <row r="59" spans="1:27">
      <c r="A59" s="253"/>
      <c r="B59" s="113" t="s">
        <v>459</v>
      </c>
      <c r="C59" s="153">
        <v>967</v>
      </c>
      <c r="D59" s="112">
        <v>960</v>
      </c>
      <c r="E59" s="112">
        <v>1219</v>
      </c>
      <c r="F59" s="112">
        <v>1056</v>
      </c>
      <c r="G59" s="112">
        <v>1120</v>
      </c>
      <c r="H59" s="112"/>
      <c r="I59" s="152"/>
      <c r="J59" s="152" t="s">
        <v>457</v>
      </c>
      <c r="K59" s="103" t="s">
        <v>458</v>
      </c>
      <c r="L59" s="153">
        <v>1.617</v>
      </c>
      <c r="M59" s="112">
        <v>1.6358999999999999</v>
      </c>
      <c r="N59" s="112">
        <v>1.6414</v>
      </c>
      <c r="O59" s="112">
        <v>1.6459999999999999</v>
      </c>
      <c r="P59" s="112">
        <v>1.6497999999999999</v>
      </c>
      <c r="Q59" s="112"/>
      <c r="R59" s="152"/>
      <c r="S59" s="113">
        <v>9.8699999999999996E-2</v>
      </c>
      <c r="T59" s="148">
        <f t="shared" si="4"/>
        <v>103.65881</v>
      </c>
      <c r="U59" s="147">
        <f t="shared" si="5"/>
        <v>18.433800000000002</v>
      </c>
      <c r="V59" s="146">
        <f t="shared" si="6"/>
        <v>18.649259999999998</v>
      </c>
      <c r="W59" s="146">
        <f t="shared" si="7"/>
        <v>19.122309999999999</v>
      </c>
      <c r="X59" s="146">
        <f t="shared" si="8"/>
        <v>26.335999999999999</v>
      </c>
      <c r="Y59" s="146">
        <f t="shared" si="9"/>
        <v>21.117439999999998</v>
      </c>
      <c r="Z59" s="112"/>
      <c r="AA59" s="152"/>
    </row>
    <row r="60" spans="1:27">
      <c r="A60" s="253"/>
      <c r="B60" s="113" t="s">
        <v>298</v>
      </c>
      <c r="C60" s="153">
        <v>1140</v>
      </c>
      <c r="D60" s="112">
        <v>1140</v>
      </c>
      <c r="E60" s="112">
        <v>1165</v>
      </c>
      <c r="F60" s="112">
        <v>1600</v>
      </c>
      <c r="G60" s="112">
        <v>1280</v>
      </c>
      <c r="H60" s="112"/>
      <c r="I60" s="152"/>
      <c r="J60" s="152" t="s">
        <v>457</v>
      </c>
      <c r="K60" s="103" t="s">
        <v>456</v>
      </c>
      <c r="L60" s="153">
        <v>1.3272999999999999</v>
      </c>
      <c r="M60" s="112">
        <v>1.3226</v>
      </c>
      <c r="N60" s="112">
        <v>1.3152999999999999</v>
      </c>
      <c r="O60" s="112">
        <v>1.3106</v>
      </c>
      <c r="P60" s="112">
        <v>1.3059000000000001</v>
      </c>
      <c r="Q60" s="112"/>
      <c r="R60" s="152"/>
      <c r="S60" s="113">
        <v>0.56630000000000003</v>
      </c>
      <c r="T60" s="148">
        <f t="shared" si="4"/>
        <v>83.217224999999999</v>
      </c>
      <c r="U60" s="147">
        <f t="shared" si="5"/>
        <v>15.131220000000001</v>
      </c>
      <c r="V60" s="146">
        <f t="shared" si="6"/>
        <v>15.077640000000001</v>
      </c>
      <c r="W60" s="146">
        <f t="shared" si="7"/>
        <v>15.323245</v>
      </c>
      <c r="X60" s="146">
        <f t="shared" si="8"/>
        <v>20.9696</v>
      </c>
      <c r="Y60" s="146">
        <f t="shared" si="9"/>
        <v>16.715520000000001</v>
      </c>
      <c r="Z60" s="112"/>
      <c r="AA60" s="152"/>
    </row>
    <row r="61" spans="1:27">
      <c r="A61" s="253"/>
      <c r="B61" s="113" t="s">
        <v>344</v>
      </c>
      <c r="C61" s="153">
        <v>1283</v>
      </c>
      <c r="D61" s="112">
        <v>1440</v>
      </c>
      <c r="E61" s="112">
        <v>1293</v>
      </c>
      <c r="F61" s="112">
        <v>1440</v>
      </c>
      <c r="G61" s="112">
        <v>1440</v>
      </c>
      <c r="H61" s="112"/>
      <c r="I61" s="152"/>
      <c r="J61" s="152" t="s">
        <v>453</v>
      </c>
      <c r="K61" s="103" t="s">
        <v>455</v>
      </c>
      <c r="L61" s="153">
        <v>1.9097</v>
      </c>
      <c r="M61" s="112">
        <v>1.9117</v>
      </c>
      <c r="N61" s="112">
        <v>1.9089</v>
      </c>
      <c r="O61" s="112">
        <v>1.9065000000000001</v>
      </c>
      <c r="P61" s="112">
        <v>1.905</v>
      </c>
      <c r="Q61" s="112"/>
      <c r="R61" s="152"/>
      <c r="S61" s="113">
        <v>0.41699999999999998</v>
      </c>
      <c r="T61" s="148">
        <f t="shared" si="4"/>
        <v>101.55725</v>
      </c>
      <c r="U61" s="147">
        <f t="shared" si="5"/>
        <v>18.466798999999998</v>
      </c>
      <c r="V61" s="146">
        <f t="shared" si="6"/>
        <v>18.352319999999999</v>
      </c>
      <c r="W61" s="146">
        <f t="shared" si="7"/>
        <v>23.269491000000002</v>
      </c>
      <c r="X61" s="146">
        <f t="shared" si="8"/>
        <v>20.132640000000002</v>
      </c>
      <c r="Y61" s="146">
        <f t="shared" si="9"/>
        <v>21.336000000000002</v>
      </c>
      <c r="Z61" s="112"/>
      <c r="AA61" s="152"/>
    </row>
    <row r="62" spans="1:27">
      <c r="A62" s="253"/>
      <c r="B62" s="153"/>
      <c r="C62" s="153"/>
      <c r="D62" s="112"/>
      <c r="E62" s="112"/>
      <c r="F62" s="112"/>
      <c r="G62" s="112"/>
      <c r="H62" s="112"/>
      <c r="I62" s="152"/>
      <c r="J62" s="152" t="s">
        <v>453</v>
      </c>
      <c r="K62" s="103" t="s">
        <v>454</v>
      </c>
      <c r="L62" s="153">
        <v>1.3475999999999999</v>
      </c>
      <c r="M62" s="112">
        <v>1.3572</v>
      </c>
      <c r="N62" s="112">
        <v>1.3587</v>
      </c>
      <c r="O62" s="112">
        <v>1.3595999999999999</v>
      </c>
      <c r="P62" s="112">
        <v>1.3608</v>
      </c>
      <c r="Q62" s="112"/>
      <c r="R62" s="152"/>
      <c r="S62" s="113">
        <v>0</v>
      </c>
      <c r="T62" s="148">
        <f t="shared" si="4"/>
        <v>72.221300999999997</v>
      </c>
      <c r="U62" s="147">
        <f t="shared" si="5"/>
        <v>13.031291999999999</v>
      </c>
      <c r="V62" s="146">
        <f t="shared" si="6"/>
        <v>13.029119999999999</v>
      </c>
      <c r="W62" s="146">
        <f t="shared" si="7"/>
        <v>16.562553000000001</v>
      </c>
      <c r="X62" s="146">
        <f t="shared" si="8"/>
        <v>14.357375999999999</v>
      </c>
      <c r="Y62" s="146">
        <f t="shared" si="9"/>
        <v>15.240960000000001</v>
      </c>
      <c r="Z62" s="112"/>
      <c r="AA62" s="152"/>
    </row>
    <row r="63" spans="1:27">
      <c r="A63" s="253"/>
      <c r="B63" s="153"/>
      <c r="C63" s="153"/>
      <c r="D63" s="112"/>
      <c r="E63" s="112"/>
      <c r="F63" s="112"/>
      <c r="G63" s="112"/>
      <c r="H63" s="112"/>
      <c r="I63" s="152"/>
      <c r="J63" s="152" t="s">
        <v>453</v>
      </c>
      <c r="K63" s="103" t="s">
        <v>452</v>
      </c>
      <c r="L63" s="153">
        <v>0.98729999999999996</v>
      </c>
      <c r="M63" s="112">
        <v>0.99150000000000005</v>
      </c>
      <c r="N63" s="112">
        <v>0.98960000000000004</v>
      </c>
      <c r="O63" s="112">
        <v>0.98839999999999995</v>
      </c>
      <c r="P63" s="112">
        <v>0.9879</v>
      </c>
      <c r="Q63" s="112"/>
      <c r="R63" s="152"/>
      <c r="S63" s="113">
        <v>0</v>
      </c>
      <c r="T63" s="148">
        <f t="shared" si="4"/>
        <v>52.630798999999996</v>
      </c>
      <c r="U63" s="147">
        <f t="shared" si="5"/>
        <v>9.5471909999999998</v>
      </c>
      <c r="V63" s="146">
        <f t="shared" si="6"/>
        <v>9.5183999999999997</v>
      </c>
      <c r="W63" s="146">
        <f t="shared" si="7"/>
        <v>12.063224</v>
      </c>
      <c r="X63" s="146">
        <f t="shared" si="8"/>
        <v>10.437503999999999</v>
      </c>
      <c r="Y63" s="146">
        <f t="shared" si="9"/>
        <v>11.064480000000001</v>
      </c>
      <c r="Z63" s="112"/>
      <c r="AA63" s="152"/>
    </row>
    <row r="64" spans="1:27">
      <c r="A64" s="253"/>
      <c r="B64" s="153"/>
      <c r="C64" s="153"/>
      <c r="D64" s="112"/>
      <c r="E64" s="112"/>
      <c r="F64" s="112"/>
      <c r="G64" s="112"/>
      <c r="H64" s="112"/>
      <c r="I64" s="152"/>
      <c r="J64" s="152" t="s">
        <v>450</v>
      </c>
      <c r="K64" s="103" t="s">
        <v>451</v>
      </c>
      <c r="L64" s="153">
        <v>1.9242999999999999</v>
      </c>
      <c r="M64" s="112">
        <v>1.9244000000000001</v>
      </c>
      <c r="N64" s="112">
        <v>1.921</v>
      </c>
      <c r="O64" s="112">
        <v>1.919</v>
      </c>
      <c r="P64" s="112">
        <v>1.9168000000000001</v>
      </c>
      <c r="Q64" s="112"/>
      <c r="R64" s="152"/>
      <c r="S64" s="113">
        <v>0</v>
      </c>
      <c r="T64" s="148">
        <f t="shared" si="4"/>
        <v>85.594457000000006</v>
      </c>
      <c r="U64" s="147">
        <f t="shared" si="5"/>
        <v>17.299457</v>
      </c>
      <c r="V64" s="146">
        <f t="shared" si="6"/>
        <v>15.452932000000001</v>
      </c>
      <c r="W64" s="146">
        <f t="shared" si="7"/>
        <v>15.406420000000001</v>
      </c>
      <c r="X64" s="146">
        <f t="shared" si="8"/>
        <v>17.194240000000001</v>
      </c>
      <c r="Y64" s="146">
        <f t="shared" si="9"/>
        <v>20.241408</v>
      </c>
      <c r="Z64" s="112"/>
      <c r="AA64" s="152"/>
    </row>
    <row r="65" spans="1:27">
      <c r="A65" s="218"/>
      <c r="B65" s="151"/>
      <c r="C65" s="151"/>
      <c r="D65" s="150"/>
      <c r="E65" s="150"/>
      <c r="F65" s="150"/>
      <c r="G65" s="150"/>
      <c r="H65" s="150"/>
      <c r="I65" s="149"/>
      <c r="J65" s="149" t="s">
        <v>450</v>
      </c>
      <c r="K65" s="103" t="s">
        <v>449</v>
      </c>
      <c r="L65" s="151">
        <v>0.95450000000000002</v>
      </c>
      <c r="M65" s="150">
        <v>0.96519999999999995</v>
      </c>
      <c r="N65" s="150">
        <v>0.96909999999999996</v>
      </c>
      <c r="O65" s="150">
        <v>0.97189999999999999</v>
      </c>
      <c r="P65" s="150">
        <v>0.97499999999999998</v>
      </c>
      <c r="Q65" s="150"/>
      <c r="R65" s="149"/>
      <c r="S65" s="113">
        <v>0.1085</v>
      </c>
      <c r="T65" s="148">
        <f t="shared" si="4"/>
        <v>43.107917</v>
      </c>
      <c r="U65" s="147">
        <f t="shared" si="5"/>
        <v>8.5809549999999994</v>
      </c>
      <c r="V65" s="146">
        <f t="shared" si="6"/>
        <v>7.7505559999999996</v>
      </c>
      <c r="W65" s="146">
        <f t="shared" si="7"/>
        <v>7.7721819999999999</v>
      </c>
      <c r="X65" s="146">
        <f t="shared" si="8"/>
        <v>8.7082239999999995</v>
      </c>
      <c r="Y65" s="146">
        <f t="shared" si="9"/>
        <v>10.295999999999999</v>
      </c>
      <c r="Z65" s="150"/>
      <c r="AA65" s="149"/>
    </row>
    <row r="66" spans="1:27">
      <c r="B66" s="245" t="s">
        <v>448</v>
      </c>
      <c r="C66" s="246" t="s">
        <v>474</v>
      </c>
      <c r="D66" s="246"/>
      <c r="E66">
        <v>299751.84999999998</v>
      </c>
      <c r="F66" s="247" t="s">
        <v>446</v>
      </c>
      <c r="G66" s="247"/>
      <c r="H66">
        <v>70807.184500000003</v>
      </c>
      <c r="I66" s="246" t="s">
        <v>445</v>
      </c>
      <c r="J66" s="246"/>
      <c r="K66" s="246"/>
      <c r="L66" s="238" t="s">
        <v>473</v>
      </c>
      <c r="N66" s="89" t="s">
        <v>443</v>
      </c>
      <c r="O66" s="89" t="s">
        <v>379</v>
      </c>
      <c r="P66" s="89" t="s">
        <v>378</v>
      </c>
      <c r="Q66" s="89" t="s">
        <v>442</v>
      </c>
      <c r="R66" s="89" t="s">
        <v>376</v>
      </c>
      <c r="S66" s="89"/>
    </row>
    <row r="67" spans="1:27">
      <c r="B67" s="190"/>
      <c r="C67" s="243" t="s">
        <v>265</v>
      </c>
      <c r="D67" s="243"/>
      <c r="E67">
        <v>78916.5</v>
      </c>
      <c r="F67" s="243" t="s">
        <v>441</v>
      </c>
      <c r="G67" s="243"/>
      <c r="H67">
        <v>8496.8621400000011</v>
      </c>
      <c r="I67" s="248">
        <v>0</v>
      </c>
      <c r="J67" s="248"/>
      <c r="K67" s="248"/>
      <c r="L67" s="190"/>
      <c r="M67" s="89" t="s">
        <v>440</v>
      </c>
      <c r="N67" s="112">
        <v>180</v>
      </c>
      <c r="O67" s="112">
        <v>180</v>
      </c>
      <c r="P67" s="112">
        <v>0</v>
      </c>
      <c r="Q67" s="112">
        <v>180</v>
      </c>
    </row>
    <row r="68" spans="1:27">
      <c r="B68" s="190"/>
      <c r="C68" s="243" t="s">
        <v>266</v>
      </c>
      <c r="D68" s="243"/>
      <c r="E68">
        <v>63776.407499999994</v>
      </c>
      <c r="F68" s="243" t="s">
        <v>439</v>
      </c>
      <c r="G68" s="243"/>
      <c r="H68">
        <v>29730.58</v>
      </c>
      <c r="I68" s="249" t="s">
        <v>438</v>
      </c>
      <c r="J68" s="249"/>
      <c r="K68" s="249"/>
      <c r="L68" s="190"/>
      <c r="M68" s="89" t="s">
        <v>437</v>
      </c>
    </row>
    <row r="69" spans="1:27">
      <c r="B69" s="190"/>
      <c r="C69" s="243" t="s">
        <v>267</v>
      </c>
      <c r="D69" s="243"/>
      <c r="E69">
        <v>54089.099999999991</v>
      </c>
      <c r="F69" s="143" t="s">
        <v>472</v>
      </c>
      <c r="H69">
        <v>141768.21586</v>
      </c>
      <c r="I69" s="244">
        <v>0</v>
      </c>
      <c r="J69" s="244"/>
      <c r="K69" s="244"/>
      <c r="L69" s="142"/>
      <c r="M69" s="142"/>
      <c r="N69" s="89"/>
    </row>
    <row r="70" spans="1:27">
      <c r="B70" s="190"/>
      <c r="L70" s="142"/>
      <c r="M70" s="142"/>
      <c r="N70" s="89"/>
    </row>
    <row r="71" spans="1:27">
      <c r="B71" s="89"/>
      <c r="L71" s="142"/>
      <c r="M71" s="142"/>
      <c r="N71" s="89"/>
    </row>
    <row r="72" spans="1:27">
      <c r="L72" s="142"/>
      <c r="M72" s="142"/>
      <c r="N72" s="89"/>
    </row>
    <row r="75" spans="1:27">
      <c r="A75" s="268" t="s">
        <v>387</v>
      </c>
      <c r="B75" s="239" t="s">
        <v>471</v>
      </c>
      <c r="C75" s="234" t="s">
        <v>470</v>
      </c>
      <c r="D75" s="234"/>
      <c r="E75" s="234"/>
      <c r="F75" s="234"/>
      <c r="G75" s="234"/>
      <c r="H75" s="234"/>
      <c r="I75" s="234"/>
      <c r="J75" s="141"/>
      <c r="K75" s="228" t="s">
        <v>469</v>
      </c>
      <c r="L75" s="223" t="s">
        <v>468</v>
      </c>
      <c r="M75" s="223"/>
      <c r="N75" s="223"/>
      <c r="O75" s="223"/>
      <c r="P75" s="223"/>
      <c r="Q75" s="223"/>
      <c r="R75" s="223"/>
      <c r="S75" s="271" t="s">
        <v>467</v>
      </c>
      <c r="T75" s="228" t="s">
        <v>466</v>
      </c>
      <c r="U75" s="235" t="s">
        <v>465</v>
      </c>
      <c r="V75" s="235"/>
      <c r="W75" s="235"/>
      <c r="X75" s="235"/>
      <c r="Y75" s="235"/>
      <c r="Z75" s="235"/>
      <c r="AA75" s="235"/>
    </row>
    <row r="76" spans="1:27">
      <c r="A76" s="269"/>
      <c r="B76" s="256"/>
      <c r="C76" s="103" t="s">
        <v>7</v>
      </c>
      <c r="D76" s="103" t="s">
        <v>464</v>
      </c>
      <c r="E76" s="103" t="s">
        <v>463</v>
      </c>
      <c r="F76" s="103" t="s">
        <v>462</v>
      </c>
      <c r="G76" s="103" t="s">
        <v>461</v>
      </c>
      <c r="H76" s="103" t="s">
        <v>22</v>
      </c>
      <c r="I76" s="103" t="s">
        <v>25</v>
      </c>
      <c r="J76" s="103"/>
      <c r="K76" s="228"/>
      <c r="L76" s="103" t="s">
        <v>7</v>
      </c>
      <c r="M76" s="103" t="s">
        <v>464</v>
      </c>
      <c r="N76" s="103" t="s">
        <v>463</v>
      </c>
      <c r="O76" s="103" t="s">
        <v>462</v>
      </c>
      <c r="P76" s="103" t="s">
        <v>461</v>
      </c>
      <c r="Q76" s="103" t="s">
        <v>22</v>
      </c>
      <c r="R76" s="103" t="s">
        <v>25</v>
      </c>
      <c r="S76" s="272"/>
      <c r="T76" s="228"/>
      <c r="U76" s="103" t="s">
        <v>7</v>
      </c>
      <c r="V76" s="103" t="s">
        <v>464</v>
      </c>
      <c r="W76" s="103" t="s">
        <v>463</v>
      </c>
      <c r="X76" s="103" t="s">
        <v>462</v>
      </c>
      <c r="Y76" s="103" t="s">
        <v>461</v>
      </c>
      <c r="Z76" s="103" t="s">
        <v>22</v>
      </c>
      <c r="AA76" s="103" t="s">
        <v>25</v>
      </c>
    </row>
    <row r="77" spans="1:27">
      <c r="A77" s="269"/>
      <c r="B77" s="113" t="s">
        <v>290</v>
      </c>
      <c r="C77" s="147">
        <v>881</v>
      </c>
      <c r="D77" s="146">
        <v>713</v>
      </c>
      <c r="E77" s="146">
        <v>711</v>
      </c>
      <c r="F77" s="146">
        <v>883</v>
      </c>
      <c r="G77" s="146">
        <v>1199</v>
      </c>
      <c r="H77" s="146">
        <v>1190</v>
      </c>
      <c r="I77" s="145">
        <v>1190</v>
      </c>
      <c r="J77" s="145" t="s">
        <v>189</v>
      </c>
      <c r="K77" s="103" t="s">
        <v>460</v>
      </c>
      <c r="L77" s="147">
        <v>1.8737999999999999</v>
      </c>
      <c r="M77" s="146">
        <v>1.8771</v>
      </c>
      <c r="N77" s="146">
        <v>1.8842000000000001</v>
      </c>
      <c r="O77" s="146">
        <v>1.8940999999999999</v>
      </c>
      <c r="P77" s="146">
        <v>1.8968</v>
      </c>
      <c r="Q77" s="146">
        <v>3.0687000000000002</v>
      </c>
      <c r="R77" s="145">
        <v>2.1332</v>
      </c>
      <c r="S77" s="113">
        <v>0.69699999999999995</v>
      </c>
      <c r="T77" s="148">
        <f t="shared" ref="T77:T84" si="10">SUM(U77:AA77)</f>
        <v>223.499437</v>
      </c>
      <c r="U77" s="147">
        <f t="shared" ref="U77:U84" si="11">IF(J77="S",L77/100*$C$77,IF(J77="B",L77/100*$C$78,IF(J77="Q",L77/100*$C$79,IF(J77="L",L77/100*$C$80))))</f>
        <v>23.478713999999997</v>
      </c>
      <c r="V77" s="146">
        <f t="shared" ref="V77:V84" si="12">IF(J77="S",M77/100*$D$77,IF(J77="B",M77/100*$D$78,IF(J77="Q",M77/100*$D$79,IF(J77="L",M77/100*$D$80))))</f>
        <v>26.823758999999999</v>
      </c>
      <c r="W77" s="146">
        <f t="shared" ref="W77:W84" si="13">IF(J77="S",N77/100*$E$77,IF(J77="B",N77/100*$E$78,IF(J77="Q",N77/100*$E$79,IF(J77="L",N77/100*$E$80))))</f>
        <v>23.627868000000003</v>
      </c>
      <c r="X77" s="146">
        <f t="shared" ref="X77:X84" si="14">IF(J77="S",O77/100*$F$77,IF(J77="B",O77/100*$F$78,IF(J77="Q",O77/100*$F$79,IF(J77="L",O77/100*$F$80))))</f>
        <v>27.047747999999999</v>
      </c>
      <c r="Y77" s="146">
        <f t="shared" ref="Y77:Y84" si="15">IF(J77="S",P77/100*$G$77,IF(J77="B",P77/100*$G$78,IF(J77="Q",P77/100*$G$79,IF(J77="L",P77/100*$G$80))))</f>
        <v>30.462607999999999</v>
      </c>
      <c r="Z77" s="146">
        <f t="shared" ref="Z77:Z84" si="16">IF(J77="S",Q77/100*$H$77,IF(J77="B",Q77/100*$H$78,IF(J77="Q",Q77/100*$H$79,IF(J77="L",Q77/100*$H$80))))</f>
        <v>52.167900000000003</v>
      </c>
      <c r="AA77" s="145">
        <f t="shared" ref="AA77:AA84" si="17">IF(J77="S",R77/100*$I$77,IF(J77="B",R77/100*$I$78,IF(J77="Q",R77/100*$I$79,IF(J77="L",R77/100*$I$80))))</f>
        <v>39.890839999999997</v>
      </c>
    </row>
    <row r="78" spans="1:27">
      <c r="A78" s="269"/>
      <c r="B78" s="113" t="s">
        <v>459</v>
      </c>
      <c r="C78" s="153">
        <v>841</v>
      </c>
      <c r="D78" s="112">
        <v>880</v>
      </c>
      <c r="E78" s="112">
        <v>1020</v>
      </c>
      <c r="F78" s="112">
        <v>1040</v>
      </c>
      <c r="G78" s="112">
        <v>1236</v>
      </c>
      <c r="H78" s="112">
        <v>1496</v>
      </c>
      <c r="I78" s="152">
        <v>1360</v>
      </c>
      <c r="J78" s="152" t="s">
        <v>457</v>
      </c>
      <c r="K78" s="103" t="s">
        <v>458</v>
      </c>
      <c r="L78" s="153">
        <v>1.6877</v>
      </c>
      <c r="M78" s="112">
        <v>1.6911</v>
      </c>
      <c r="N78" s="112">
        <v>1.6944999999999999</v>
      </c>
      <c r="O78" s="112">
        <v>1.6981999999999999</v>
      </c>
      <c r="P78" s="112">
        <v>1.6872</v>
      </c>
      <c r="Q78" s="112">
        <v>2.0735000000000001</v>
      </c>
      <c r="R78" s="152">
        <v>1.9078999999999999</v>
      </c>
      <c r="S78" s="113">
        <v>7.4300000000000005E-2</v>
      </c>
      <c r="T78" s="148">
        <f t="shared" si="10"/>
        <v>164.62255699999997</v>
      </c>
      <c r="U78" s="147">
        <f t="shared" si="11"/>
        <v>18.075267</v>
      </c>
      <c r="V78" s="146">
        <f t="shared" si="12"/>
        <v>18.230058</v>
      </c>
      <c r="W78" s="146">
        <f t="shared" si="13"/>
        <v>18.300599999999999</v>
      </c>
      <c r="X78" s="146">
        <f t="shared" si="14"/>
        <v>24.012548000000002</v>
      </c>
      <c r="Y78" s="146">
        <f t="shared" si="15"/>
        <v>25.088664000000001</v>
      </c>
      <c r="Z78" s="146">
        <f t="shared" si="16"/>
        <v>31.724550000000001</v>
      </c>
      <c r="AA78" s="145">
        <f t="shared" si="17"/>
        <v>29.190869999999997</v>
      </c>
    </row>
    <row r="79" spans="1:27">
      <c r="A79" s="269"/>
      <c r="B79" s="113" t="s">
        <v>298</v>
      </c>
      <c r="C79" s="153">
        <v>1071</v>
      </c>
      <c r="D79" s="112">
        <v>1078</v>
      </c>
      <c r="E79" s="112">
        <v>1080</v>
      </c>
      <c r="F79" s="112">
        <v>1414</v>
      </c>
      <c r="G79" s="112">
        <v>1487</v>
      </c>
      <c r="H79" s="112">
        <v>1530</v>
      </c>
      <c r="I79" s="152">
        <v>1530</v>
      </c>
      <c r="J79" s="152" t="s">
        <v>457</v>
      </c>
      <c r="K79" s="103" t="s">
        <v>456</v>
      </c>
      <c r="L79" s="153">
        <v>1.4508000000000001</v>
      </c>
      <c r="M79" s="112">
        <v>1.4626999999999999</v>
      </c>
      <c r="N79" s="112">
        <v>1.4617</v>
      </c>
      <c r="O79" s="112">
        <v>1.4553</v>
      </c>
      <c r="P79" s="112">
        <v>1.4743999999999999</v>
      </c>
      <c r="Q79" s="112">
        <v>1.8033999999999999</v>
      </c>
      <c r="R79" s="152">
        <v>1.6712</v>
      </c>
      <c r="S79" s="113">
        <v>0.3216</v>
      </c>
      <c r="T79" s="148">
        <f t="shared" si="10"/>
        <v>142.75598400000001</v>
      </c>
      <c r="U79" s="147">
        <f t="shared" si="11"/>
        <v>15.538068000000001</v>
      </c>
      <c r="V79" s="146">
        <f t="shared" si="12"/>
        <v>15.767906</v>
      </c>
      <c r="W79" s="146">
        <f t="shared" si="13"/>
        <v>15.78636</v>
      </c>
      <c r="X79" s="146">
        <f t="shared" si="14"/>
        <v>20.577942</v>
      </c>
      <c r="Y79" s="146">
        <f t="shared" si="15"/>
        <v>21.924327999999999</v>
      </c>
      <c r="Z79" s="146">
        <f t="shared" si="16"/>
        <v>27.592019999999998</v>
      </c>
      <c r="AA79" s="145">
        <f t="shared" si="17"/>
        <v>25.569360000000003</v>
      </c>
    </row>
    <row r="80" spans="1:27">
      <c r="A80" s="269"/>
      <c r="B80" s="113" t="s">
        <v>344</v>
      </c>
      <c r="C80" s="153">
        <v>1253</v>
      </c>
      <c r="D80" s="112">
        <v>1429</v>
      </c>
      <c r="E80" s="112">
        <v>1254</v>
      </c>
      <c r="F80" s="112">
        <v>1428</v>
      </c>
      <c r="G80" s="112">
        <v>1606</v>
      </c>
      <c r="H80" s="112">
        <v>1700</v>
      </c>
      <c r="I80" s="152">
        <v>1870</v>
      </c>
      <c r="J80" s="152" t="s">
        <v>453</v>
      </c>
      <c r="K80" s="103" t="s">
        <v>455</v>
      </c>
      <c r="L80" s="153">
        <v>2.4337</v>
      </c>
      <c r="M80" s="112">
        <v>2.4384000000000001</v>
      </c>
      <c r="N80" s="112">
        <v>1.9839</v>
      </c>
      <c r="O80" s="112">
        <v>1.9971000000000001</v>
      </c>
      <c r="P80" s="112">
        <v>2.0169999999999999</v>
      </c>
      <c r="Q80" s="112">
        <v>3.0348000000000002</v>
      </c>
      <c r="R80" s="152">
        <v>2.5373999999999999</v>
      </c>
      <c r="S80" s="113">
        <v>0.62060000000000004</v>
      </c>
      <c r="T80" s="148">
        <f t="shared" si="10"/>
        <v>187.77032500000001</v>
      </c>
      <c r="U80" s="147">
        <f t="shared" si="11"/>
        <v>20.467417000000001</v>
      </c>
      <c r="V80" s="146">
        <f t="shared" si="12"/>
        <v>21.457920000000001</v>
      </c>
      <c r="W80" s="146">
        <f t="shared" si="13"/>
        <v>20.235779999999998</v>
      </c>
      <c r="X80" s="146">
        <f t="shared" si="14"/>
        <v>20.769840000000002</v>
      </c>
      <c r="Y80" s="146">
        <f t="shared" si="15"/>
        <v>24.930120000000002</v>
      </c>
      <c r="Z80" s="146">
        <f t="shared" si="16"/>
        <v>45.400607999999998</v>
      </c>
      <c r="AA80" s="145">
        <f t="shared" si="17"/>
        <v>34.50864</v>
      </c>
    </row>
    <row r="81" spans="1:27">
      <c r="A81" s="269"/>
      <c r="B81" s="153"/>
      <c r="C81" s="153"/>
      <c r="D81" s="112"/>
      <c r="E81" s="112"/>
      <c r="F81" s="112"/>
      <c r="G81" s="112"/>
      <c r="H81" s="112"/>
      <c r="I81" s="152"/>
      <c r="J81" s="152" t="s">
        <v>453</v>
      </c>
      <c r="K81" s="103" t="s">
        <v>454</v>
      </c>
      <c r="L81" s="153">
        <v>1.468</v>
      </c>
      <c r="M81" s="112">
        <v>1.4818</v>
      </c>
      <c r="N81" s="112">
        <v>1.2213000000000001</v>
      </c>
      <c r="O81" s="112">
        <v>1.2224999999999999</v>
      </c>
      <c r="P81" s="112">
        <v>1.238</v>
      </c>
      <c r="Q81" s="112">
        <v>1.7639</v>
      </c>
      <c r="R81" s="152">
        <v>1.5075000000000001</v>
      </c>
      <c r="S81" s="113">
        <v>0</v>
      </c>
      <c r="T81" s="148">
        <f t="shared" si="10"/>
        <v>112.748604</v>
      </c>
      <c r="U81" s="147">
        <f t="shared" si="11"/>
        <v>12.345880000000001</v>
      </c>
      <c r="V81" s="146">
        <f t="shared" si="12"/>
        <v>13.03984</v>
      </c>
      <c r="W81" s="146">
        <f t="shared" si="13"/>
        <v>12.45726</v>
      </c>
      <c r="X81" s="146">
        <f t="shared" si="14"/>
        <v>12.714</v>
      </c>
      <c r="Y81" s="146">
        <f t="shared" si="15"/>
        <v>15.301680000000001</v>
      </c>
      <c r="Z81" s="146">
        <f t="shared" si="16"/>
        <v>26.387944000000005</v>
      </c>
      <c r="AA81" s="145">
        <f t="shared" si="17"/>
        <v>20.501999999999999</v>
      </c>
    </row>
    <row r="82" spans="1:27">
      <c r="A82" s="269"/>
      <c r="B82" s="153"/>
      <c r="C82" s="153"/>
      <c r="D82" s="112"/>
      <c r="E82" s="112"/>
      <c r="F82" s="112"/>
      <c r="G82" s="112"/>
      <c r="H82" s="112"/>
      <c r="I82" s="152"/>
      <c r="J82" s="152" t="s">
        <v>453</v>
      </c>
      <c r="K82" s="103" t="s">
        <v>452</v>
      </c>
      <c r="L82" s="153">
        <v>1.2713000000000001</v>
      </c>
      <c r="M82" s="112">
        <v>1.2789999999999999</v>
      </c>
      <c r="N82" s="112">
        <v>1.0323</v>
      </c>
      <c r="O82" s="112">
        <v>1.0395000000000001</v>
      </c>
      <c r="P82" s="112">
        <v>1.0504</v>
      </c>
      <c r="Q82" s="112">
        <v>1.5599000000000001</v>
      </c>
      <c r="R82" s="152">
        <v>1.3145</v>
      </c>
      <c r="S82" s="113">
        <v>0</v>
      </c>
      <c r="T82" s="148">
        <f t="shared" si="10"/>
        <v>97.48334100000001</v>
      </c>
      <c r="U82" s="147">
        <f t="shared" si="11"/>
        <v>10.691632999999999</v>
      </c>
      <c r="V82" s="146">
        <f t="shared" si="12"/>
        <v>11.255199999999999</v>
      </c>
      <c r="W82" s="146">
        <f t="shared" si="13"/>
        <v>10.52946</v>
      </c>
      <c r="X82" s="146">
        <f t="shared" si="14"/>
        <v>10.810800000000002</v>
      </c>
      <c r="Y82" s="146">
        <f t="shared" si="15"/>
        <v>12.982944</v>
      </c>
      <c r="Z82" s="146">
        <f t="shared" si="16"/>
        <v>23.336103999999999</v>
      </c>
      <c r="AA82" s="145">
        <f t="shared" si="17"/>
        <v>17.877200000000002</v>
      </c>
    </row>
    <row r="83" spans="1:27">
      <c r="A83" s="269"/>
      <c r="B83" s="153"/>
      <c r="C83" s="153"/>
      <c r="D83" s="112"/>
      <c r="E83" s="112"/>
      <c r="F83" s="112"/>
      <c r="G83" s="112"/>
      <c r="H83" s="112"/>
      <c r="I83" s="152"/>
      <c r="J83" s="152" t="s">
        <v>450</v>
      </c>
      <c r="K83" s="103" t="s">
        <v>451</v>
      </c>
      <c r="L83" s="153">
        <v>3.2084000000000001</v>
      </c>
      <c r="M83" s="112">
        <v>3.2216</v>
      </c>
      <c r="N83" s="112">
        <v>2.0941999999999998</v>
      </c>
      <c r="O83" s="112">
        <v>2.0806</v>
      </c>
      <c r="P83" s="112">
        <v>2.0792999999999999</v>
      </c>
      <c r="Q83" s="112">
        <v>3.4384000000000001</v>
      </c>
      <c r="R83" s="152">
        <v>2.3426999999999998</v>
      </c>
      <c r="S83" s="113">
        <v>0</v>
      </c>
      <c r="T83" s="148">
        <f t="shared" si="10"/>
        <v>178.22336900000002</v>
      </c>
      <c r="U83" s="147">
        <f t="shared" si="11"/>
        <v>28.266004000000002</v>
      </c>
      <c r="V83" s="146">
        <f t="shared" si="12"/>
        <v>22.970008</v>
      </c>
      <c r="W83" s="146">
        <f t="shared" si="13"/>
        <v>14.889761999999999</v>
      </c>
      <c r="X83" s="146">
        <f t="shared" si="14"/>
        <v>18.371698000000002</v>
      </c>
      <c r="Y83" s="146">
        <f t="shared" si="15"/>
        <v>24.930806999999998</v>
      </c>
      <c r="Z83" s="146">
        <f t="shared" si="16"/>
        <v>40.916959999999996</v>
      </c>
      <c r="AA83" s="145">
        <f t="shared" si="17"/>
        <v>27.878129999999995</v>
      </c>
    </row>
    <row r="84" spans="1:27">
      <c r="A84" s="270"/>
      <c r="B84" s="151"/>
      <c r="C84" s="151"/>
      <c r="D84" s="150"/>
      <c r="E84" s="150"/>
      <c r="F84" s="150"/>
      <c r="G84" s="150"/>
      <c r="H84" s="150"/>
      <c r="I84" s="149"/>
      <c r="J84" s="149" t="s">
        <v>450</v>
      </c>
      <c r="K84" s="103" t="s">
        <v>449</v>
      </c>
      <c r="L84" s="151">
        <v>1.4345000000000001</v>
      </c>
      <c r="M84" s="150">
        <v>1.4520999999999999</v>
      </c>
      <c r="N84" s="150">
        <v>0.9587</v>
      </c>
      <c r="O84" s="150">
        <v>0.95909999999999995</v>
      </c>
      <c r="P84" s="150">
        <v>0.96150000000000002</v>
      </c>
      <c r="Q84" s="150">
        <v>1.5099</v>
      </c>
      <c r="R84" s="149">
        <v>1.0719000000000001</v>
      </c>
      <c r="S84" s="113">
        <v>7.17E-2</v>
      </c>
      <c r="T84" s="148">
        <f t="shared" si="10"/>
        <v>80.528433000000007</v>
      </c>
      <c r="U84" s="147">
        <f t="shared" si="11"/>
        <v>12.637945000000002</v>
      </c>
      <c r="V84" s="146">
        <f t="shared" si="12"/>
        <v>10.353472999999999</v>
      </c>
      <c r="W84" s="146">
        <f t="shared" si="13"/>
        <v>6.816357</v>
      </c>
      <c r="X84" s="146">
        <f t="shared" si="14"/>
        <v>8.4688529999999993</v>
      </c>
      <c r="Y84" s="146">
        <f t="shared" si="15"/>
        <v>11.528385</v>
      </c>
      <c r="Z84" s="146">
        <f t="shared" si="16"/>
        <v>17.96781</v>
      </c>
      <c r="AA84" s="145">
        <f t="shared" si="17"/>
        <v>12.755610000000001</v>
      </c>
    </row>
    <row r="85" spans="1:27">
      <c r="B85" s="245" t="s">
        <v>448</v>
      </c>
      <c r="C85" s="246" t="s">
        <v>447</v>
      </c>
      <c r="D85" s="246"/>
      <c r="E85">
        <v>149602.29999999999</v>
      </c>
      <c r="F85" s="247" t="s">
        <v>446</v>
      </c>
      <c r="G85" s="247"/>
      <c r="H85">
        <v>87644.503000000026</v>
      </c>
      <c r="I85" s="246" t="s">
        <v>445</v>
      </c>
      <c r="J85" s="246"/>
      <c r="K85" s="246"/>
      <c r="L85" s="238" t="s">
        <v>444</v>
      </c>
      <c r="M85" s="144"/>
      <c r="N85" s="103" t="s">
        <v>443</v>
      </c>
      <c r="O85" s="103" t="s">
        <v>379</v>
      </c>
      <c r="P85" s="103" t="s">
        <v>378</v>
      </c>
      <c r="Q85" s="103" t="s">
        <v>442</v>
      </c>
      <c r="R85" s="103" t="s">
        <v>376</v>
      </c>
      <c r="S85" s="89"/>
      <c r="T85" s="89"/>
    </row>
    <row r="86" spans="1:27">
      <c r="B86" s="190"/>
      <c r="C86" s="243" t="s">
        <v>265</v>
      </c>
      <c r="D86" s="243"/>
      <c r="E86">
        <v>116695.8</v>
      </c>
      <c r="F86" s="243" t="s">
        <v>441</v>
      </c>
      <c r="G86" s="243"/>
      <c r="H86">
        <v>10517.340360000004</v>
      </c>
      <c r="I86" s="248">
        <v>0</v>
      </c>
      <c r="J86" s="248"/>
      <c r="K86" s="248"/>
      <c r="L86" s="190"/>
      <c r="M86" s="103" t="s">
        <v>440</v>
      </c>
      <c r="N86" s="113">
        <v>0</v>
      </c>
      <c r="O86" s="113">
        <v>0</v>
      </c>
      <c r="P86" s="113">
        <v>0</v>
      </c>
      <c r="Q86" s="113">
        <v>0</v>
      </c>
      <c r="R86" s="144"/>
    </row>
    <row r="87" spans="1:27">
      <c r="B87" s="190"/>
      <c r="C87" s="243" t="s">
        <v>266</v>
      </c>
      <c r="D87" s="243"/>
      <c r="E87">
        <v>121261.25699999998</v>
      </c>
      <c r="F87" s="243" t="s">
        <v>439</v>
      </c>
      <c r="G87" s="243"/>
      <c r="H87">
        <v>25812.720000000001</v>
      </c>
      <c r="I87" s="249" t="s">
        <v>438</v>
      </c>
      <c r="J87" s="249"/>
      <c r="K87" s="249"/>
      <c r="L87" s="190"/>
      <c r="M87" s="103" t="s">
        <v>437</v>
      </c>
      <c r="N87" s="144"/>
      <c r="O87" s="144"/>
      <c r="P87" s="144"/>
      <c r="Q87" s="144"/>
      <c r="R87" s="144"/>
    </row>
    <row r="88" spans="1:27">
      <c r="B88" s="190"/>
      <c r="C88" s="243" t="s">
        <v>267</v>
      </c>
      <c r="D88" s="243"/>
      <c r="E88">
        <v>0</v>
      </c>
      <c r="F88" s="143" t="s">
        <v>436</v>
      </c>
      <c r="H88">
        <v>11062.279639999964</v>
      </c>
      <c r="I88" s="244">
        <v>49140</v>
      </c>
      <c r="J88" s="244"/>
      <c r="K88" s="244"/>
      <c r="L88" s="142"/>
      <c r="M88" s="142"/>
      <c r="N88" s="89"/>
    </row>
    <row r="89" spans="1:27">
      <c r="B89" s="190"/>
      <c r="L89" s="142"/>
      <c r="M89" s="142"/>
      <c r="N89" s="89"/>
    </row>
    <row r="90" spans="1:27">
      <c r="B90" s="89"/>
      <c r="L90" s="142"/>
      <c r="M90" s="142"/>
      <c r="N90" s="89"/>
    </row>
    <row r="91" spans="1:27">
      <c r="L91" s="142"/>
      <c r="M91" s="142"/>
      <c r="N91" s="89"/>
    </row>
    <row r="110" spans="1:27">
      <c r="A110" s="265" t="s">
        <v>435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4"/>
      <c r="L110" s="244"/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</row>
    <row r="111" spans="1:27">
      <c r="A111" s="266"/>
      <c r="B111" s="244"/>
      <c r="C111" s="244"/>
      <c r="D111" s="244"/>
      <c r="E111" s="244"/>
      <c r="F111" s="244"/>
      <c r="G111" s="244"/>
      <c r="H111" s="244"/>
      <c r="I111" s="244"/>
      <c r="J111" s="244"/>
      <c r="K111" s="244"/>
      <c r="L111" s="244"/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</row>
    <row r="112" spans="1:27">
      <c r="A112" s="266"/>
      <c r="B112" s="244"/>
      <c r="C112" s="244"/>
      <c r="D112" s="244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</row>
    <row r="113" spans="1:27">
      <c r="A113" s="266"/>
      <c r="B113" s="244"/>
      <c r="C113" s="244"/>
      <c r="D113" s="244"/>
      <c r="E113" s="244"/>
      <c r="F113" s="244"/>
      <c r="G113" s="244"/>
      <c r="H113" s="244"/>
      <c r="I113" s="244"/>
      <c r="J113" s="244"/>
      <c r="K113" s="244"/>
      <c r="L113" s="244"/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</row>
    <row r="114" spans="1:27">
      <c r="A114" s="266"/>
      <c r="B114" s="244"/>
      <c r="C114" s="244"/>
      <c r="D114" s="244"/>
      <c r="E114" s="244"/>
      <c r="F114" s="244"/>
      <c r="G114" s="244"/>
      <c r="H114" s="244"/>
      <c r="I114" s="244"/>
      <c r="J114" s="244"/>
      <c r="K114" s="244"/>
      <c r="L114" s="244"/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</row>
    <row r="115" spans="1:27">
      <c r="A115" s="266"/>
      <c r="B115" s="244"/>
      <c r="C115" s="244"/>
      <c r="D115" s="244"/>
      <c r="E115" s="244"/>
      <c r="F115" s="244"/>
      <c r="G115" s="244"/>
      <c r="H115" s="244"/>
      <c r="I115" s="244"/>
      <c r="J115" s="244"/>
      <c r="K115" s="244"/>
      <c r="L115" s="244"/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</row>
    <row r="116" spans="1:27">
      <c r="A116" s="267"/>
      <c r="B116" s="244"/>
      <c r="C116" s="244"/>
      <c r="D116" s="244"/>
      <c r="E116" s="244"/>
      <c r="F116" s="244"/>
      <c r="G116" s="244"/>
      <c r="H116" s="244"/>
      <c r="I116" s="244"/>
      <c r="J116" s="244"/>
      <c r="K116" s="244"/>
      <c r="L116" s="244"/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</row>
  </sheetData>
  <mergeCells count="129">
    <mergeCell ref="A110:A116"/>
    <mergeCell ref="A19:A30"/>
    <mergeCell ref="K56:K57"/>
    <mergeCell ref="K75:K76"/>
    <mergeCell ref="G12:G13"/>
    <mergeCell ref="L3:L14"/>
    <mergeCell ref="A75:A84"/>
    <mergeCell ref="K36:K37"/>
    <mergeCell ref="Y13:Y14"/>
    <mergeCell ref="B110:AA116"/>
    <mergeCell ref="S19:S20"/>
    <mergeCell ref="S36:S37"/>
    <mergeCell ref="S56:S57"/>
    <mergeCell ref="S75:S76"/>
    <mergeCell ref="B56:B57"/>
    <mergeCell ref="B75:B76"/>
    <mergeCell ref="E9:E11"/>
    <mergeCell ref="E12:E13"/>
    <mergeCell ref="U36:AA36"/>
    <mergeCell ref="U56:AA56"/>
    <mergeCell ref="U75:AA75"/>
    <mergeCell ref="L36:R36"/>
    <mergeCell ref="M27:M28"/>
    <mergeCell ref="M29:M30"/>
    <mergeCell ref="T75:T76"/>
    <mergeCell ref="F12:F13"/>
    <mergeCell ref="B19:B20"/>
    <mergeCell ref="B36:B37"/>
    <mergeCell ref="L56:R56"/>
    <mergeCell ref="L75:R75"/>
    <mergeCell ref="C19:I19"/>
    <mergeCell ref="C56:I56"/>
    <mergeCell ref="C75:I75"/>
    <mergeCell ref="C36:I36"/>
    <mergeCell ref="T19:T20"/>
    <mergeCell ref="K19:K20"/>
    <mergeCell ref="D4:D13"/>
    <mergeCell ref="E4:E5"/>
    <mergeCell ref="E6:E8"/>
    <mergeCell ref="B24:B28"/>
    <mergeCell ref="C26:D26"/>
    <mergeCell ref="B66:B70"/>
    <mergeCell ref="C66:D66"/>
    <mergeCell ref="F66:G66"/>
    <mergeCell ref="I66:K66"/>
    <mergeCell ref="C67:D67"/>
    <mergeCell ref="F67:G67"/>
    <mergeCell ref="I67:K67"/>
    <mergeCell ref="M3:U3"/>
    <mergeCell ref="M6:U6"/>
    <mergeCell ref="M9:U9"/>
    <mergeCell ref="M12:U12"/>
    <mergeCell ref="G3:I3"/>
    <mergeCell ref="G4:G5"/>
    <mergeCell ref="G6:G8"/>
    <mergeCell ref="G9:G11"/>
    <mergeCell ref="F9:F11"/>
    <mergeCell ref="F6:F8"/>
    <mergeCell ref="F4:F5"/>
    <mergeCell ref="C68:D68"/>
    <mergeCell ref="F68:G68"/>
    <mergeCell ref="I68:K68"/>
    <mergeCell ref="C69:D69"/>
    <mergeCell ref="I69:K69"/>
    <mergeCell ref="A36:A45"/>
    <mergeCell ref="A56:A65"/>
    <mergeCell ref="B46:B50"/>
    <mergeCell ref="C46:D46"/>
    <mergeCell ref="F46:G46"/>
    <mergeCell ref="I46:K46"/>
    <mergeCell ref="I48:K48"/>
    <mergeCell ref="I24:K24"/>
    <mergeCell ref="I26:K26"/>
    <mergeCell ref="I25:K25"/>
    <mergeCell ref="I27:K27"/>
    <mergeCell ref="C24:D24"/>
    <mergeCell ref="C27:D27"/>
    <mergeCell ref="C25:D25"/>
    <mergeCell ref="F24:G24"/>
    <mergeCell ref="F25:G25"/>
    <mergeCell ref="F26:G26"/>
    <mergeCell ref="AD13:AD14"/>
    <mergeCell ref="AE13:AE14"/>
    <mergeCell ref="AA3:AA14"/>
    <mergeCell ref="AB3:AE3"/>
    <mergeCell ref="C88:D88"/>
    <mergeCell ref="I88:K88"/>
    <mergeCell ref="B85:B89"/>
    <mergeCell ref="C85:D85"/>
    <mergeCell ref="F85:G85"/>
    <mergeCell ref="I85:K85"/>
    <mergeCell ref="C86:D86"/>
    <mergeCell ref="F86:G86"/>
    <mergeCell ref="I86:K86"/>
    <mergeCell ref="C49:D49"/>
    <mergeCell ref="I49:K49"/>
    <mergeCell ref="L85:L87"/>
    <mergeCell ref="C87:D87"/>
    <mergeCell ref="F87:G87"/>
    <mergeCell ref="I87:K87"/>
    <mergeCell ref="C47:D47"/>
    <mergeCell ref="F47:G47"/>
    <mergeCell ref="I47:K47"/>
    <mergeCell ref="C48:D48"/>
    <mergeCell ref="F48:G48"/>
    <mergeCell ref="L24:L26"/>
    <mergeCell ref="L46:L48"/>
    <mergeCell ref="L66:L68"/>
    <mergeCell ref="V4:V5"/>
    <mergeCell ref="W4:W5"/>
    <mergeCell ref="V10:V11"/>
    <mergeCell ref="W10:W11"/>
    <mergeCell ref="AB13:AB14"/>
    <mergeCell ref="AC13:AC14"/>
    <mergeCell ref="U19:AA19"/>
    <mergeCell ref="L19:R19"/>
    <mergeCell ref="X10:X11"/>
    <mergeCell ref="Y10:Y11"/>
    <mergeCell ref="V13:V14"/>
    <mergeCell ref="W13:W14"/>
    <mergeCell ref="X13:X14"/>
    <mergeCell ref="X4:X5"/>
    <mergeCell ref="Y4:Y5"/>
    <mergeCell ref="V7:V8"/>
    <mergeCell ref="W7:W8"/>
    <mergeCell ref="X7:X8"/>
    <mergeCell ref="Y7:Y8"/>
    <mergeCell ref="T36:T37"/>
    <mergeCell ref="T56:T5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95CE-6485-483D-ADC8-27F6EC14176A}">
  <dimension ref="A1:C40"/>
  <sheetViews>
    <sheetView topLeftCell="A17" workbookViewId="0">
      <selection activeCell="B41" sqref="B41"/>
    </sheetView>
  </sheetViews>
  <sheetFormatPr defaultColWidth="8.875" defaultRowHeight="14.25"/>
  <cols>
    <col min="1" max="1" width="3.625" style="167" customWidth="1"/>
    <col min="2" max="2" width="42.5" style="167" customWidth="1"/>
    <col min="3" max="3" width="11" style="167" customWidth="1"/>
    <col min="4" max="16384" width="8.875" style="167"/>
  </cols>
  <sheetData>
    <row r="1" spans="1:3">
      <c r="B1" s="2">
        <v>1</v>
      </c>
      <c r="C1" s="167">
        <v>600000</v>
      </c>
    </row>
    <row r="2" spans="1:3">
      <c r="A2" s="167">
        <v>1</v>
      </c>
      <c r="B2" s="167" t="s">
        <v>502</v>
      </c>
      <c r="C2" s="167">
        <v>-3000</v>
      </c>
    </row>
    <row r="3" spans="1:3">
      <c r="A3" s="167">
        <v>2</v>
      </c>
      <c r="B3" s="167" t="s">
        <v>503</v>
      </c>
      <c r="C3" s="167">
        <v>-10000</v>
      </c>
    </row>
    <row r="4" spans="1:3">
      <c r="A4" s="167">
        <v>3</v>
      </c>
      <c r="B4" s="168" t="s">
        <v>504</v>
      </c>
      <c r="C4" s="167">
        <v>587000</v>
      </c>
    </row>
    <row r="5" spans="1:3">
      <c r="A5" s="167">
        <v>4</v>
      </c>
      <c r="B5" s="167" t="s">
        <v>505</v>
      </c>
      <c r="C5" s="167" t="s">
        <v>506</v>
      </c>
    </row>
    <row r="6" spans="1:3">
      <c r="A6" s="167">
        <v>5</v>
      </c>
      <c r="B6" s="167" t="s">
        <v>507</v>
      </c>
    </row>
    <row r="7" spans="1:3">
      <c r="A7" s="167">
        <v>6</v>
      </c>
      <c r="B7" s="167" t="s">
        <v>508</v>
      </c>
    </row>
    <row r="8" spans="1:3">
      <c r="A8" s="167">
        <v>7</v>
      </c>
      <c r="B8" s="167" t="s">
        <v>509</v>
      </c>
    </row>
    <row r="9" spans="1:3">
      <c r="A9" s="167">
        <v>8</v>
      </c>
      <c r="B9" s="167" t="s">
        <v>510</v>
      </c>
    </row>
    <row r="10" spans="1:3">
      <c r="A10" s="167">
        <v>9</v>
      </c>
      <c r="B10" s="167" t="s">
        <v>511</v>
      </c>
    </row>
    <row r="11" spans="1:3">
      <c r="A11" s="167">
        <v>10</v>
      </c>
      <c r="B11" s="167" t="s">
        <v>512</v>
      </c>
    </row>
    <row r="12" spans="1:3">
      <c r="A12" s="167">
        <v>11</v>
      </c>
      <c r="B12" s="167" t="s">
        <v>513</v>
      </c>
    </row>
    <row r="13" spans="1:3">
      <c r="A13" s="167">
        <v>12</v>
      </c>
      <c r="B13" s="167" t="s">
        <v>514</v>
      </c>
    </row>
    <row r="14" spans="1:3">
      <c r="A14" s="167">
        <v>13</v>
      </c>
      <c r="B14" s="167" t="s">
        <v>515</v>
      </c>
    </row>
    <row r="15" spans="1:3">
      <c r="A15" s="167">
        <v>14</v>
      </c>
      <c r="B15" s="167" t="s">
        <v>516</v>
      </c>
    </row>
    <row r="16" spans="1:3">
      <c r="A16" s="167">
        <v>15</v>
      </c>
      <c r="B16" s="168" t="s">
        <v>518</v>
      </c>
    </row>
    <row r="17" spans="1:2">
      <c r="A17" s="167">
        <v>16</v>
      </c>
      <c r="B17" s="167" t="s">
        <v>519</v>
      </c>
    </row>
    <row r="18" spans="1:2">
      <c r="A18" s="167">
        <v>17</v>
      </c>
      <c r="B18" s="167" t="s">
        <v>530</v>
      </c>
    </row>
    <row r="19" spans="1:2">
      <c r="A19" s="167">
        <v>18</v>
      </c>
      <c r="B19" s="167" t="s">
        <v>520</v>
      </c>
    </row>
    <row r="20" spans="1:2">
      <c r="A20" s="167">
        <v>19</v>
      </c>
      <c r="B20" s="167" t="s">
        <v>521</v>
      </c>
    </row>
    <row r="21" spans="1:2">
      <c r="A21" s="167">
        <v>20</v>
      </c>
      <c r="B21" s="169" t="s">
        <v>522</v>
      </c>
    </row>
    <row r="22" spans="1:2">
      <c r="A22" s="167">
        <v>21</v>
      </c>
      <c r="B22" s="168" t="s">
        <v>523</v>
      </c>
    </row>
    <row r="23" spans="1:2">
      <c r="A23" s="167">
        <v>22</v>
      </c>
    </row>
    <row r="24" spans="1:2">
      <c r="A24" s="167">
        <v>23</v>
      </c>
    </row>
    <row r="25" spans="1:2">
      <c r="A25" s="167">
        <v>24</v>
      </c>
      <c r="B25" s="2">
        <v>2</v>
      </c>
    </row>
    <row r="26" spans="1:2">
      <c r="B26" s="167" t="s">
        <v>524</v>
      </c>
    </row>
    <row r="27" spans="1:2">
      <c r="B27" s="167" t="s">
        <v>525</v>
      </c>
    </row>
    <row r="28" spans="1:2">
      <c r="B28" s="167" t="s">
        <v>526</v>
      </c>
    </row>
    <row r="29" spans="1:2">
      <c r="B29" s="167" t="s">
        <v>515</v>
      </c>
    </row>
    <row r="30" spans="1:2">
      <c r="B30" s="167" t="s">
        <v>527</v>
      </c>
    </row>
    <row r="31" spans="1:2">
      <c r="B31" s="167" t="s">
        <v>517</v>
      </c>
    </row>
    <row r="32" spans="1:2">
      <c r="B32" s="167" t="s">
        <v>528</v>
      </c>
    </row>
    <row r="33" spans="2:2">
      <c r="B33" s="167" t="s">
        <v>520</v>
      </c>
    </row>
    <row r="34" spans="2:2">
      <c r="B34" s="167" t="s">
        <v>529</v>
      </c>
    </row>
    <row r="35" spans="2:2">
      <c r="B35" s="167" t="s">
        <v>517</v>
      </c>
    </row>
    <row r="36" spans="2:2">
      <c r="B36" s="167" t="s">
        <v>522</v>
      </c>
    </row>
    <row r="37" spans="2:2">
      <c r="B37" s="167" t="s">
        <v>531</v>
      </c>
    </row>
    <row r="38" spans="2:2">
      <c r="B38" s="167" t="s">
        <v>532</v>
      </c>
    </row>
    <row r="39" spans="2:2">
      <c r="B39" s="167" t="s">
        <v>522</v>
      </c>
    </row>
    <row r="40" spans="2:2">
      <c r="B40" s="167" t="s">
        <v>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参数调整</vt:lpstr>
      <vt:lpstr>第一季度</vt:lpstr>
      <vt:lpstr>第二季度</vt:lpstr>
      <vt:lpstr>第三季度</vt:lpstr>
      <vt:lpstr>第四季度</vt:lpstr>
      <vt:lpstr>经验值</vt:lpstr>
      <vt:lpstr>复盘表</vt:lpstr>
      <vt:lpstr>决策流程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Kmoon</cp:lastModifiedBy>
  <dcterms:created xsi:type="dcterms:W3CDTF">2021-09-18T14:22:45Z</dcterms:created>
  <dcterms:modified xsi:type="dcterms:W3CDTF">2023-03-28T10:38:43Z</dcterms:modified>
</cp:coreProperties>
</file>