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34538\Desktop\Wuli\EOVS\"/>
    </mc:Choice>
  </mc:AlternateContent>
  <xr:revisionPtr revIDLastSave="0" documentId="13_ncr:1_{8D749277-084E-4FFC-9C7F-47187D9918D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1" i="1" l="1"/>
  <c r="K369" i="1"/>
  <c r="K368" i="1"/>
  <c r="G305" i="1"/>
  <c r="G224" i="1"/>
  <c r="G219" i="1"/>
  <c r="G176" i="1"/>
  <c r="K68" i="1"/>
  <c r="K69" i="1"/>
  <c r="K70" i="1"/>
  <c r="K67" i="1"/>
  <c r="G348" i="1"/>
  <c r="G262" i="1"/>
  <c r="N39" i="1"/>
  <c r="N40" i="1" s="1"/>
  <c r="N372" i="1"/>
  <c r="J371" i="1"/>
  <c r="N370" i="1"/>
  <c r="J370" i="1"/>
  <c r="K370" i="1" s="1"/>
  <c r="J369" i="1"/>
  <c r="J368" i="1"/>
  <c r="N367" i="1"/>
  <c r="N366" i="1"/>
  <c r="N365" i="1"/>
  <c r="F364" i="1"/>
  <c r="J363" i="1"/>
  <c r="N361" i="1"/>
  <c r="Q359" i="1"/>
  <c r="N359" i="1"/>
  <c r="Q358" i="1"/>
  <c r="N358" i="1"/>
  <c r="Q357" i="1"/>
  <c r="Q356" i="1"/>
  <c r="N354" i="1"/>
  <c r="Q352" i="1"/>
  <c r="N329" i="1"/>
  <c r="J328" i="1"/>
  <c r="N327" i="1"/>
  <c r="J327" i="1"/>
  <c r="J326" i="1"/>
  <c r="J325" i="1"/>
  <c r="N324" i="1"/>
  <c r="N323" i="1"/>
  <c r="N322" i="1"/>
  <c r="F321" i="1"/>
  <c r="N326" i="1" s="1"/>
  <c r="N318" i="1"/>
  <c r="Q316" i="1"/>
  <c r="N316" i="1"/>
  <c r="Q315" i="1"/>
  <c r="N315" i="1"/>
  <c r="Q314" i="1"/>
  <c r="Q313" i="1"/>
  <c r="N311" i="1"/>
  <c r="Q309" i="1"/>
  <c r="N286" i="1"/>
  <c r="J285" i="1"/>
  <c r="J284" i="1"/>
  <c r="K284" i="1" s="1"/>
  <c r="J283" i="1"/>
  <c r="J282" i="1"/>
  <c r="N281" i="1"/>
  <c r="N280" i="1"/>
  <c r="N279" i="1"/>
  <c r="F278" i="1"/>
  <c r="N284" i="1" s="1"/>
  <c r="N275" i="1"/>
  <c r="Q273" i="1"/>
  <c r="N273" i="1"/>
  <c r="Q272" i="1"/>
  <c r="N272" i="1"/>
  <c r="Q271" i="1"/>
  <c r="Q270" i="1"/>
  <c r="N268" i="1"/>
  <c r="Q266" i="1"/>
  <c r="N243" i="1"/>
  <c r="J242" i="1"/>
  <c r="K242" i="1" s="1"/>
  <c r="J241" i="1"/>
  <c r="K241" i="1" s="1"/>
  <c r="J240" i="1"/>
  <c r="K240" i="1" s="1"/>
  <c r="J239" i="1"/>
  <c r="K239" i="1" s="1"/>
  <c r="N238" i="1"/>
  <c r="N237" i="1"/>
  <c r="N236" i="1"/>
  <c r="F235" i="1"/>
  <c r="Q227" i="1"/>
  <c r="N232" i="1"/>
  <c r="Q230" i="1"/>
  <c r="N230" i="1"/>
  <c r="Q229" i="1"/>
  <c r="N229" i="1"/>
  <c r="Q228" i="1"/>
  <c r="N225" i="1"/>
  <c r="Q223" i="1"/>
  <c r="N200" i="1"/>
  <c r="J199" i="1"/>
  <c r="K199" i="1" s="1"/>
  <c r="J198" i="1"/>
  <c r="K198" i="1" s="1"/>
  <c r="J197" i="1"/>
  <c r="K197" i="1" s="1"/>
  <c r="J196" i="1"/>
  <c r="K196" i="1" s="1"/>
  <c r="N195" i="1"/>
  <c r="N194" i="1"/>
  <c r="N193" i="1"/>
  <c r="F192" i="1"/>
  <c r="N197" i="1" s="1"/>
  <c r="Q184" i="1"/>
  <c r="N189" i="1"/>
  <c r="Q187" i="1"/>
  <c r="N187" i="1"/>
  <c r="Q186" i="1"/>
  <c r="N186" i="1"/>
  <c r="Q185" i="1"/>
  <c r="N182" i="1"/>
  <c r="Q180" i="1"/>
  <c r="N157" i="1"/>
  <c r="J156" i="1"/>
  <c r="K156" i="1" s="1"/>
  <c r="J155" i="1"/>
  <c r="K155" i="1" s="1"/>
  <c r="J154" i="1"/>
  <c r="K154" i="1" s="1"/>
  <c r="J153" i="1"/>
  <c r="K153" i="1" s="1"/>
  <c r="N152" i="1"/>
  <c r="N151" i="1"/>
  <c r="N150" i="1"/>
  <c r="F149" i="1"/>
  <c r="N155" i="1" s="1"/>
  <c r="N146" i="1"/>
  <c r="Q144" i="1"/>
  <c r="N144" i="1"/>
  <c r="Q143" i="1"/>
  <c r="N143" i="1"/>
  <c r="Q142" i="1"/>
  <c r="Q141" i="1"/>
  <c r="N139" i="1"/>
  <c r="Q137" i="1"/>
  <c r="N114" i="1"/>
  <c r="F114" i="1"/>
  <c r="F157" i="1" s="1"/>
  <c r="J113" i="1"/>
  <c r="K113" i="1" s="1"/>
  <c r="J112" i="1"/>
  <c r="J111" i="1"/>
  <c r="K111" i="1" s="1"/>
  <c r="J110" i="1"/>
  <c r="K110" i="1" s="1"/>
  <c r="N109" i="1"/>
  <c r="N108" i="1"/>
  <c r="N107" i="1"/>
  <c r="F106" i="1"/>
  <c r="N103" i="1"/>
  <c r="Q101" i="1"/>
  <c r="N101" i="1"/>
  <c r="Q100" i="1"/>
  <c r="N100" i="1"/>
  <c r="Q99" i="1"/>
  <c r="Q98" i="1"/>
  <c r="N96" i="1"/>
  <c r="Q94" i="1"/>
  <c r="Q76" i="1"/>
  <c r="N71" i="1"/>
  <c r="F71" i="1"/>
  <c r="J70" i="1"/>
  <c r="L70" i="1" s="1"/>
  <c r="F70" i="1"/>
  <c r="J69" i="1"/>
  <c r="J72" i="1" s="1"/>
  <c r="J68" i="1"/>
  <c r="L68" i="1" s="1"/>
  <c r="J67" i="1"/>
  <c r="N66" i="1"/>
  <c r="N65" i="1"/>
  <c r="N64" i="1"/>
  <c r="F63" i="1"/>
  <c r="N68" i="1" s="1"/>
  <c r="N60" i="1"/>
  <c r="Q58" i="1"/>
  <c r="N58" i="1"/>
  <c r="Q57" i="1"/>
  <c r="N57" i="1"/>
  <c r="Q56" i="1"/>
  <c r="Q55" i="1"/>
  <c r="N53" i="1"/>
  <c r="Q51" i="1"/>
  <c r="Q34" i="1"/>
  <c r="N75" i="1" s="1"/>
  <c r="Q29" i="1"/>
  <c r="N61" i="1" s="1"/>
  <c r="Q28" i="1"/>
  <c r="N28" i="1"/>
  <c r="N27" i="1"/>
  <c r="N26" i="1"/>
  <c r="N25" i="1"/>
  <c r="N17" i="1"/>
  <c r="N14" i="1"/>
  <c r="Q11" i="1" s="1"/>
  <c r="Q17" i="1" s="1"/>
  <c r="Q19" i="1" s="1"/>
  <c r="Q13" i="1"/>
  <c r="C13" i="1"/>
  <c r="C14" i="1" s="1"/>
  <c r="Q12" i="1"/>
  <c r="N10" i="1"/>
  <c r="I10" i="1"/>
  <c r="Q27" i="1" s="1"/>
  <c r="K115" i="1" l="1"/>
  <c r="N92" i="1"/>
  <c r="N120" i="1" s="1"/>
  <c r="N121" i="1" s="1"/>
  <c r="L110" i="1"/>
  <c r="K72" i="1"/>
  <c r="N49" i="1"/>
  <c r="Q49" i="1" s="1"/>
  <c r="Q52" i="1" s="1"/>
  <c r="K373" i="1"/>
  <c r="N350" i="1"/>
  <c r="Q350" i="1" s="1"/>
  <c r="Q353" i="1" s="1"/>
  <c r="J373" i="1"/>
  <c r="J330" i="1"/>
  <c r="N264" i="1"/>
  <c r="Q264" i="1" s="1"/>
  <c r="Q267" i="1" s="1"/>
  <c r="K287" i="1"/>
  <c r="J287" i="1"/>
  <c r="N221" i="1"/>
  <c r="Q221" i="1" s="1"/>
  <c r="Q224" i="1" s="1"/>
  <c r="K244" i="1"/>
  <c r="N178" i="1"/>
  <c r="N206" i="1" s="1"/>
  <c r="N207" i="1" s="1"/>
  <c r="K201" i="1"/>
  <c r="J201" i="1"/>
  <c r="N198" i="1"/>
  <c r="J158" i="1"/>
  <c r="N69" i="1"/>
  <c r="F113" i="1"/>
  <c r="F156" i="1" s="1"/>
  <c r="F199" i="1" s="1"/>
  <c r="F242" i="1" s="1"/>
  <c r="F285" i="1" s="1"/>
  <c r="F328" i="1" s="1"/>
  <c r="F371" i="1" s="1"/>
  <c r="N70" i="1"/>
  <c r="C68" i="1"/>
  <c r="C53" i="1"/>
  <c r="L111" i="1"/>
  <c r="L154" i="1" s="1"/>
  <c r="L197" i="1" s="1"/>
  <c r="L240" i="1" s="1"/>
  <c r="L283" i="1" s="1"/>
  <c r="L326" i="1" s="1"/>
  <c r="L369" i="1" s="1"/>
  <c r="N72" i="1"/>
  <c r="L113" i="1"/>
  <c r="L156" i="1" s="1"/>
  <c r="L199" i="1" s="1"/>
  <c r="L242" i="1" s="1"/>
  <c r="L285" i="1" s="1"/>
  <c r="L328" i="1" s="1"/>
  <c r="L371" i="1" s="1"/>
  <c r="F200" i="1"/>
  <c r="C59" i="1"/>
  <c r="C15" i="1"/>
  <c r="C51" i="1" s="1"/>
  <c r="L153" i="1"/>
  <c r="L196" i="1" s="1"/>
  <c r="N240" i="1"/>
  <c r="N369" i="1"/>
  <c r="N111" i="1"/>
  <c r="J244" i="1"/>
  <c r="N112" i="1"/>
  <c r="J115" i="1"/>
  <c r="N154" i="1"/>
  <c r="N283" i="1"/>
  <c r="Q21" i="1"/>
  <c r="Q26" i="1" s="1"/>
  <c r="Q72" i="1"/>
  <c r="L69" i="1"/>
  <c r="N241" i="1"/>
  <c r="C63" i="1"/>
  <c r="N292" i="1" l="1"/>
  <c r="N293" i="1" s="1"/>
  <c r="Q92" i="1"/>
  <c r="Q95" i="1" s="1"/>
  <c r="N77" i="1"/>
  <c r="N78" i="1" s="1"/>
  <c r="N378" i="1"/>
  <c r="N379" i="1" s="1"/>
  <c r="N249" i="1"/>
  <c r="N250" i="1" s="1"/>
  <c r="Q178" i="1"/>
  <c r="Q181" i="1" s="1"/>
  <c r="N156" i="1"/>
  <c r="N113" i="1"/>
  <c r="N56" i="1"/>
  <c r="L115" i="1"/>
  <c r="N104" i="1"/>
  <c r="Q115" i="1"/>
  <c r="L239" i="1"/>
  <c r="Q30" i="1"/>
  <c r="Q37" i="1"/>
  <c r="F243" i="1"/>
  <c r="N199" i="1"/>
  <c r="L72" i="1"/>
  <c r="N55" i="1"/>
  <c r="C56" i="1"/>
  <c r="G47" i="1"/>
  <c r="C60" i="1"/>
  <c r="N59" i="1"/>
  <c r="C64" i="1"/>
  <c r="C106" i="1" s="1"/>
  <c r="Q71" i="1" l="1"/>
  <c r="N73" i="1"/>
  <c r="N116" i="1"/>
  <c r="Q114" i="1"/>
  <c r="F286" i="1"/>
  <c r="N242" i="1"/>
  <c r="N102" i="1"/>
  <c r="C107" i="1"/>
  <c r="C149" i="1" s="1"/>
  <c r="C52" i="1"/>
  <c r="C94" i="1" s="1"/>
  <c r="C102" i="1"/>
  <c r="F72" i="1"/>
  <c r="Q158" i="1"/>
  <c r="N147" i="1"/>
  <c r="L282" i="1"/>
  <c r="G52" i="1"/>
  <c r="I72" i="1"/>
  <c r="Q70" i="1" l="1"/>
  <c r="C96" i="1"/>
  <c r="N145" i="1"/>
  <c r="C150" i="1"/>
  <c r="C192" i="1" s="1"/>
  <c r="F329" i="1"/>
  <c r="N285" i="1"/>
  <c r="N190" i="1"/>
  <c r="Q201" i="1"/>
  <c r="C99" i="1"/>
  <c r="G90" i="1"/>
  <c r="N98" i="1"/>
  <c r="C103" i="1"/>
  <c r="N105" i="1"/>
  <c r="N62" i="1"/>
  <c r="C145" i="1" l="1"/>
  <c r="F115" i="1"/>
  <c r="C95" i="1"/>
  <c r="N80" i="1"/>
  <c r="N79" i="1" s="1"/>
  <c r="Q54" i="1" s="1"/>
  <c r="Q60" i="1" s="1"/>
  <c r="C193" i="1"/>
  <c r="C235" i="1" s="1"/>
  <c r="N188" i="1"/>
  <c r="I115" i="1"/>
  <c r="G95" i="1"/>
  <c r="Q244" i="1"/>
  <c r="N233" i="1"/>
  <c r="N115" i="1"/>
  <c r="C111" i="1"/>
  <c r="N99" i="1" s="1"/>
  <c r="F372" i="1"/>
  <c r="N371" i="1" s="1"/>
  <c r="N328" i="1"/>
  <c r="Q78" i="1" l="1"/>
  <c r="Q77" i="1" s="1"/>
  <c r="Q62" i="1"/>
  <c r="N231" i="1"/>
  <c r="C236" i="1"/>
  <c r="C278" i="1" s="1"/>
  <c r="C137" i="1"/>
  <c r="C72" i="1"/>
  <c r="N82" i="1"/>
  <c r="N83" i="1" s="1"/>
  <c r="N276" i="1"/>
  <c r="Q287" i="1"/>
  <c r="C146" i="1"/>
  <c r="N141" i="1"/>
  <c r="C142" i="1"/>
  <c r="G133" i="1"/>
  <c r="C139" i="1"/>
  <c r="Q113" i="1"/>
  <c r="I158" i="1" l="1"/>
  <c r="G138" i="1"/>
  <c r="Q330" i="1"/>
  <c r="N319" i="1"/>
  <c r="N274" i="1"/>
  <c r="C279" i="1"/>
  <c r="C321" i="1" s="1"/>
  <c r="C188" i="1"/>
  <c r="F158" i="1"/>
  <c r="C138" i="1"/>
  <c r="C180" i="1" s="1"/>
  <c r="Q79" i="1"/>
  <c r="Q64" i="1"/>
  <c r="Q69" i="1" s="1"/>
  <c r="Q73" i="1" s="1"/>
  <c r="N118" i="1"/>
  <c r="N158" i="1"/>
  <c r="C154" i="1"/>
  <c r="N142" i="1" s="1"/>
  <c r="N123" i="1" l="1"/>
  <c r="N122" i="1" s="1"/>
  <c r="Q97" i="1" s="1"/>
  <c r="Q103" i="1" s="1"/>
  <c r="C322" i="1"/>
  <c r="C364" i="1" s="1"/>
  <c r="N317" i="1"/>
  <c r="N184" i="1"/>
  <c r="C189" i="1"/>
  <c r="C67" i="1"/>
  <c r="Q119" i="1"/>
  <c r="Q373" i="1"/>
  <c r="N362" i="1"/>
  <c r="Q81" i="1"/>
  <c r="Q156" i="1"/>
  <c r="C182" i="1"/>
  <c r="Q121" i="1" l="1"/>
  <c r="Q120" i="1" s="1"/>
  <c r="N161" i="1" s="1"/>
  <c r="Q105" i="1"/>
  <c r="F201" i="1"/>
  <c r="C181" i="1"/>
  <c r="C223" i="1" s="1"/>
  <c r="C231" i="1"/>
  <c r="N125" i="1"/>
  <c r="N126" i="1" s="1"/>
  <c r="G181" i="1"/>
  <c r="I201" i="1"/>
  <c r="C197" i="1"/>
  <c r="N185" i="1" s="1"/>
  <c r="N201" i="1"/>
  <c r="C365" i="1"/>
  <c r="N360" i="1"/>
  <c r="Q122" i="1" l="1"/>
  <c r="C110" i="1" s="1"/>
  <c r="Q199" i="1"/>
  <c r="C225" i="1"/>
  <c r="N227" i="1"/>
  <c r="C232" i="1"/>
  <c r="Q107" i="1"/>
  <c r="Q112" i="1" s="1"/>
  <c r="Q116" i="1" s="1"/>
  <c r="Q162" i="1" l="1"/>
  <c r="C224" i="1"/>
  <c r="C266" i="1" s="1"/>
  <c r="C274" i="1"/>
  <c r="F244" i="1"/>
  <c r="Q124" i="1"/>
  <c r="I244" i="1"/>
  <c r="N244" i="1"/>
  <c r="C240" i="1"/>
  <c r="N228" i="1" s="1"/>
  <c r="Q242" i="1" l="1"/>
  <c r="C268" i="1"/>
  <c r="N270" i="1"/>
  <c r="C275" i="1"/>
  <c r="I287" i="1" l="1"/>
  <c r="G267" i="1"/>
  <c r="C317" i="1"/>
  <c r="C267" i="1"/>
  <c r="C309" i="1" s="1"/>
  <c r="F287" i="1"/>
  <c r="N287" i="1"/>
  <c r="C283" i="1"/>
  <c r="N271" i="1" s="1"/>
  <c r="N313" i="1" l="1"/>
  <c r="C318" i="1"/>
  <c r="C311" i="1"/>
  <c r="Q285" i="1"/>
  <c r="C326" i="1" l="1"/>
  <c r="N314" i="1" s="1"/>
  <c r="N330" i="1"/>
  <c r="F330" i="1"/>
  <c r="C310" i="1"/>
  <c r="C352" i="1" s="1"/>
  <c r="C360" i="1"/>
  <c r="G310" i="1"/>
  <c r="I330" i="1"/>
  <c r="N356" i="1" l="1"/>
  <c r="C361" i="1"/>
  <c r="Q328" i="1"/>
  <c r="C354" i="1"/>
  <c r="N373" i="1" l="1"/>
  <c r="C369" i="1"/>
  <c r="N357" i="1" s="1"/>
  <c r="F373" i="1"/>
  <c r="C353" i="1"/>
  <c r="I373" i="1"/>
  <c r="G353" i="1"/>
  <c r="Q371" i="1" l="1"/>
  <c r="L198" i="1"/>
  <c r="L201" i="1" s="1"/>
  <c r="N135" i="1"/>
  <c r="Q135" i="1" s="1"/>
  <c r="Q138" i="1" s="1"/>
  <c r="L155" i="1"/>
  <c r="L158" i="1" s="1"/>
  <c r="K158" i="1"/>
  <c r="N159" i="1" l="1"/>
  <c r="Q157" i="1"/>
  <c r="N148" i="1" s="1"/>
  <c r="N163" i="1"/>
  <c r="N164" i="1" s="1"/>
  <c r="N166" i="1"/>
  <c r="N165" i="1" s="1"/>
  <c r="Q140" i="1" s="1"/>
  <c r="Q146" i="1" s="1"/>
  <c r="Q164" i="1" s="1"/>
  <c r="Q163" i="1" s="1"/>
  <c r="Q200" i="1"/>
  <c r="N191" i="1" s="1"/>
  <c r="N202" i="1"/>
  <c r="L241" i="1"/>
  <c r="N168" i="1" l="1"/>
  <c r="N169" i="1" s="1"/>
  <c r="L284" i="1"/>
  <c r="L244" i="1"/>
  <c r="Q148" i="1"/>
  <c r="Q165" i="1"/>
  <c r="Q150" i="1"/>
  <c r="Q155" i="1" s="1"/>
  <c r="N204" i="1"/>
  <c r="Q159" i="1" l="1"/>
  <c r="Q167" i="1"/>
  <c r="C153" i="1"/>
  <c r="Q205" i="1"/>
  <c r="N209" i="1"/>
  <c r="N208" i="1" s="1"/>
  <c r="N211" i="1" s="1"/>
  <c r="N212" i="1" s="1"/>
  <c r="N245" i="1"/>
  <c r="Q243" i="1"/>
  <c r="L327" i="1"/>
  <c r="L287" i="1"/>
  <c r="Q183" i="1" l="1"/>
  <c r="Q189" i="1" s="1"/>
  <c r="Q207" i="1" s="1"/>
  <c r="Q206" i="1" s="1"/>
  <c r="L370" i="1"/>
  <c r="N288" i="1"/>
  <c r="Q286" i="1"/>
  <c r="N277" i="1" s="1"/>
  <c r="N234" i="1"/>
  <c r="Q191" i="1" l="1"/>
  <c r="Q193" i="1" s="1"/>
  <c r="Q198" i="1" s="1"/>
  <c r="Q208" i="1"/>
  <c r="N247" i="1"/>
  <c r="N252" i="1" s="1"/>
  <c r="N251" i="1" s="1"/>
  <c r="N254" i="1" s="1"/>
  <c r="N255" i="1" s="1"/>
  <c r="Q210" i="1" l="1"/>
  <c r="Q202" i="1"/>
  <c r="Q226" i="1"/>
  <c r="Q232" i="1" s="1"/>
  <c r="Q248" i="1"/>
  <c r="C196" i="1"/>
  <c r="Q234" i="1" l="1"/>
  <c r="Q250" i="1"/>
  <c r="Q249" i="1" s="1"/>
  <c r="Q236" i="1" l="1"/>
  <c r="Q241" i="1" s="1"/>
  <c r="Q245" i="1" s="1"/>
  <c r="Q251" i="1"/>
  <c r="N290" i="1"/>
  <c r="Q253" i="1" l="1"/>
  <c r="N295" i="1"/>
  <c r="N294" i="1" s="1"/>
  <c r="Q269" i="1" s="1"/>
  <c r="Q275" i="1" s="1"/>
  <c r="Q291" i="1"/>
  <c r="C239" i="1"/>
  <c r="Q293" i="1" l="1"/>
  <c r="Q292" i="1" s="1"/>
  <c r="Q277" i="1"/>
  <c r="N297" i="1"/>
  <c r="N298" i="1" s="1"/>
  <c r="Q279" i="1" l="1"/>
  <c r="Q284" i="1" s="1"/>
  <c r="Q296" i="1" s="1"/>
  <c r="N333" i="1"/>
  <c r="Q294" i="1"/>
  <c r="C282" i="1" l="1"/>
  <c r="Q288" i="1"/>
  <c r="S291" i="1" s="1"/>
  <c r="Q334" i="1"/>
  <c r="N307" i="1"/>
  <c r="L325" i="1"/>
  <c r="L368" i="1" s="1"/>
  <c r="L373" i="1" s="1"/>
  <c r="K330" i="1"/>
  <c r="N335" i="1" l="1"/>
  <c r="N336" i="1" s="1"/>
  <c r="N374" i="1"/>
  <c r="Q372" i="1"/>
  <c r="L330" i="1"/>
  <c r="Q307" i="1"/>
  <c r="Q310" i="1" s="1"/>
  <c r="N331" i="1" l="1"/>
  <c r="Q329" i="1"/>
  <c r="N363" i="1" l="1"/>
  <c r="N320" i="1"/>
  <c r="N338" i="1" l="1"/>
  <c r="N337" i="1" s="1"/>
  <c r="Q312" i="1" s="1"/>
  <c r="Q318" i="1" s="1"/>
  <c r="Q336" i="1" l="1"/>
  <c r="Q335" i="1" s="1"/>
  <c r="Q320" i="1"/>
  <c r="N340" i="1"/>
  <c r="N341" i="1" s="1"/>
  <c r="Q322" i="1" l="1"/>
  <c r="Q327" i="1" s="1"/>
  <c r="N376" i="1"/>
  <c r="Q337" i="1"/>
  <c r="Q377" i="1" l="1"/>
  <c r="C325" i="1"/>
  <c r="N381" i="1"/>
  <c r="N380" i="1" s="1"/>
  <c r="Q355" i="1" s="1"/>
  <c r="Q361" i="1" s="1"/>
  <c r="Q331" i="1"/>
  <c r="S336" i="1" s="1"/>
  <c r="Q339" i="1"/>
  <c r="Q363" i="1" l="1"/>
  <c r="Q379" i="1"/>
  <c r="Q378" i="1" s="1"/>
  <c r="N383" i="1"/>
  <c r="N384" i="1" s="1"/>
  <c r="Q365" i="1" l="1"/>
  <c r="Q370" i="1" s="1"/>
  <c r="Q374" i="1" s="1"/>
  <c r="Q380" i="1"/>
  <c r="C368" i="1" l="1"/>
  <c r="S379" i="1"/>
  <c r="Q382" i="1"/>
</calcChain>
</file>

<file path=xl/sharedStrings.xml><?xml version="1.0" encoding="utf-8"?>
<sst xmlns="http://schemas.openxmlformats.org/spreadsheetml/2006/main" count="1306" uniqueCount="148">
  <si>
    <t>税率</t>
  </si>
  <si>
    <t>增值税</t>
  </si>
  <si>
    <t>附加税</t>
  </si>
  <si>
    <t>企业所得税</t>
  </si>
  <si>
    <t>贷款年利率</t>
  </si>
  <si>
    <t>折现率</t>
  </si>
  <si>
    <t>流程：采购部-人事部-财务部-生产部研发-市场部-物流部</t>
  </si>
  <si>
    <t>筹建阶段</t>
  </si>
  <si>
    <t>采购部决策</t>
  </si>
  <si>
    <t>人事部决策</t>
  </si>
  <si>
    <t>运营状况预测表</t>
  </si>
  <si>
    <t>利润表</t>
  </si>
  <si>
    <t>现金流量表</t>
  </si>
  <si>
    <t>生产线</t>
  </si>
  <si>
    <t>招聘员工数</t>
  </si>
  <si>
    <t>解聘员工数</t>
  </si>
  <si>
    <t>投放量</t>
  </si>
  <si>
    <t>销售量</t>
  </si>
  <si>
    <t>库存</t>
  </si>
  <si>
    <t>项目</t>
  </si>
  <si>
    <t>数额</t>
  </si>
  <si>
    <t>原材料正常采购</t>
  </si>
  <si>
    <t>技术工人</t>
  </si>
  <si>
    <t>华北市场</t>
  </si>
  <si>
    <t>一、收入</t>
  </si>
  <si>
    <t>一、流入现金</t>
  </si>
  <si>
    <t>原材料非正常采购</t>
  </si>
  <si>
    <t>华中市场</t>
  </si>
  <si>
    <t>销售收入</t>
  </si>
  <si>
    <t>华南市场</t>
  </si>
  <si>
    <t>生产研发部决策</t>
  </si>
  <si>
    <t>华东市场</t>
  </si>
  <si>
    <t>二、费用</t>
  </si>
  <si>
    <t>借款</t>
  </si>
  <si>
    <t>生产计划量</t>
  </si>
  <si>
    <t>总原料库存量</t>
  </si>
  <si>
    <t>总投放量</t>
  </si>
  <si>
    <t>总销售量</t>
  </si>
  <si>
    <t>总产品库存量</t>
  </si>
  <si>
    <t>（一）产品成本</t>
  </si>
  <si>
    <t>流入现金合计</t>
  </si>
  <si>
    <t>研发投入</t>
  </si>
  <si>
    <t>研发费用</t>
  </si>
  <si>
    <t>二、流出现金</t>
  </si>
  <si>
    <t>其它需输入量</t>
  </si>
  <si>
    <t>班次管理费</t>
  </si>
  <si>
    <t>现金费用支出</t>
  </si>
  <si>
    <t>下期采购生产部参考量</t>
  </si>
  <si>
    <t>本期价格</t>
  </si>
  <si>
    <t>人工费用</t>
  </si>
  <si>
    <t>购料支出</t>
  </si>
  <si>
    <t>下期生产线数量</t>
  </si>
  <si>
    <t>下期价格</t>
  </si>
  <si>
    <t>原材料耗用</t>
  </si>
  <si>
    <t>生产线投资支出</t>
  </si>
  <si>
    <t>下季产量</t>
  </si>
  <si>
    <t>原材料订购费用</t>
  </si>
  <si>
    <t>还款</t>
  </si>
  <si>
    <t>下季原材料耗费量</t>
  </si>
  <si>
    <t>其它参考量</t>
  </si>
  <si>
    <t>原材料非正常采购费用</t>
  </si>
  <si>
    <t>发放红利</t>
  </si>
  <si>
    <t>债务</t>
  </si>
  <si>
    <t>生产线维护费用</t>
  </si>
  <si>
    <t>单位原材料成本</t>
  </si>
  <si>
    <t>生产线订购费用</t>
  </si>
  <si>
    <t>流出现金合计</t>
  </si>
  <si>
    <t>生产线折旧</t>
  </si>
  <si>
    <t>产成品存货价值修正</t>
  </si>
  <si>
    <t>三、本季现金流量</t>
  </si>
  <si>
    <t>（二）销售费用</t>
  </si>
  <si>
    <t>营销费用</t>
  </si>
  <si>
    <t>四、季末现金余额</t>
  </si>
  <si>
    <t>运输费用</t>
  </si>
  <si>
    <t>紧急调拨费用</t>
  </si>
  <si>
    <t>资产负债表</t>
  </si>
  <si>
    <t>（三）管理费用</t>
  </si>
  <si>
    <t>招聘费</t>
  </si>
  <si>
    <t>一、资产</t>
  </si>
  <si>
    <t>培训费</t>
  </si>
  <si>
    <t>现金</t>
  </si>
  <si>
    <t>员工工资</t>
  </si>
  <si>
    <t>原材料存货价值</t>
  </si>
  <si>
    <t>一次性员工安置费</t>
  </si>
  <si>
    <t>产成品存货价值</t>
  </si>
  <si>
    <t>原材料仓储费用</t>
  </si>
  <si>
    <t>生产设备价值</t>
  </si>
  <si>
    <t>产成品仓储费用</t>
  </si>
  <si>
    <t>资产合计</t>
  </si>
  <si>
    <t>（四）财务费用</t>
  </si>
  <si>
    <t>银行利息</t>
  </si>
  <si>
    <t>二、负债</t>
  </si>
  <si>
    <t>（五）税费</t>
  </si>
  <si>
    <t>正常负债</t>
  </si>
  <si>
    <t>非正常负债</t>
  </si>
  <si>
    <t>负债合计</t>
  </si>
  <si>
    <t>企业所得税（参考量）</t>
  </si>
  <si>
    <t>三、所有者权益</t>
  </si>
  <si>
    <t>费用合计</t>
  </si>
  <si>
    <t>三、净利润</t>
  </si>
  <si>
    <t>第一季度</t>
  </si>
  <si>
    <t>物流部决策</t>
  </si>
  <si>
    <t>---------------------&gt;</t>
  </si>
  <si>
    <t>紧急调拨</t>
  </si>
  <si>
    <t>华北-华中</t>
  </si>
  <si>
    <t>华北-华南</t>
  </si>
  <si>
    <t>华北-华东</t>
  </si>
  <si>
    <t>华中-华北</t>
  </si>
  <si>
    <t>华中-华南</t>
  </si>
  <si>
    <t>华中-华东</t>
  </si>
  <si>
    <t>原材料参考量</t>
  </si>
  <si>
    <t>本季原材料需求量</t>
  </si>
  <si>
    <t>华南-华北</t>
  </si>
  <si>
    <t>华南-华中</t>
  </si>
  <si>
    <t>华南-华东</t>
  </si>
  <si>
    <t>参考量</t>
  </si>
  <si>
    <t>产量/4=</t>
  </si>
  <si>
    <t>上季原料库存</t>
  </si>
  <si>
    <t>市场部决策</t>
  </si>
  <si>
    <t>华东-华北</t>
  </si>
  <si>
    <t>华东-华中</t>
  </si>
  <si>
    <t>华东-华南</t>
  </si>
  <si>
    <t>单价（经验）</t>
  </si>
  <si>
    <t>营销投入</t>
  </si>
  <si>
    <t>财务部决策</t>
  </si>
  <si>
    <t>原材料订购成本</t>
  </si>
  <si>
    <t>产量参考量</t>
  </si>
  <si>
    <t>本季产量</t>
  </si>
  <si>
    <t>生产线参考量</t>
  </si>
  <si>
    <t>本期生产线数量</t>
  </si>
  <si>
    <t xml:space="preserve"> </t>
  </si>
  <si>
    <t>人事部参考量</t>
  </si>
  <si>
    <t>本季技工总量</t>
  </si>
  <si>
    <t>本季客服总量</t>
  </si>
  <si>
    <t>预购材料</t>
  </si>
  <si>
    <t>下季产量/4</t>
  </si>
  <si>
    <t>非正常负债(实际)</t>
  </si>
  <si>
    <t>非正常负债(中间计算量）</t>
  </si>
  <si>
    <t>企业所得税(实际)</t>
  </si>
  <si>
    <t>企业所得税(中间计算量)</t>
  </si>
  <si>
    <t>第二季度</t>
  </si>
  <si>
    <t>单价</t>
  </si>
  <si>
    <t>第三季度</t>
  </si>
  <si>
    <t>第四季度</t>
  </si>
  <si>
    <t>第五季度</t>
  </si>
  <si>
    <t>第六季度</t>
  </si>
  <si>
    <t>第七季度</t>
  </si>
  <si>
    <t>第八季度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</si>
</sst>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4" borderId="0" xfId="0" applyFont="1" applyFill="1">
      <alignment vertical="center"/>
    </xf>
    <xf numFmtId="176" fontId="1" fillId="0" borderId="0" xfId="0" applyNumberFormat="1" applyFont="1" applyAlignment="1">
      <alignment horizontal="right" vertical="justify"/>
    </xf>
    <xf numFmtId="0" fontId="4" fillId="5" borderId="0" xfId="0" applyFont="1" applyFill="1">
      <alignment vertical="center"/>
    </xf>
    <xf numFmtId="176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7" borderId="1" xfId="0" applyFont="1" applyFill="1" applyBorder="1" applyAlignment="1">
      <alignment horizontal="left" vertical="center" indent="1"/>
    </xf>
    <xf numFmtId="176" fontId="1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right" vertical="justify"/>
    </xf>
    <xf numFmtId="176" fontId="1" fillId="0" borderId="1" xfId="0" applyNumberFormat="1" applyFont="1" applyBorder="1" applyAlignment="1">
      <alignment horizontal="right" vertical="center"/>
    </xf>
    <xf numFmtId="0" fontId="1" fillId="0" borderId="3" xfId="0" applyFont="1" applyBorder="1">
      <alignment vertical="center"/>
    </xf>
    <xf numFmtId="0" fontId="1" fillId="11" borderId="0" xfId="0" applyFont="1" applyFill="1">
      <alignment vertical="center"/>
    </xf>
    <xf numFmtId="0" fontId="1" fillId="9" borderId="0" xfId="0" applyFont="1" applyFill="1">
      <alignment vertical="center"/>
    </xf>
    <xf numFmtId="176" fontId="1" fillId="9" borderId="0" xfId="0" applyNumberFormat="1" applyFont="1" applyFill="1" applyAlignment="1">
      <alignment horizontal="right" vertical="justify"/>
    </xf>
    <xf numFmtId="9" fontId="6" fillId="11" borderId="1" xfId="0" applyNumberFormat="1" applyFont="1" applyFill="1" applyBorder="1">
      <alignment vertical="center"/>
    </xf>
    <xf numFmtId="0" fontId="6" fillId="11" borderId="1" xfId="0" applyFont="1" applyFill="1" applyBorder="1">
      <alignment vertical="center"/>
    </xf>
    <xf numFmtId="0" fontId="1" fillId="12" borderId="0" xfId="0" applyFont="1" applyFill="1">
      <alignment vertical="center"/>
    </xf>
    <xf numFmtId="176" fontId="1" fillId="12" borderId="0" xfId="0" applyNumberFormat="1" applyFont="1" applyFill="1" applyAlignment="1">
      <alignment horizontal="right" vertical="justify"/>
    </xf>
    <xf numFmtId="176" fontId="1" fillId="12" borderId="1" xfId="0" applyNumberFormat="1" applyFont="1" applyFill="1" applyBorder="1">
      <alignment vertical="center"/>
    </xf>
    <xf numFmtId="0" fontId="1" fillId="12" borderId="0" xfId="0" applyFont="1" applyFill="1" applyAlignment="1">
      <alignment horizontal="right" vertical="center"/>
    </xf>
    <xf numFmtId="0" fontId="1" fillId="12" borderId="0" xfId="0" applyFont="1" applyFill="1" applyAlignment="1">
      <alignment horizontal="right" vertical="justify"/>
    </xf>
    <xf numFmtId="176" fontId="1" fillId="11" borderId="0" xfId="0" applyNumberFormat="1" applyFont="1" applyFill="1" applyAlignment="1">
      <alignment horizontal="right" vertical="justify"/>
    </xf>
    <xf numFmtId="176" fontId="1" fillId="13" borderId="0" xfId="0" applyNumberFormat="1" applyFont="1" applyFill="1" applyAlignment="1">
      <alignment horizontal="right" vertical="justify"/>
    </xf>
    <xf numFmtId="0" fontId="1" fillId="13" borderId="0" xfId="0" applyFont="1" applyFill="1" applyAlignment="1">
      <alignment horizontal="right" vertical="justify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right" vertical="center"/>
    </xf>
    <xf numFmtId="176" fontId="1" fillId="10" borderId="0" xfId="0" applyNumberFormat="1" applyFont="1" applyFill="1" applyAlignment="1">
      <alignment horizontal="right" vertical="justify"/>
    </xf>
    <xf numFmtId="0" fontId="1" fillId="10" borderId="0" xfId="0" applyFont="1" applyFill="1" applyAlignment="1">
      <alignment horizontal="right" vertical="center"/>
    </xf>
    <xf numFmtId="0" fontId="1" fillId="10" borderId="0" xfId="0" applyFont="1" applyFill="1" applyAlignment="1">
      <alignment horizontal="right" vertical="justify"/>
    </xf>
    <xf numFmtId="0" fontId="1" fillId="10" borderId="0" xfId="0" applyFont="1" applyFill="1">
      <alignment vertical="center"/>
    </xf>
    <xf numFmtId="176" fontId="1" fillId="9" borderId="0" xfId="0" applyNumberFormat="1" applyFont="1" applyFill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255"/>
    </xf>
    <xf numFmtId="0" fontId="3" fillId="3" borderId="3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 textRotation="255"/>
    </xf>
    <xf numFmtId="0" fontId="1" fillId="6" borderId="0" xfId="0" applyFont="1" applyFill="1" applyAlignment="1">
      <alignment horizontal="left" vertical="center"/>
    </xf>
    <xf numFmtId="176" fontId="7" fillId="9" borderId="0" xfId="0" applyNumberFormat="1" applyFont="1" applyFill="1" applyAlignment="1">
      <alignment horizontal="right" vertical="justify"/>
    </xf>
    <xf numFmtId="176" fontId="7" fillId="13" borderId="0" xfId="0" applyNumberFormat="1" applyFont="1" applyFill="1" applyAlignment="1">
      <alignment horizontal="right" vertical="justify"/>
    </xf>
    <xf numFmtId="0" fontId="1" fillId="1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4"/>
  <sheetViews>
    <sheetView tabSelected="1" topLeftCell="A347" zoomScale="70" zoomScaleNormal="70" workbookViewId="0">
      <pane xSplit="1" topLeftCell="B1" activePane="topRight" state="frozen"/>
      <selection pane="topRight" activeCell="C357" sqref="C357"/>
    </sheetView>
  </sheetViews>
  <sheetFormatPr defaultColWidth="8.88671875" defaultRowHeight="14.4" x14ac:dyDescent="0.25"/>
  <cols>
    <col min="1" max="1" width="8.88671875" style="1"/>
    <col min="2" max="2" width="22.44140625" style="1" customWidth="1"/>
    <col min="3" max="3" width="13.5546875" style="1" customWidth="1"/>
    <col min="4" max="4" width="3.21875" style="1" customWidth="1"/>
    <col min="5" max="5" width="14.77734375" style="1" customWidth="1"/>
    <col min="6" max="6" width="12.44140625" style="1" customWidth="1"/>
    <col min="7" max="7" width="13.44140625" style="1" customWidth="1"/>
    <col min="8" max="8" width="1.6640625" style="1" customWidth="1"/>
    <col min="9" max="9" width="13.88671875" style="1" customWidth="1"/>
    <col min="10" max="10" width="14.21875" style="1" customWidth="1"/>
    <col min="11" max="11" width="12.77734375" style="1" customWidth="1"/>
    <col min="12" max="12" width="13.33203125" style="1" customWidth="1"/>
    <col min="13" max="13" width="27.21875" style="1" customWidth="1"/>
    <col min="14" max="14" width="14.21875" style="1" customWidth="1"/>
    <col min="15" max="15" width="4.21875" style="1" customWidth="1"/>
    <col min="16" max="16" width="21.44140625" style="1" customWidth="1"/>
    <col min="17" max="17" width="14.21875" style="1" customWidth="1"/>
    <col min="18" max="16384" width="8.88671875" style="1"/>
  </cols>
  <sheetData>
    <row r="1" spans="1:17" ht="14.55" customHeight="1" x14ac:dyDescent="0.25">
      <c r="A1" s="43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I1" s="47" t="s">
        <v>6</v>
      </c>
      <c r="J1" s="47"/>
      <c r="K1" s="47"/>
      <c r="L1" s="47"/>
      <c r="M1" s="47"/>
      <c r="N1" s="47"/>
      <c r="O1" s="47"/>
      <c r="P1" s="47"/>
    </row>
    <row r="2" spans="1:17" ht="15.6" x14ac:dyDescent="0.25">
      <c r="A2" s="43"/>
      <c r="B2" s="19">
        <v>0.06</v>
      </c>
      <c r="C2" s="19">
        <v>0.08</v>
      </c>
      <c r="D2" s="20"/>
      <c r="E2" s="19">
        <v>0.25</v>
      </c>
      <c r="F2" s="19">
        <v>0.06</v>
      </c>
      <c r="G2" s="19">
        <v>0.03</v>
      </c>
      <c r="I2" s="47"/>
      <c r="J2" s="47"/>
      <c r="K2" s="47"/>
      <c r="L2" s="47"/>
      <c r="M2" s="47"/>
      <c r="N2" s="47"/>
      <c r="O2" s="47"/>
      <c r="P2" s="47"/>
    </row>
    <row r="3" spans="1:17" ht="14.55" customHeight="1" x14ac:dyDescent="0.25">
      <c r="A3" s="44" t="s">
        <v>7</v>
      </c>
      <c r="B3" s="3" t="s">
        <v>8</v>
      </c>
      <c r="E3" s="3" t="s">
        <v>9</v>
      </c>
      <c r="I3" s="36" t="s">
        <v>10</v>
      </c>
      <c r="J3" s="36"/>
      <c r="K3" s="36"/>
      <c r="L3" s="37"/>
      <c r="M3" s="38" t="s">
        <v>11</v>
      </c>
      <c r="N3" s="38"/>
      <c r="P3" s="38" t="s">
        <v>12</v>
      </c>
      <c r="Q3" s="38"/>
    </row>
    <row r="4" spans="1:17" x14ac:dyDescent="0.25">
      <c r="A4" s="44"/>
      <c r="B4" s="1" t="s">
        <v>13</v>
      </c>
      <c r="C4" s="17">
        <v>8</v>
      </c>
      <c r="F4" s="1" t="s">
        <v>14</v>
      </c>
      <c r="G4" s="1" t="s">
        <v>15</v>
      </c>
      <c r="J4" s="1" t="s">
        <v>16</v>
      </c>
      <c r="K4" s="1" t="s">
        <v>17</v>
      </c>
      <c r="L4" s="1" t="s">
        <v>18</v>
      </c>
      <c r="M4" s="8" t="s">
        <v>19</v>
      </c>
      <c r="N4" s="8" t="s">
        <v>20</v>
      </c>
      <c r="P4" s="8" t="s">
        <v>19</v>
      </c>
      <c r="Q4" s="8" t="s">
        <v>20</v>
      </c>
    </row>
    <row r="5" spans="1:17" x14ac:dyDescent="0.25">
      <c r="A5" s="44"/>
      <c r="B5" s="1" t="s">
        <v>21</v>
      </c>
      <c r="C5" s="17">
        <v>0</v>
      </c>
      <c r="E5" s="1" t="s">
        <v>22</v>
      </c>
      <c r="F5" s="17">
        <v>24</v>
      </c>
      <c r="G5" s="1">
        <v>0</v>
      </c>
      <c r="I5" s="1" t="s">
        <v>23</v>
      </c>
      <c r="J5" s="4">
        <v>0</v>
      </c>
      <c r="K5" s="4">
        <v>0</v>
      </c>
      <c r="L5" s="4">
        <v>0</v>
      </c>
      <c r="M5" s="9" t="s">
        <v>24</v>
      </c>
      <c r="N5" s="2"/>
      <c r="P5" s="9" t="s">
        <v>25</v>
      </c>
      <c r="Q5" s="11"/>
    </row>
    <row r="6" spans="1:17" x14ac:dyDescent="0.25">
      <c r="A6" s="44"/>
      <c r="B6" s="1" t="s">
        <v>26</v>
      </c>
      <c r="C6" s="17">
        <v>0</v>
      </c>
      <c r="E6" s="1" t="s">
        <v>23</v>
      </c>
      <c r="F6" s="17">
        <v>3</v>
      </c>
      <c r="G6" s="1">
        <v>0</v>
      </c>
      <c r="I6" s="1" t="s">
        <v>27</v>
      </c>
      <c r="J6" s="4">
        <v>0</v>
      </c>
      <c r="K6" s="4">
        <v>0</v>
      </c>
      <c r="L6" s="4">
        <v>0</v>
      </c>
      <c r="M6" s="10" t="s">
        <v>28</v>
      </c>
      <c r="N6" s="11">
        <v>0</v>
      </c>
      <c r="P6" s="10" t="s">
        <v>28</v>
      </c>
      <c r="Q6" s="11">
        <v>0</v>
      </c>
    </row>
    <row r="7" spans="1:17" x14ac:dyDescent="0.25">
      <c r="A7" s="44"/>
      <c r="C7" s="4"/>
      <c r="E7" s="1" t="s">
        <v>27</v>
      </c>
      <c r="F7" s="17">
        <v>3</v>
      </c>
      <c r="G7" s="1">
        <v>0</v>
      </c>
      <c r="I7" s="1" t="s">
        <v>29</v>
      </c>
      <c r="J7" s="4">
        <v>0</v>
      </c>
      <c r="K7" s="4">
        <v>0</v>
      </c>
      <c r="L7" s="4">
        <v>0</v>
      </c>
      <c r="M7" s="9"/>
      <c r="N7" s="11"/>
      <c r="P7" s="9"/>
      <c r="Q7" s="11"/>
    </row>
    <row r="8" spans="1:17" x14ac:dyDescent="0.25">
      <c r="A8" s="44"/>
      <c r="B8" s="3" t="s">
        <v>30</v>
      </c>
      <c r="E8" s="1" t="s">
        <v>29</v>
      </c>
      <c r="F8" s="17">
        <v>3</v>
      </c>
      <c r="G8" s="1">
        <v>0</v>
      </c>
      <c r="I8" s="1" t="s">
        <v>31</v>
      </c>
      <c r="J8" s="4">
        <v>0</v>
      </c>
      <c r="K8" s="4">
        <v>0</v>
      </c>
      <c r="L8" s="4">
        <v>0</v>
      </c>
      <c r="M8" s="9" t="s">
        <v>32</v>
      </c>
      <c r="N8" s="11"/>
      <c r="P8" s="10" t="s">
        <v>33</v>
      </c>
      <c r="Q8" s="11">
        <v>0</v>
      </c>
    </row>
    <row r="9" spans="1:17" x14ac:dyDescent="0.25">
      <c r="A9" s="44"/>
      <c r="B9" s="1" t="s">
        <v>34</v>
      </c>
      <c r="C9" s="18">
        <v>0</v>
      </c>
      <c r="E9" s="1" t="s">
        <v>31</v>
      </c>
      <c r="F9" s="17">
        <v>3</v>
      </c>
      <c r="G9" s="1">
        <v>0</v>
      </c>
      <c r="I9" s="1" t="s">
        <v>35</v>
      </c>
      <c r="J9" s="1" t="s">
        <v>36</v>
      </c>
      <c r="K9" s="1" t="s">
        <v>37</v>
      </c>
      <c r="L9" s="1" t="s">
        <v>38</v>
      </c>
      <c r="M9" s="10" t="s">
        <v>39</v>
      </c>
      <c r="N9" s="11"/>
      <c r="P9" s="10" t="s">
        <v>40</v>
      </c>
      <c r="Q9" s="11">
        <v>0</v>
      </c>
    </row>
    <row r="10" spans="1:17" x14ac:dyDescent="0.25">
      <c r="A10" s="44"/>
      <c r="B10" s="1" t="s">
        <v>41</v>
      </c>
      <c r="C10" s="18">
        <v>1502000</v>
      </c>
      <c r="I10" s="22">
        <f>C5</f>
        <v>0</v>
      </c>
      <c r="J10" s="4">
        <v>0</v>
      </c>
      <c r="K10" s="4">
        <v>0</v>
      </c>
      <c r="L10" s="4">
        <v>0</v>
      </c>
      <c r="M10" s="10" t="s">
        <v>42</v>
      </c>
      <c r="N10" s="11">
        <f>C10</f>
        <v>1502000</v>
      </c>
      <c r="P10" s="9" t="s">
        <v>43</v>
      </c>
      <c r="Q10" s="11"/>
    </row>
    <row r="11" spans="1:17" x14ac:dyDescent="0.25">
      <c r="A11" s="44"/>
      <c r="E11" s="3" t="s">
        <v>44</v>
      </c>
      <c r="M11" s="10" t="s">
        <v>45</v>
      </c>
      <c r="N11" s="11">
        <v>0</v>
      </c>
      <c r="P11" s="10" t="s">
        <v>46</v>
      </c>
      <c r="Q11" s="11">
        <f>SUM(P39,N10:N12,N14:N17,N21:N23,N25:N30,N32,N34:N36)</f>
        <v>2500000</v>
      </c>
    </row>
    <row r="12" spans="1:17" x14ac:dyDescent="0.25">
      <c r="A12" s="44"/>
      <c r="B12" s="5" t="s">
        <v>47</v>
      </c>
      <c r="E12" s="1" t="s">
        <v>48</v>
      </c>
      <c r="F12" s="17">
        <v>1.5</v>
      </c>
      <c r="M12" s="10" t="s">
        <v>49</v>
      </c>
      <c r="N12" s="11">
        <v>0</v>
      </c>
      <c r="P12" s="10" t="s">
        <v>50</v>
      </c>
      <c r="Q12" s="11">
        <f>(C5+C6)*F12</f>
        <v>0</v>
      </c>
    </row>
    <row r="13" spans="1:17" x14ac:dyDescent="0.25">
      <c r="A13" s="44"/>
      <c r="B13" s="1" t="s">
        <v>51</v>
      </c>
      <c r="C13" s="21">
        <f>C4</f>
        <v>8</v>
      </c>
      <c r="E13" s="1" t="s">
        <v>52</v>
      </c>
      <c r="F13" s="17">
        <v>0</v>
      </c>
      <c r="M13" s="10" t="s">
        <v>53</v>
      </c>
      <c r="N13" s="11">
        <v>0</v>
      </c>
      <c r="P13" s="10" t="s">
        <v>54</v>
      </c>
      <c r="Q13" s="11">
        <f>C4*500000</f>
        <v>4000000</v>
      </c>
    </row>
    <row r="14" spans="1:17" x14ac:dyDescent="0.25">
      <c r="A14" s="44"/>
      <c r="B14" s="1" t="s">
        <v>55</v>
      </c>
      <c r="C14" s="22">
        <f>C13*150000</f>
        <v>1200000</v>
      </c>
      <c r="M14" s="10" t="s">
        <v>56</v>
      </c>
      <c r="N14" s="11">
        <f>IF(C5=0,0,IF(C5&lt;=500000,40000,IF(C5&lt;=1000000,80000,IF(C5&lt;=1500000,120000,IF(C5&lt;=2000000,160000,IF(C5&gt;2000000,200000))))))</f>
        <v>0</v>
      </c>
      <c r="P14" s="10" t="s">
        <v>57</v>
      </c>
      <c r="Q14" s="11">
        <v>0</v>
      </c>
    </row>
    <row r="15" spans="1:17" x14ac:dyDescent="0.25">
      <c r="A15" s="44"/>
      <c r="B15" s="1" t="s">
        <v>58</v>
      </c>
      <c r="C15" s="22">
        <f>C14*1.35</f>
        <v>1620000</v>
      </c>
      <c r="E15" s="5" t="s">
        <v>59</v>
      </c>
      <c r="M15" s="10" t="s">
        <v>60</v>
      </c>
      <c r="N15" s="11">
        <v>0</v>
      </c>
      <c r="P15" s="10" t="s">
        <v>61</v>
      </c>
      <c r="Q15" s="11">
        <v>0</v>
      </c>
    </row>
    <row r="16" spans="1:17" x14ac:dyDescent="0.25">
      <c r="A16" s="44"/>
      <c r="E16" s="1" t="s">
        <v>62</v>
      </c>
      <c r="F16" s="4">
        <v>0</v>
      </c>
      <c r="M16" s="10" t="s">
        <v>63</v>
      </c>
      <c r="N16" s="11">
        <v>0</v>
      </c>
      <c r="P16" s="10"/>
      <c r="Q16" s="11"/>
    </row>
    <row r="17" spans="1:17" x14ac:dyDescent="0.25">
      <c r="A17" s="44"/>
      <c r="E17" s="1" t="s">
        <v>64</v>
      </c>
      <c r="F17" s="1">
        <v>0</v>
      </c>
      <c r="M17" s="10" t="s">
        <v>65</v>
      </c>
      <c r="N17" s="11">
        <f>C4*100000</f>
        <v>800000</v>
      </c>
      <c r="P17" s="10" t="s">
        <v>66</v>
      </c>
      <c r="Q17" s="11">
        <f>SUM(Q11:Q15)</f>
        <v>6500000</v>
      </c>
    </row>
    <row r="18" spans="1:17" x14ac:dyDescent="0.25">
      <c r="A18" s="44"/>
      <c r="M18" s="10" t="s">
        <v>67</v>
      </c>
      <c r="N18" s="11">
        <v>0</v>
      </c>
      <c r="P18" s="10"/>
      <c r="Q18" s="11"/>
    </row>
    <row r="19" spans="1:17" x14ac:dyDescent="0.25">
      <c r="A19" s="44"/>
      <c r="M19" s="10" t="s">
        <v>68</v>
      </c>
      <c r="N19" s="11">
        <v>0</v>
      </c>
      <c r="P19" s="9" t="s">
        <v>69</v>
      </c>
      <c r="Q19" s="11">
        <f>Q9-Q17</f>
        <v>-6500000</v>
      </c>
    </row>
    <row r="20" spans="1:17" x14ac:dyDescent="0.25">
      <c r="A20" s="44"/>
      <c r="M20" s="10" t="s">
        <v>70</v>
      </c>
      <c r="N20" s="11"/>
      <c r="P20" s="10"/>
      <c r="Q20" s="11"/>
    </row>
    <row r="21" spans="1:17" x14ac:dyDescent="0.25">
      <c r="A21" s="44"/>
      <c r="M21" s="10" t="s">
        <v>71</v>
      </c>
      <c r="N21" s="11">
        <v>0</v>
      </c>
      <c r="P21" s="9" t="s">
        <v>72</v>
      </c>
      <c r="Q21" s="11">
        <f>IF(Q34=0,6500000+Q19,N6/2)</f>
        <v>0</v>
      </c>
    </row>
    <row r="22" spans="1:17" x14ac:dyDescent="0.25">
      <c r="A22" s="44"/>
      <c r="M22" s="10" t="s">
        <v>73</v>
      </c>
      <c r="N22" s="11">
        <v>0</v>
      </c>
    </row>
    <row r="23" spans="1:17" x14ac:dyDescent="0.25">
      <c r="A23" s="44"/>
      <c r="M23" s="10" t="s">
        <v>74</v>
      </c>
      <c r="N23" s="11">
        <v>0</v>
      </c>
      <c r="P23" s="38" t="s">
        <v>75</v>
      </c>
      <c r="Q23" s="38"/>
    </row>
    <row r="24" spans="1:17" x14ac:dyDescent="0.25">
      <c r="A24" s="44"/>
      <c r="M24" s="10" t="s">
        <v>76</v>
      </c>
      <c r="N24" s="11"/>
      <c r="P24" s="8" t="s">
        <v>19</v>
      </c>
      <c r="Q24" s="8" t="s">
        <v>20</v>
      </c>
    </row>
    <row r="25" spans="1:17" x14ac:dyDescent="0.25">
      <c r="A25" s="44"/>
      <c r="M25" s="10" t="s">
        <v>77</v>
      </c>
      <c r="N25" s="11">
        <f>(F5+F6+F7+F8+F9)*500</f>
        <v>18000</v>
      </c>
      <c r="P25" s="9" t="s">
        <v>78</v>
      </c>
      <c r="Q25" s="11"/>
    </row>
    <row r="26" spans="1:17" x14ac:dyDescent="0.25">
      <c r="A26" s="44"/>
      <c r="M26" s="10" t="s">
        <v>79</v>
      </c>
      <c r="N26" s="11">
        <f>(F5+F6+F7+F8+F9)*1000</f>
        <v>36000</v>
      </c>
      <c r="P26" s="10" t="s">
        <v>80</v>
      </c>
      <c r="Q26" s="11">
        <f>Q21</f>
        <v>0</v>
      </c>
    </row>
    <row r="27" spans="1:17" x14ac:dyDescent="0.25">
      <c r="A27" s="44"/>
      <c r="M27" s="10" t="s">
        <v>81</v>
      </c>
      <c r="N27" s="11">
        <f>4500*(F6+F7+F8+F9)+3750*F5+9000*F28+7500*F27</f>
        <v>144000</v>
      </c>
      <c r="P27" s="10" t="s">
        <v>82</v>
      </c>
      <c r="Q27" s="11">
        <f>F12*I10</f>
        <v>0</v>
      </c>
    </row>
    <row r="28" spans="1:17" x14ac:dyDescent="0.25">
      <c r="A28" s="44"/>
      <c r="M28" s="10" t="s">
        <v>83</v>
      </c>
      <c r="N28" s="11">
        <f>(G6+G7+G8+G9)*6000+G5*5000</f>
        <v>0</v>
      </c>
      <c r="P28" s="10" t="s">
        <v>84</v>
      </c>
      <c r="Q28" s="11">
        <f>4*K10</f>
        <v>0</v>
      </c>
    </row>
    <row r="29" spans="1:17" x14ac:dyDescent="0.25">
      <c r="A29" s="44"/>
      <c r="M29" s="10" t="s">
        <v>85</v>
      </c>
      <c r="N29" s="11">
        <v>0</v>
      </c>
      <c r="P29" s="10" t="s">
        <v>86</v>
      </c>
      <c r="Q29" s="11">
        <f>C4*500000</f>
        <v>4000000</v>
      </c>
    </row>
    <row r="30" spans="1:17" x14ac:dyDescent="0.25">
      <c r="A30" s="44"/>
      <c r="M30" s="10" t="s">
        <v>87</v>
      </c>
      <c r="N30" s="11">
        <v>0</v>
      </c>
      <c r="P30" s="10" t="s">
        <v>88</v>
      </c>
      <c r="Q30" s="11">
        <f>SUM(Q26:Q29)</f>
        <v>4000000</v>
      </c>
    </row>
    <row r="31" spans="1:17" x14ac:dyDescent="0.25">
      <c r="A31" s="44"/>
      <c r="M31" s="10" t="s">
        <v>89</v>
      </c>
      <c r="N31" s="11"/>
      <c r="P31" s="9"/>
      <c r="Q31" s="11">
        <v>0</v>
      </c>
    </row>
    <row r="32" spans="1:17" x14ac:dyDescent="0.25">
      <c r="A32" s="44"/>
      <c r="M32" s="10" t="s">
        <v>90</v>
      </c>
      <c r="N32" s="11">
        <v>0</v>
      </c>
      <c r="P32" s="9" t="s">
        <v>91</v>
      </c>
      <c r="Q32" s="11"/>
    </row>
    <row r="33" spans="1:17" x14ac:dyDescent="0.25">
      <c r="A33" s="44"/>
      <c r="M33" s="10" t="s">
        <v>92</v>
      </c>
      <c r="N33" s="11"/>
      <c r="P33" s="10" t="s">
        <v>93</v>
      </c>
      <c r="Q33" s="11"/>
    </row>
    <row r="34" spans="1:17" x14ac:dyDescent="0.25">
      <c r="A34" s="44"/>
      <c r="M34" s="10" t="s">
        <v>1</v>
      </c>
      <c r="N34" s="11">
        <v>0</v>
      </c>
      <c r="P34" s="10" t="s">
        <v>94</v>
      </c>
      <c r="Q34" s="11">
        <f>0</f>
        <v>0</v>
      </c>
    </row>
    <row r="35" spans="1:17" x14ac:dyDescent="0.25">
      <c r="A35" s="44"/>
      <c r="M35" s="10" t="s">
        <v>2</v>
      </c>
      <c r="N35" s="11">
        <v>0</v>
      </c>
      <c r="P35" s="10" t="s">
        <v>95</v>
      </c>
      <c r="Q35" s="11">
        <v>0</v>
      </c>
    </row>
    <row r="36" spans="1:17" x14ac:dyDescent="0.25">
      <c r="A36" s="44"/>
      <c r="M36" s="10" t="s">
        <v>3</v>
      </c>
      <c r="N36" s="11">
        <v>0</v>
      </c>
      <c r="P36" s="10"/>
      <c r="Q36" s="11">
        <v>0</v>
      </c>
    </row>
    <row r="37" spans="1:17" x14ac:dyDescent="0.25">
      <c r="A37" s="44"/>
      <c r="M37" s="10" t="s">
        <v>96</v>
      </c>
      <c r="N37" s="11">
        <v>0</v>
      </c>
      <c r="P37" s="9" t="s">
        <v>97</v>
      </c>
      <c r="Q37" s="23">
        <f>SUM(Q26:Q29)</f>
        <v>4000000</v>
      </c>
    </row>
    <row r="38" spans="1:17" x14ac:dyDescent="0.25">
      <c r="A38" s="44"/>
      <c r="M38" s="10"/>
      <c r="N38" s="11"/>
    </row>
    <row r="39" spans="1:17" x14ac:dyDescent="0.25">
      <c r="A39" s="44"/>
      <c r="M39" s="10" t="s">
        <v>98</v>
      </c>
      <c r="N39" s="11">
        <f>SUM(N10:N37)</f>
        <v>2500000</v>
      </c>
    </row>
    <row r="40" spans="1:17" x14ac:dyDescent="0.25">
      <c r="A40" s="45"/>
      <c r="C40" s="6"/>
      <c r="M40" s="9" t="s">
        <v>99</v>
      </c>
      <c r="N40" s="23">
        <f>N6-N39</f>
        <v>-2500000</v>
      </c>
    </row>
    <row r="44" spans="1:17" ht="14.55" customHeight="1" x14ac:dyDescent="0.25"/>
    <row r="45" spans="1:17" x14ac:dyDescent="0.25">
      <c r="E45" s="7"/>
      <c r="F45" s="7"/>
      <c r="G45" s="7"/>
    </row>
    <row r="46" spans="1:17" ht="14.55" customHeight="1" x14ac:dyDescent="0.25">
      <c r="A46" s="46" t="s">
        <v>100</v>
      </c>
      <c r="B46" s="3" t="s">
        <v>8</v>
      </c>
      <c r="E46" s="3" t="s">
        <v>101</v>
      </c>
      <c r="F46" s="39" t="s">
        <v>102</v>
      </c>
      <c r="G46" s="40"/>
      <c r="H46" s="40"/>
      <c r="I46" s="12" t="s">
        <v>103</v>
      </c>
      <c r="M46" s="41" t="s">
        <v>11</v>
      </c>
      <c r="N46" s="42"/>
      <c r="P46" s="41" t="s">
        <v>12</v>
      </c>
      <c r="Q46" s="42"/>
    </row>
    <row r="47" spans="1:17" x14ac:dyDescent="0.25">
      <c r="A47" s="46"/>
      <c r="B47" s="1" t="s">
        <v>13</v>
      </c>
      <c r="C47" s="16">
        <v>2</v>
      </c>
      <c r="F47" s="1" t="s">
        <v>16</v>
      </c>
      <c r="G47" s="17">
        <f>C59-SUM(F48:F51)</f>
        <v>0</v>
      </c>
      <c r="I47" s="1" t="s">
        <v>104</v>
      </c>
      <c r="J47" s="1" t="s">
        <v>105</v>
      </c>
      <c r="K47" s="1" t="s">
        <v>106</v>
      </c>
      <c r="M47" s="8" t="s">
        <v>19</v>
      </c>
      <c r="N47" s="8" t="s">
        <v>20</v>
      </c>
      <c r="P47" s="8" t="s">
        <v>19</v>
      </c>
      <c r="Q47" s="8" t="s">
        <v>20</v>
      </c>
    </row>
    <row r="48" spans="1:17" x14ac:dyDescent="0.25">
      <c r="A48" s="46"/>
      <c r="B48" s="1" t="s">
        <v>21</v>
      </c>
      <c r="C48" s="26">
        <v>4121888</v>
      </c>
      <c r="E48" s="1" t="s">
        <v>23</v>
      </c>
      <c r="F48" s="26">
        <v>300000</v>
      </c>
      <c r="I48" s="1">
        <v>0</v>
      </c>
      <c r="J48" s="1">
        <v>0</v>
      </c>
      <c r="K48" s="1">
        <v>0</v>
      </c>
      <c r="M48" s="9" t="s">
        <v>24</v>
      </c>
      <c r="N48" s="2"/>
      <c r="P48" s="9" t="s">
        <v>25</v>
      </c>
      <c r="Q48" s="11"/>
    </row>
    <row r="49" spans="1:17" x14ac:dyDescent="0.25">
      <c r="A49" s="46"/>
      <c r="B49" s="1" t="s">
        <v>26</v>
      </c>
      <c r="C49" s="26">
        <v>1620000</v>
      </c>
      <c r="E49" s="1" t="s">
        <v>27</v>
      </c>
      <c r="F49" s="26">
        <v>300000</v>
      </c>
      <c r="I49" s="1" t="s">
        <v>107</v>
      </c>
      <c r="J49" s="1" t="s">
        <v>108</v>
      </c>
      <c r="K49" s="1" t="s">
        <v>109</v>
      </c>
      <c r="M49" s="10" t="s">
        <v>28</v>
      </c>
      <c r="N49" s="13">
        <f>F55*K67+F56*K68+F57*K69+F58*K70</f>
        <v>8880000</v>
      </c>
      <c r="P49" s="10" t="s">
        <v>28</v>
      </c>
      <c r="Q49" s="11">
        <f>N49</f>
        <v>8880000</v>
      </c>
    </row>
    <row r="50" spans="1:17" x14ac:dyDescent="0.25">
      <c r="A50" s="46"/>
      <c r="B50" s="5" t="s">
        <v>110</v>
      </c>
      <c r="E50" s="1" t="s">
        <v>29</v>
      </c>
      <c r="F50" s="26">
        <v>300000</v>
      </c>
      <c r="I50" s="1">
        <v>0</v>
      </c>
      <c r="J50" s="1">
        <v>0</v>
      </c>
      <c r="K50" s="1">
        <v>0</v>
      </c>
      <c r="M50" s="9"/>
      <c r="N50" s="2"/>
      <c r="P50" s="9"/>
      <c r="Q50" s="11"/>
    </row>
    <row r="51" spans="1:17" x14ac:dyDescent="0.25">
      <c r="A51" s="46"/>
      <c r="B51" s="1" t="s">
        <v>111</v>
      </c>
      <c r="C51" s="22">
        <f>C15</f>
        <v>1620000</v>
      </c>
      <c r="E51" s="1" t="s">
        <v>31</v>
      </c>
      <c r="F51" s="26">
        <v>300000</v>
      </c>
      <c r="I51" s="1" t="s">
        <v>112</v>
      </c>
      <c r="J51" s="1" t="s">
        <v>113</v>
      </c>
      <c r="K51" s="1" t="s">
        <v>114</v>
      </c>
      <c r="M51" s="9" t="s">
        <v>32</v>
      </c>
      <c r="N51" s="2"/>
      <c r="P51" s="10" t="s">
        <v>33</v>
      </c>
      <c r="Q51" s="11">
        <f>J57</f>
        <v>13000000</v>
      </c>
    </row>
    <row r="52" spans="1:17" x14ac:dyDescent="0.25">
      <c r="A52" s="46"/>
      <c r="B52" s="1" t="s">
        <v>58</v>
      </c>
      <c r="C52" s="22">
        <f>C60*1.35</f>
        <v>1984500.0000000002</v>
      </c>
      <c r="E52" s="5" t="s">
        <v>115</v>
      </c>
      <c r="F52" s="24" t="s">
        <v>116</v>
      </c>
      <c r="G52" s="22">
        <f>C56/4</f>
        <v>300000</v>
      </c>
      <c r="I52" s="1">
        <v>0</v>
      </c>
      <c r="J52" s="1">
        <v>0</v>
      </c>
      <c r="K52" s="1">
        <v>0</v>
      </c>
      <c r="M52" s="10" t="s">
        <v>39</v>
      </c>
      <c r="N52" s="2"/>
      <c r="P52" s="10" t="s">
        <v>40</v>
      </c>
      <c r="Q52" s="11">
        <f>Q49+Q51</f>
        <v>21880000</v>
      </c>
    </row>
    <row r="53" spans="1:17" x14ac:dyDescent="0.25">
      <c r="A53" s="46"/>
      <c r="B53" s="1" t="s">
        <v>117</v>
      </c>
      <c r="C53" s="22">
        <f>I10</f>
        <v>0</v>
      </c>
      <c r="E53" s="3" t="s">
        <v>118</v>
      </c>
      <c r="I53" s="1" t="s">
        <v>119</v>
      </c>
      <c r="J53" s="1" t="s">
        <v>120</v>
      </c>
      <c r="K53" s="1" t="s">
        <v>121</v>
      </c>
      <c r="M53" s="10" t="s">
        <v>42</v>
      </c>
      <c r="N53" s="11">
        <f>C57</f>
        <v>800000</v>
      </c>
      <c r="P53" s="9" t="s">
        <v>43</v>
      </c>
      <c r="Q53" s="11"/>
    </row>
    <row r="54" spans="1:17" x14ac:dyDescent="0.25">
      <c r="A54" s="46"/>
      <c r="F54" s="1" t="s">
        <v>122</v>
      </c>
      <c r="G54" s="1" t="s">
        <v>123</v>
      </c>
      <c r="I54" s="1">
        <v>0</v>
      </c>
      <c r="J54" s="1">
        <v>0</v>
      </c>
      <c r="K54" s="1">
        <v>0</v>
      </c>
      <c r="M54" s="10" t="s">
        <v>45</v>
      </c>
      <c r="N54" s="11">
        <v>20000</v>
      </c>
      <c r="P54" s="10" t="s">
        <v>46</v>
      </c>
      <c r="Q54" s="11">
        <f>SUM(P82,N53:N55,N57:N60,N64:N66,N68:N73,N75,N77:N79)</f>
        <v>9157352.8301886786</v>
      </c>
    </row>
    <row r="55" spans="1:17" x14ac:dyDescent="0.25">
      <c r="A55" s="46"/>
      <c r="B55" s="3" t="s">
        <v>30</v>
      </c>
      <c r="E55" s="1" t="s">
        <v>23</v>
      </c>
      <c r="F55" s="16">
        <v>7.4</v>
      </c>
      <c r="G55" s="26">
        <v>760000</v>
      </c>
      <c r="M55" s="10" t="s">
        <v>49</v>
      </c>
      <c r="N55" s="11">
        <f>C59*1.4</f>
        <v>1680000</v>
      </c>
      <c r="P55" s="10" t="s">
        <v>50</v>
      </c>
      <c r="Q55" s="11">
        <f>(C48+C49)*J62</f>
        <v>7234778.8799999999</v>
      </c>
    </row>
    <row r="56" spans="1:17" x14ac:dyDescent="0.25">
      <c r="A56" s="46"/>
      <c r="B56" s="1" t="s">
        <v>34</v>
      </c>
      <c r="C56" s="26">
        <f>C59</f>
        <v>1200000</v>
      </c>
      <c r="E56" s="1" t="s">
        <v>27</v>
      </c>
      <c r="F56" s="16">
        <v>7.4</v>
      </c>
      <c r="G56" s="26">
        <v>760000</v>
      </c>
      <c r="I56" s="3" t="s">
        <v>124</v>
      </c>
      <c r="M56" s="10" t="s">
        <v>53</v>
      </c>
      <c r="N56" s="11">
        <f>C51*C68</f>
        <v>2041200</v>
      </c>
      <c r="P56" s="10" t="s">
        <v>54</v>
      </c>
      <c r="Q56" s="11">
        <f>C47*500000</f>
        <v>1000000</v>
      </c>
    </row>
    <row r="57" spans="1:17" x14ac:dyDescent="0.25">
      <c r="A57" s="46"/>
      <c r="B57" s="1" t="s">
        <v>41</v>
      </c>
      <c r="C57" s="26">
        <v>800000</v>
      </c>
      <c r="E57" s="1" t="s">
        <v>29</v>
      </c>
      <c r="F57" s="16">
        <v>7.4</v>
      </c>
      <c r="G57" s="26">
        <v>760000</v>
      </c>
      <c r="I57" s="1" t="s">
        <v>33</v>
      </c>
      <c r="J57" s="26">
        <v>13000000</v>
      </c>
      <c r="M57" s="10" t="s">
        <v>125</v>
      </c>
      <c r="N57" s="11">
        <f>IF(C48=0,0,IF(C48&lt;=500000,40000,IF(C48&lt;=1000000,80000,IF(C48&lt;=1500000,120000,IF(C48&lt;=2000000,160000,IF(C48&gt;2000000,200000))))))</f>
        <v>200000</v>
      </c>
      <c r="P57" s="10" t="s">
        <v>57</v>
      </c>
      <c r="Q57" s="11">
        <f>J58</f>
        <v>0</v>
      </c>
    </row>
    <row r="58" spans="1:17" x14ac:dyDescent="0.25">
      <c r="A58" s="46"/>
      <c r="B58" s="5" t="s">
        <v>126</v>
      </c>
      <c r="E58" s="1" t="s">
        <v>31</v>
      </c>
      <c r="F58" s="16">
        <v>7.4</v>
      </c>
      <c r="G58" s="26">
        <v>760000</v>
      </c>
      <c r="I58" s="1" t="s">
        <v>57</v>
      </c>
      <c r="J58" s="16">
        <v>0</v>
      </c>
      <c r="M58" s="10" t="s">
        <v>60</v>
      </c>
      <c r="N58" s="11">
        <f>1*C49</f>
        <v>1620000</v>
      </c>
      <c r="P58" s="10" t="s">
        <v>61</v>
      </c>
      <c r="Q58" s="11">
        <f>J59</f>
        <v>0</v>
      </c>
    </row>
    <row r="59" spans="1:17" x14ac:dyDescent="0.25">
      <c r="A59" s="46"/>
      <c r="B59" s="1" t="s">
        <v>127</v>
      </c>
      <c r="C59" s="22">
        <f>C14</f>
        <v>1200000</v>
      </c>
      <c r="I59" s="1" t="s">
        <v>61</v>
      </c>
      <c r="J59" s="16">
        <v>0</v>
      </c>
      <c r="M59" s="10" t="s">
        <v>63</v>
      </c>
      <c r="N59" s="11">
        <f>C63*12000</f>
        <v>96000</v>
      </c>
      <c r="P59" s="10"/>
      <c r="Q59" s="11"/>
    </row>
    <row r="60" spans="1:17" x14ac:dyDescent="0.25">
      <c r="A60" s="46"/>
      <c r="B60" s="1" t="s">
        <v>55</v>
      </c>
      <c r="C60" s="22">
        <f>C59*0.975+C47*150000</f>
        <v>1470000</v>
      </c>
      <c r="M60" s="10" t="s">
        <v>65</v>
      </c>
      <c r="N60" s="11">
        <f>C47*100000</f>
        <v>200000</v>
      </c>
      <c r="P60" s="10" t="s">
        <v>66</v>
      </c>
      <c r="Q60" s="11">
        <f>SUM(Q54:Q58)</f>
        <v>17392131.710188679</v>
      </c>
    </row>
    <row r="61" spans="1:17" x14ac:dyDescent="0.25">
      <c r="A61" s="46"/>
      <c r="E61" s="3" t="s">
        <v>9</v>
      </c>
      <c r="I61" s="3" t="s">
        <v>44</v>
      </c>
      <c r="M61" s="10" t="s">
        <v>67</v>
      </c>
      <c r="N61" s="11">
        <f>Q29*0.025</f>
        <v>100000</v>
      </c>
      <c r="P61" s="10"/>
      <c r="Q61" s="11"/>
    </row>
    <row r="62" spans="1:17" x14ac:dyDescent="0.25">
      <c r="A62" s="46"/>
      <c r="B62" s="5" t="s">
        <v>128</v>
      </c>
      <c r="F62" s="1" t="s">
        <v>14</v>
      </c>
      <c r="G62" s="1" t="s">
        <v>15</v>
      </c>
      <c r="I62" s="1" t="s">
        <v>48</v>
      </c>
      <c r="J62" s="16">
        <v>1.26</v>
      </c>
      <c r="M62" s="10" t="s">
        <v>68</v>
      </c>
      <c r="N62" s="11">
        <f>Q27-Q71</f>
        <v>0</v>
      </c>
      <c r="P62" s="9" t="s">
        <v>69</v>
      </c>
      <c r="Q62" s="11">
        <f>Q52-Q60</f>
        <v>4487868.2898113206</v>
      </c>
    </row>
    <row r="63" spans="1:17" x14ac:dyDescent="0.25">
      <c r="A63" s="46"/>
      <c r="B63" s="1" t="s">
        <v>129</v>
      </c>
      <c r="C63" s="22">
        <f>C13</f>
        <v>8</v>
      </c>
      <c r="E63" s="1" t="s">
        <v>22</v>
      </c>
      <c r="F63" s="16">
        <f>C47*3</f>
        <v>6</v>
      </c>
      <c r="G63" s="1">
        <v>0</v>
      </c>
      <c r="I63" s="1" t="s">
        <v>52</v>
      </c>
      <c r="J63" s="16">
        <v>0</v>
      </c>
      <c r="K63" s="1" t="s">
        <v>130</v>
      </c>
      <c r="M63" s="10" t="s">
        <v>70</v>
      </c>
      <c r="N63" s="2"/>
      <c r="P63" s="10"/>
      <c r="Q63" s="11"/>
    </row>
    <row r="64" spans="1:17" x14ac:dyDescent="0.25">
      <c r="A64" s="46"/>
      <c r="B64" s="1" t="s">
        <v>51</v>
      </c>
      <c r="C64" s="22">
        <f>C63+C47</f>
        <v>10</v>
      </c>
      <c r="E64" s="1" t="s">
        <v>23</v>
      </c>
      <c r="F64" s="16">
        <v>1</v>
      </c>
      <c r="G64" s="1">
        <v>0</v>
      </c>
      <c r="M64" s="10" t="s">
        <v>71</v>
      </c>
      <c r="N64" s="11">
        <f>G55+G56+G57+G58</f>
        <v>3040000</v>
      </c>
      <c r="P64" s="9" t="s">
        <v>72</v>
      </c>
      <c r="Q64" s="11">
        <f>IF(Q77="0",Q21+Q62,N49/2)</f>
        <v>4487868.2898113206</v>
      </c>
    </row>
    <row r="65" spans="1:17" x14ac:dyDescent="0.25">
      <c r="A65" s="46"/>
      <c r="E65" s="1" t="s">
        <v>27</v>
      </c>
      <c r="F65" s="16">
        <v>1</v>
      </c>
      <c r="G65" s="1">
        <v>0</v>
      </c>
      <c r="I65" s="36" t="s">
        <v>10</v>
      </c>
      <c r="J65" s="36"/>
      <c r="K65" s="36"/>
      <c r="L65" s="37"/>
      <c r="M65" s="10" t="s">
        <v>73</v>
      </c>
      <c r="N65" s="11">
        <f>F48*0.4+F49*0.1+F50*0.4+F51*0.5</f>
        <v>420000</v>
      </c>
    </row>
    <row r="66" spans="1:17" x14ac:dyDescent="0.25">
      <c r="A66" s="46"/>
      <c r="B66" s="5" t="s">
        <v>59</v>
      </c>
      <c r="E66" s="1" t="s">
        <v>29</v>
      </c>
      <c r="F66" s="16">
        <v>1</v>
      </c>
      <c r="G66" s="1">
        <v>0</v>
      </c>
      <c r="J66" s="1" t="s">
        <v>16</v>
      </c>
      <c r="K66" s="1" t="s">
        <v>17</v>
      </c>
      <c r="L66" s="1" t="s">
        <v>18</v>
      </c>
      <c r="M66" s="10" t="s">
        <v>74</v>
      </c>
      <c r="N66" s="11">
        <f>IF(I48+J48+K48=0,"0",10000+I48*0.4+J48*0.7+K48*0.8)+IF(I50+J50+K50=0,"0",10000+I50*0.4+J50*0.4+K50*0.5)+IF(I52+J52+K52=0,"0",10000+I52*0.7+J52*0.4+K52*0.4)+IF(I54+J54+K54=0,"0",10000+I54*0.8+J54*0.5+K54*0.4)</f>
        <v>0</v>
      </c>
      <c r="P66" s="41" t="s">
        <v>75</v>
      </c>
      <c r="Q66" s="42"/>
    </row>
    <row r="67" spans="1:17" x14ac:dyDescent="0.25">
      <c r="A67" s="46"/>
      <c r="B67" s="1" t="s">
        <v>62</v>
      </c>
      <c r="C67" s="22">
        <f>Q79</f>
        <v>13000000</v>
      </c>
      <c r="E67" s="1" t="s">
        <v>31</v>
      </c>
      <c r="F67" s="16">
        <v>1</v>
      </c>
      <c r="G67" s="1">
        <v>0</v>
      </c>
      <c r="I67" s="1" t="s">
        <v>23</v>
      </c>
      <c r="J67" s="4">
        <f>F48</f>
        <v>300000</v>
      </c>
      <c r="K67" s="4">
        <f>J67</f>
        <v>300000</v>
      </c>
      <c r="L67" s="4">
        <v>0</v>
      </c>
      <c r="M67" s="10" t="s">
        <v>76</v>
      </c>
      <c r="N67" s="2"/>
      <c r="P67" s="8" t="s">
        <v>19</v>
      </c>
      <c r="Q67" s="8" t="s">
        <v>20</v>
      </c>
    </row>
    <row r="68" spans="1:17" x14ac:dyDescent="0.25">
      <c r="A68" s="46"/>
      <c r="B68" s="1" t="s">
        <v>64</v>
      </c>
      <c r="C68" s="25">
        <f>(Q55+Q27)/(C48+C49+I10)</f>
        <v>1.26</v>
      </c>
      <c r="I68" s="1" t="s">
        <v>27</v>
      </c>
      <c r="J68" s="4">
        <f>F49</f>
        <v>300000</v>
      </c>
      <c r="K68" s="4">
        <f t="shared" ref="K68:K70" si="0">J68</f>
        <v>300000</v>
      </c>
      <c r="L68" s="4">
        <f t="shared" ref="L68:L70" si="1">J68-K68+L6</f>
        <v>0</v>
      </c>
      <c r="M68" s="10" t="s">
        <v>77</v>
      </c>
      <c r="N68" s="11">
        <f>(F63+F64+F65+F66+F67)*500</f>
        <v>5000</v>
      </c>
      <c r="P68" s="9" t="s">
        <v>78</v>
      </c>
      <c r="Q68" s="2"/>
    </row>
    <row r="69" spans="1:17" x14ac:dyDescent="0.25">
      <c r="A69" s="46"/>
      <c r="E69" s="5" t="s">
        <v>131</v>
      </c>
      <c r="I69" s="1" t="s">
        <v>29</v>
      </c>
      <c r="J69" s="4">
        <f>F50</f>
        <v>300000</v>
      </c>
      <c r="K69" s="4">
        <f t="shared" si="0"/>
        <v>300000</v>
      </c>
      <c r="L69" s="4">
        <f t="shared" si="1"/>
        <v>0</v>
      </c>
      <c r="M69" s="10" t="s">
        <v>79</v>
      </c>
      <c r="N69" s="11">
        <f>(F63+F64+F65+F66+F67)*1000</f>
        <v>10000</v>
      </c>
      <c r="P69" s="10" t="s">
        <v>80</v>
      </c>
      <c r="Q69" s="11">
        <f>Q64</f>
        <v>4487868.2898113206</v>
      </c>
    </row>
    <row r="70" spans="1:17" x14ac:dyDescent="0.25">
      <c r="A70" s="46"/>
      <c r="E70" s="1" t="s">
        <v>132</v>
      </c>
      <c r="F70" s="21">
        <f>F5</f>
        <v>24</v>
      </c>
      <c r="I70" s="1" t="s">
        <v>31</v>
      </c>
      <c r="J70" s="4">
        <f>F51</f>
        <v>300000</v>
      </c>
      <c r="K70" s="4">
        <f t="shared" si="0"/>
        <v>300000</v>
      </c>
      <c r="L70" s="4">
        <f t="shared" si="1"/>
        <v>0</v>
      </c>
      <c r="M70" s="10" t="s">
        <v>81</v>
      </c>
      <c r="N70" s="11">
        <f>4500*(F64+F65+F66+F67)+3750*F63+9000*F71+7500*F70</f>
        <v>328500</v>
      </c>
      <c r="P70" s="10" t="s">
        <v>82</v>
      </c>
      <c r="Q70" s="11">
        <f>I72*C68</f>
        <v>5193578.88</v>
      </c>
    </row>
    <row r="71" spans="1:17" x14ac:dyDescent="0.25">
      <c r="A71" s="46"/>
      <c r="E71" s="1" t="s">
        <v>133</v>
      </c>
      <c r="F71" s="21">
        <f>SUM(F6:F9)</f>
        <v>12</v>
      </c>
      <c r="I71" s="1" t="s">
        <v>35</v>
      </c>
      <c r="J71" s="1" t="s">
        <v>36</v>
      </c>
      <c r="K71" s="1" t="s">
        <v>37</v>
      </c>
      <c r="L71" s="1" t="s">
        <v>38</v>
      </c>
      <c r="M71" s="10" t="s">
        <v>83</v>
      </c>
      <c r="N71" s="11">
        <f>(G64+G65+G66+G67)*6000+G63*5000</f>
        <v>0</v>
      </c>
      <c r="P71" s="10" t="s">
        <v>84</v>
      </c>
      <c r="Q71" s="11">
        <f>4*L72</f>
        <v>0</v>
      </c>
    </row>
    <row r="72" spans="1:17" x14ac:dyDescent="0.25">
      <c r="A72" s="46"/>
      <c r="B72" s="1" t="s">
        <v>134</v>
      </c>
      <c r="C72" s="6">
        <f>C94+C95</f>
        <v>4121887.5</v>
      </c>
      <c r="E72" s="1" t="s">
        <v>135</v>
      </c>
      <c r="F72" s="22">
        <f>C60/4</f>
        <v>367500</v>
      </c>
      <c r="I72" s="22">
        <f>C48+C49-C56*1.35+I10</f>
        <v>4121888</v>
      </c>
      <c r="J72" s="4">
        <f>SUM(J67:J70)</f>
        <v>1200000</v>
      </c>
      <c r="K72" s="4">
        <f>SUM(K67:K70)</f>
        <v>1200000</v>
      </c>
      <c r="L72" s="4">
        <f>SUM(L67:L70)</f>
        <v>0</v>
      </c>
      <c r="M72" s="10" t="s">
        <v>85</v>
      </c>
      <c r="N72" s="11">
        <f>Q27*0.1</f>
        <v>0</v>
      </c>
      <c r="P72" s="10" t="s">
        <v>86</v>
      </c>
      <c r="Q72" s="11">
        <f>Q29*0.975+C47*500000</f>
        <v>4900000</v>
      </c>
    </row>
    <row r="73" spans="1:17" x14ac:dyDescent="0.25">
      <c r="A73" s="46"/>
      <c r="M73" s="10" t="s">
        <v>87</v>
      </c>
      <c r="N73" s="11">
        <f>L72*0.5</f>
        <v>0</v>
      </c>
      <c r="P73" s="10" t="s">
        <v>88</v>
      </c>
      <c r="Q73" s="11">
        <f>SUM(Q69:Q72)</f>
        <v>14581447.16981132</v>
      </c>
    </row>
    <row r="74" spans="1:17" x14ac:dyDescent="0.25">
      <c r="A74" s="46"/>
      <c r="M74" s="10" t="s">
        <v>89</v>
      </c>
      <c r="N74" s="2"/>
      <c r="P74" s="9"/>
      <c r="Q74" s="11">
        <v>0</v>
      </c>
    </row>
    <row r="75" spans="1:17" x14ac:dyDescent="0.25">
      <c r="A75" s="46"/>
      <c r="M75" s="10" t="s">
        <v>90</v>
      </c>
      <c r="N75" s="11">
        <f>(J57+Q33-J58)*$F$2/4+Q34*$F$2</f>
        <v>195000</v>
      </c>
      <c r="P75" s="9" t="s">
        <v>91</v>
      </c>
      <c r="Q75" s="11"/>
    </row>
    <row r="76" spans="1:17" x14ac:dyDescent="0.25">
      <c r="A76" s="46"/>
      <c r="M76" s="10" t="s">
        <v>92</v>
      </c>
      <c r="N76" s="11"/>
      <c r="P76" s="10" t="s">
        <v>93</v>
      </c>
      <c r="Q76" s="11">
        <f>J57+Q35</f>
        <v>13000000</v>
      </c>
    </row>
    <row r="77" spans="1:17" x14ac:dyDescent="0.25">
      <c r="A77" s="46"/>
      <c r="M77" s="10" t="s">
        <v>1</v>
      </c>
      <c r="N77" s="11">
        <f>N49/(1+$B$2)*$B$2</f>
        <v>502641.50943396223</v>
      </c>
      <c r="P77" s="10" t="s">
        <v>136</v>
      </c>
      <c r="Q77" s="14" t="str">
        <f>IF(Q78&lt;0,"0",Q78)</f>
        <v>0</v>
      </c>
    </row>
    <row r="78" spans="1:17" x14ac:dyDescent="0.25">
      <c r="A78" s="46"/>
      <c r="M78" s="10" t="s">
        <v>2</v>
      </c>
      <c r="N78" s="11">
        <f>N77*$C$2</f>
        <v>40211.32075471698</v>
      </c>
      <c r="P78" s="10" t="s">
        <v>137</v>
      </c>
      <c r="Q78" s="11">
        <f>Q60-(Q21+N49/2)-J57</f>
        <v>-47868.289811320603</v>
      </c>
    </row>
    <row r="79" spans="1:17" x14ac:dyDescent="0.25">
      <c r="A79" s="46"/>
      <c r="M79" s="10" t="s">
        <v>138</v>
      </c>
      <c r="N79" s="14" t="str">
        <f>IF(N80&lt;0,"0",N80)</f>
        <v>0</v>
      </c>
      <c r="P79" s="10" t="s">
        <v>95</v>
      </c>
      <c r="Q79" s="11">
        <f>Q76+Q77</f>
        <v>13000000</v>
      </c>
    </row>
    <row r="80" spans="1:17" x14ac:dyDescent="0.25">
      <c r="A80" s="46"/>
      <c r="M80" s="10" t="s">
        <v>139</v>
      </c>
      <c r="N80" s="11">
        <f>(N49/(1+$B$2)-SUM(N64:N66,N53:N62,N68:N73,N75,N78))*$E$2</f>
        <v>-604638.20754716964</v>
      </c>
      <c r="P80" s="10"/>
      <c r="Q80" s="11">
        <v>0</v>
      </c>
    </row>
    <row r="81" spans="1:17" x14ac:dyDescent="0.25">
      <c r="A81" s="46"/>
      <c r="M81" s="10"/>
      <c r="N81" s="15"/>
      <c r="P81" s="9" t="s">
        <v>97</v>
      </c>
      <c r="Q81" s="11">
        <f>SUM(Q69:Q72)-Q77-Q76</f>
        <v>1581447.1698113196</v>
      </c>
    </row>
    <row r="82" spans="1:17" x14ac:dyDescent="0.25">
      <c r="A82" s="46"/>
      <c r="M82" s="10" t="s">
        <v>98</v>
      </c>
      <c r="N82" s="11">
        <f>SUM(N64:N66,N53:N62,N68:N73,N75,N77:N79)</f>
        <v>11298552.830188679</v>
      </c>
    </row>
    <row r="83" spans="1:17" x14ac:dyDescent="0.25">
      <c r="A83" s="46"/>
      <c r="M83" s="9" t="s">
        <v>99</v>
      </c>
      <c r="N83" s="11">
        <f>N49-N82</f>
        <v>-2418552.8301886786</v>
      </c>
    </row>
    <row r="89" spans="1:17" ht="14.55" customHeight="1" x14ac:dyDescent="0.25">
      <c r="A89" s="46" t="s">
        <v>140</v>
      </c>
      <c r="B89" s="3" t="s">
        <v>8</v>
      </c>
      <c r="E89" s="3" t="s">
        <v>101</v>
      </c>
      <c r="F89" s="39" t="s">
        <v>102</v>
      </c>
      <c r="G89" s="40"/>
      <c r="H89" s="40"/>
      <c r="I89" s="12" t="s">
        <v>103</v>
      </c>
      <c r="M89" s="41" t="s">
        <v>11</v>
      </c>
      <c r="N89" s="42"/>
      <c r="P89" s="41" t="s">
        <v>12</v>
      </c>
      <c r="Q89" s="42"/>
    </row>
    <row r="90" spans="1:17" x14ac:dyDescent="0.25">
      <c r="A90" s="46"/>
      <c r="B90" s="1" t="s">
        <v>13</v>
      </c>
      <c r="C90" s="17">
        <v>1</v>
      </c>
      <c r="F90" s="1" t="s">
        <v>16</v>
      </c>
      <c r="G90" s="17">
        <f>C102-SUM(F91:F94)</f>
        <v>0</v>
      </c>
      <c r="I90" s="1" t="s">
        <v>104</v>
      </c>
      <c r="J90" s="1" t="s">
        <v>105</v>
      </c>
      <c r="K90" s="1" t="s">
        <v>106</v>
      </c>
      <c r="M90" s="8" t="s">
        <v>19</v>
      </c>
      <c r="N90" s="8" t="s">
        <v>20</v>
      </c>
      <c r="P90" s="8" t="s">
        <v>19</v>
      </c>
      <c r="Q90" s="8" t="s">
        <v>20</v>
      </c>
    </row>
    <row r="91" spans="1:17" x14ac:dyDescent="0.25">
      <c r="A91" s="46"/>
      <c r="B91" s="1" t="s">
        <v>21</v>
      </c>
      <c r="C91" s="18">
        <v>0</v>
      </c>
      <c r="E91" s="1" t="s">
        <v>23</v>
      </c>
      <c r="F91" s="18">
        <v>363176</v>
      </c>
      <c r="I91" s="1">
        <v>0</v>
      </c>
      <c r="J91" s="1">
        <v>0</v>
      </c>
      <c r="K91" s="1">
        <v>0</v>
      </c>
      <c r="M91" s="9" t="s">
        <v>24</v>
      </c>
      <c r="N91" s="2"/>
      <c r="P91" s="9" t="s">
        <v>25</v>
      </c>
      <c r="Q91" s="11"/>
    </row>
    <row r="92" spans="1:17" x14ac:dyDescent="0.25">
      <c r="A92" s="46"/>
      <c r="B92" s="1" t="s">
        <v>26</v>
      </c>
      <c r="C92" s="18">
        <v>0</v>
      </c>
      <c r="E92" s="1" t="s">
        <v>27</v>
      </c>
      <c r="F92" s="18">
        <v>348176</v>
      </c>
      <c r="I92" s="1" t="s">
        <v>107</v>
      </c>
      <c r="J92" s="1" t="s">
        <v>108</v>
      </c>
      <c r="K92" s="1" t="s">
        <v>109</v>
      </c>
      <c r="M92" s="10" t="s">
        <v>28</v>
      </c>
      <c r="N92" s="13">
        <f>F98*K110+F99*K111+F100*K112+F101*K113</f>
        <v>12028795.700000001</v>
      </c>
      <c r="P92" s="10" t="s">
        <v>28</v>
      </c>
      <c r="Q92" s="11">
        <f>N92</f>
        <v>12028795.700000001</v>
      </c>
    </row>
    <row r="93" spans="1:17" x14ac:dyDescent="0.25">
      <c r="A93" s="46"/>
      <c r="B93" s="5" t="s">
        <v>110</v>
      </c>
      <c r="E93" s="1" t="s">
        <v>29</v>
      </c>
      <c r="F93" s="18">
        <v>375000</v>
      </c>
      <c r="I93" s="1">
        <v>0</v>
      </c>
      <c r="J93" s="1">
        <v>0</v>
      </c>
      <c r="K93" s="1">
        <v>0</v>
      </c>
      <c r="M93" s="9"/>
      <c r="N93" s="2"/>
      <c r="P93" s="9"/>
      <c r="Q93" s="11"/>
    </row>
    <row r="94" spans="1:17" x14ac:dyDescent="0.25">
      <c r="A94" s="46"/>
      <c r="B94" s="1" t="s">
        <v>111</v>
      </c>
      <c r="C94" s="4">
        <f>C52</f>
        <v>1984500.0000000002</v>
      </c>
      <c r="E94" s="1" t="s">
        <v>31</v>
      </c>
      <c r="F94" s="18">
        <v>383648</v>
      </c>
      <c r="I94" s="1" t="s">
        <v>112</v>
      </c>
      <c r="J94" s="1" t="s">
        <v>113</v>
      </c>
      <c r="K94" s="1" t="s">
        <v>114</v>
      </c>
      <c r="M94" s="9" t="s">
        <v>32</v>
      </c>
      <c r="N94" s="2"/>
      <c r="P94" s="10" t="s">
        <v>33</v>
      </c>
      <c r="Q94" s="11">
        <f>J100</f>
        <v>0</v>
      </c>
    </row>
    <row r="95" spans="1:17" x14ac:dyDescent="0.25">
      <c r="A95" s="46"/>
      <c r="B95" s="1" t="s">
        <v>58</v>
      </c>
      <c r="C95" s="4">
        <f>C103*1.35</f>
        <v>2137387.5</v>
      </c>
      <c r="E95" s="5" t="s">
        <v>115</v>
      </c>
      <c r="F95" s="30" t="s">
        <v>116</v>
      </c>
      <c r="G95" s="27">
        <f>C99/4</f>
        <v>367500</v>
      </c>
      <c r="I95" s="1">
        <v>0</v>
      </c>
      <c r="J95" s="1">
        <v>0</v>
      </c>
      <c r="K95" s="1">
        <v>0</v>
      </c>
      <c r="M95" s="10" t="s">
        <v>39</v>
      </c>
      <c r="N95" s="2"/>
      <c r="P95" s="10" t="s">
        <v>40</v>
      </c>
      <c r="Q95" s="11">
        <f>Q92+Q94</f>
        <v>12028795.700000001</v>
      </c>
    </row>
    <row r="96" spans="1:17" x14ac:dyDescent="0.25">
      <c r="A96" s="46"/>
      <c r="B96" s="1" t="s">
        <v>117</v>
      </c>
      <c r="C96" s="4">
        <f>I72</f>
        <v>4121888</v>
      </c>
      <c r="E96" s="3" t="s">
        <v>118</v>
      </c>
      <c r="I96" s="1" t="s">
        <v>119</v>
      </c>
      <c r="J96" s="1" t="s">
        <v>120</v>
      </c>
      <c r="K96" s="1" t="s">
        <v>121</v>
      </c>
      <c r="M96" s="10" t="s">
        <v>42</v>
      </c>
      <c r="N96" s="11">
        <f>C100</f>
        <v>1300000</v>
      </c>
      <c r="P96" s="9" t="s">
        <v>43</v>
      </c>
      <c r="Q96" s="11"/>
    </row>
    <row r="97" spans="1:17" x14ac:dyDescent="0.25">
      <c r="A97" s="46"/>
      <c r="F97" s="1" t="s">
        <v>141</v>
      </c>
      <c r="G97" s="1" t="s">
        <v>123</v>
      </c>
      <c r="I97" s="1">
        <v>0</v>
      </c>
      <c r="J97" s="1">
        <v>0</v>
      </c>
      <c r="K97" s="1">
        <v>0</v>
      </c>
      <c r="M97" s="10" t="s">
        <v>45</v>
      </c>
      <c r="N97" s="11">
        <v>20000</v>
      </c>
      <c r="P97" s="10" t="s">
        <v>46</v>
      </c>
      <c r="Q97" s="11">
        <f>SUM(P125,N96:N98,N100:N103,N107:N109,N111:N116,N118,N120:N122)</f>
        <v>8011473.650924528</v>
      </c>
    </row>
    <row r="98" spans="1:17" x14ac:dyDescent="0.25">
      <c r="A98" s="46"/>
      <c r="B98" s="3" t="s">
        <v>30</v>
      </c>
      <c r="E98" s="1" t="s">
        <v>23</v>
      </c>
      <c r="F98" s="17">
        <v>8.1999999999999993</v>
      </c>
      <c r="G98" s="18">
        <v>385000</v>
      </c>
      <c r="M98" s="10" t="s">
        <v>49</v>
      </c>
      <c r="N98" s="11">
        <f>C102*1.4</f>
        <v>2057999.9999999998</v>
      </c>
      <c r="P98" s="10" t="s">
        <v>50</v>
      </c>
      <c r="Q98" s="11">
        <f>(C91+C92)*J105</f>
        <v>0</v>
      </c>
    </row>
    <row r="99" spans="1:17" x14ac:dyDescent="0.25">
      <c r="A99" s="46"/>
      <c r="B99" s="1" t="s">
        <v>34</v>
      </c>
      <c r="C99" s="18">
        <f>C102</f>
        <v>1470000</v>
      </c>
      <c r="E99" s="1" t="s">
        <v>27</v>
      </c>
      <c r="F99" s="17">
        <v>8.1999999999999993</v>
      </c>
      <c r="G99" s="18">
        <v>385000</v>
      </c>
      <c r="I99" s="3" t="s">
        <v>124</v>
      </c>
      <c r="M99" s="10" t="s">
        <v>53</v>
      </c>
      <c r="N99" s="11">
        <f>C94*C111</f>
        <v>2500470.0000000005</v>
      </c>
      <c r="P99" s="10" t="s">
        <v>54</v>
      </c>
      <c r="Q99" s="11">
        <f>C90*500000</f>
        <v>500000</v>
      </c>
    </row>
    <row r="100" spans="1:17" x14ac:dyDescent="0.25">
      <c r="A100" s="46"/>
      <c r="B100" s="1" t="s">
        <v>41</v>
      </c>
      <c r="C100" s="18">
        <v>1300000</v>
      </c>
      <c r="E100" s="1" t="s">
        <v>29</v>
      </c>
      <c r="F100" s="17">
        <v>8.3000000000000007</v>
      </c>
      <c r="G100" s="18">
        <v>400000</v>
      </c>
      <c r="I100" s="1" t="s">
        <v>33</v>
      </c>
      <c r="J100" s="18">
        <v>0</v>
      </c>
      <c r="M100" s="10" t="s">
        <v>125</v>
      </c>
      <c r="N100" s="11">
        <f>IF(C91=0,0,IF(C91&lt;=500000,40000,IF(C91&lt;=1000000,80000,IF(C91&lt;=1500000,120000,IF(C91&lt;=2000000,160000,IF(C91&gt;2000000,200000))))))</f>
        <v>0</v>
      </c>
      <c r="P100" s="10" t="s">
        <v>57</v>
      </c>
      <c r="Q100" s="11">
        <f>J101</f>
        <v>1600000</v>
      </c>
    </row>
    <row r="101" spans="1:17" x14ac:dyDescent="0.25">
      <c r="A101" s="46"/>
      <c r="B101" s="5" t="s">
        <v>126</v>
      </c>
      <c r="E101" s="1" t="s">
        <v>31</v>
      </c>
      <c r="F101" s="17">
        <v>8.3000000000000007</v>
      </c>
      <c r="G101" s="18">
        <v>400000</v>
      </c>
      <c r="I101" s="1" t="s">
        <v>57</v>
      </c>
      <c r="J101" s="17">
        <v>1600000</v>
      </c>
      <c r="M101" s="10" t="s">
        <v>60</v>
      </c>
      <c r="N101" s="11">
        <f>1*C92</f>
        <v>0</v>
      </c>
      <c r="P101" s="10" t="s">
        <v>61</v>
      </c>
      <c r="Q101" s="11">
        <f>J102</f>
        <v>0</v>
      </c>
    </row>
    <row r="102" spans="1:17" x14ac:dyDescent="0.25">
      <c r="A102" s="46"/>
      <c r="B102" s="1" t="s">
        <v>127</v>
      </c>
      <c r="C102" s="27">
        <f>C60</f>
        <v>1470000</v>
      </c>
      <c r="I102" s="1" t="s">
        <v>61</v>
      </c>
      <c r="J102" s="1">
        <v>0</v>
      </c>
      <c r="M102" s="10" t="s">
        <v>63</v>
      </c>
      <c r="N102" s="11">
        <f>C106*12000</f>
        <v>120000</v>
      </c>
      <c r="P102" s="10"/>
      <c r="Q102" s="11"/>
    </row>
    <row r="103" spans="1:17" x14ac:dyDescent="0.25">
      <c r="A103" s="46"/>
      <c r="B103" s="1" t="s">
        <v>55</v>
      </c>
      <c r="C103" s="27">
        <f>C102*0.975+C90*150000</f>
        <v>1583250</v>
      </c>
      <c r="M103" s="10" t="s">
        <v>65</v>
      </c>
      <c r="N103" s="11">
        <f>C90*100000</f>
        <v>100000</v>
      </c>
      <c r="P103" s="10" t="s">
        <v>66</v>
      </c>
      <c r="Q103" s="11">
        <f>SUM(Q97:Q101)</f>
        <v>10111473.650924528</v>
      </c>
    </row>
    <row r="104" spans="1:17" x14ac:dyDescent="0.25">
      <c r="A104" s="46"/>
      <c r="E104" s="3" t="s">
        <v>9</v>
      </c>
      <c r="I104" s="3" t="s">
        <v>44</v>
      </c>
      <c r="M104" s="10" t="s">
        <v>67</v>
      </c>
      <c r="N104" s="11">
        <f>Q72*0.025</f>
        <v>122500</v>
      </c>
      <c r="P104" s="10"/>
      <c r="Q104" s="11"/>
    </row>
    <row r="105" spans="1:17" x14ac:dyDescent="0.25">
      <c r="A105" s="46"/>
      <c r="B105" s="5" t="s">
        <v>128</v>
      </c>
      <c r="F105" s="1" t="s">
        <v>14</v>
      </c>
      <c r="G105" s="1" t="s">
        <v>15</v>
      </c>
      <c r="I105" s="1" t="s">
        <v>48</v>
      </c>
      <c r="J105" s="17">
        <v>2.25</v>
      </c>
      <c r="M105" s="10" t="s">
        <v>68</v>
      </c>
      <c r="N105" s="11">
        <f>Q71-Q114</f>
        <v>-48708</v>
      </c>
      <c r="P105" s="9" t="s">
        <v>69</v>
      </c>
      <c r="Q105" s="11">
        <f>Q95-Q103</f>
        <v>1917322.0490754731</v>
      </c>
    </row>
    <row r="106" spans="1:17" x14ac:dyDescent="0.25">
      <c r="A106" s="46"/>
      <c r="B106" s="1" t="s">
        <v>129</v>
      </c>
      <c r="C106" s="27">
        <f>C64</f>
        <v>10</v>
      </c>
      <c r="E106" s="1" t="s">
        <v>22</v>
      </c>
      <c r="F106" s="17">
        <f>C90*3</f>
        <v>3</v>
      </c>
      <c r="G106" s="1">
        <v>0</v>
      </c>
      <c r="I106" s="1" t="s">
        <v>52</v>
      </c>
      <c r="J106" s="17">
        <v>0</v>
      </c>
      <c r="M106" s="10" t="s">
        <v>70</v>
      </c>
      <c r="N106" s="2"/>
      <c r="P106" s="10"/>
      <c r="Q106" s="11"/>
    </row>
    <row r="107" spans="1:17" x14ac:dyDescent="0.25">
      <c r="A107" s="46"/>
      <c r="B107" s="1" t="s">
        <v>51</v>
      </c>
      <c r="C107" s="27">
        <f>C106+C90</f>
        <v>11</v>
      </c>
      <c r="E107" s="1" t="s">
        <v>23</v>
      </c>
      <c r="F107" s="17">
        <v>1</v>
      </c>
      <c r="G107" s="1">
        <v>0</v>
      </c>
      <c r="M107" s="10" t="s">
        <v>71</v>
      </c>
      <c r="N107" s="11">
        <f>G98+G99+G100+G101</f>
        <v>1570000</v>
      </c>
      <c r="P107" s="9" t="s">
        <v>72</v>
      </c>
      <c r="Q107" s="11">
        <f>IF(Q120="0",Q64+Q105,N92/2)</f>
        <v>6405190.3388867937</v>
      </c>
    </row>
    <row r="108" spans="1:17" x14ac:dyDescent="0.25">
      <c r="A108" s="46"/>
      <c r="E108" s="1" t="s">
        <v>27</v>
      </c>
      <c r="F108" s="17">
        <v>1</v>
      </c>
      <c r="G108" s="1">
        <v>0</v>
      </c>
      <c r="I108" s="36" t="s">
        <v>10</v>
      </c>
      <c r="J108" s="36"/>
      <c r="K108" s="36"/>
      <c r="L108" s="37"/>
      <c r="M108" s="10" t="s">
        <v>73</v>
      </c>
      <c r="N108" s="11">
        <f>F91*0.4+F92*0.1+F93*0.4+F94*0.5</f>
        <v>521912</v>
      </c>
    </row>
    <row r="109" spans="1:17" x14ac:dyDescent="0.25">
      <c r="A109" s="46"/>
      <c r="B109" s="5" t="s">
        <v>59</v>
      </c>
      <c r="E109" s="1" t="s">
        <v>29</v>
      </c>
      <c r="F109" s="17">
        <v>1</v>
      </c>
      <c r="G109" s="1">
        <v>0</v>
      </c>
      <c r="J109" s="1" t="s">
        <v>16</v>
      </c>
      <c r="K109" s="1" t="s">
        <v>17</v>
      </c>
      <c r="L109" s="1" t="s">
        <v>18</v>
      </c>
      <c r="M109" s="10" t="s">
        <v>74</v>
      </c>
      <c r="N109" s="11">
        <f>IF(I91+J91+K91=0,"0",10000+I91*0.4+J91*0.7+K91*0.8)+IF(I93+J93+K93=0,"0",10000+I93*0.4+J93*0.4+K93*0.5)+IF(I95+J95+K95=0,"0",10000+I95*0.7+J95*0.4+K95*0.4)+IF(I97+J97+K97=0,"0",10000+I97*0.8+J97*0.5+K97*0.4)</f>
        <v>0</v>
      </c>
      <c r="P109" s="41" t="s">
        <v>75</v>
      </c>
      <c r="Q109" s="42"/>
    </row>
    <row r="110" spans="1:17" x14ac:dyDescent="0.25">
      <c r="A110" s="46"/>
      <c r="B110" s="1" t="s">
        <v>62</v>
      </c>
      <c r="C110" s="27">
        <f>Q122</f>
        <v>11400000</v>
      </c>
      <c r="E110" s="1" t="s">
        <v>31</v>
      </c>
      <c r="F110" s="17">
        <v>1</v>
      </c>
      <c r="G110" s="1">
        <v>0</v>
      </c>
      <c r="I110" s="1" t="s">
        <v>23</v>
      </c>
      <c r="J110" s="4">
        <f>F91</f>
        <v>363176</v>
      </c>
      <c r="K110" s="4">
        <f>J110</f>
        <v>363176</v>
      </c>
      <c r="L110" s="4">
        <f>J110-K110+L67</f>
        <v>0</v>
      </c>
      <c r="M110" s="10" t="s">
        <v>76</v>
      </c>
      <c r="N110" s="2"/>
      <c r="P110" s="8" t="s">
        <v>19</v>
      </c>
      <c r="Q110" s="8" t="s">
        <v>20</v>
      </c>
    </row>
    <row r="111" spans="1:17" x14ac:dyDescent="0.25">
      <c r="A111" s="46"/>
      <c r="B111" s="1" t="s">
        <v>64</v>
      </c>
      <c r="C111" s="28">
        <f>(Q98+Q70)/(C91+C92+I72)</f>
        <v>1.26</v>
      </c>
      <c r="I111" s="1" t="s">
        <v>27</v>
      </c>
      <c r="J111" s="4">
        <f>F92</f>
        <v>348176</v>
      </c>
      <c r="K111" s="4">
        <f t="shared" ref="K111:K113" si="2">J111</f>
        <v>348176</v>
      </c>
      <c r="L111" s="4">
        <f t="shared" ref="L111:L113" si="3">J111-K111+L68</f>
        <v>0</v>
      </c>
      <c r="M111" s="10" t="s">
        <v>77</v>
      </c>
      <c r="N111" s="11">
        <f>(F106+F107+F108+F109+F110)*500</f>
        <v>3500</v>
      </c>
      <c r="P111" s="9" t="s">
        <v>78</v>
      </c>
      <c r="Q111" s="2"/>
    </row>
    <row r="112" spans="1:17" x14ac:dyDescent="0.25">
      <c r="A112" s="46"/>
      <c r="E112" s="5" t="s">
        <v>131</v>
      </c>
      <c r="I112" s="1" t="s">
        <v>29</v>
      </c>
      <c r="J112" s="4">
        <f>F93</f>
        <v>375000</v>
      </c>
      <c r="K112" s="4">
        <v>362823</v>
      </c>
      <c r="L112" s="4">
        <v>12177</v>
      </c>
      <c r="M112" s="10" t="s">
        <v>79</v>
      </c>
      <c r="N112" s="11">
        <f>(F106+F107+F108+F109+F110)*1000</f>
        <v>7000</v>
      </c>
      <c r="P112" s="10" t="s">
        <v>80</v>
      </c>
      <c r="Q112" s="11">
        <f>Q107</f>
        <v>6405190.3388867937</v>
      </c>
    </row>
    <row r="113" spans="1:17" x14ac:dyDescent="0.25">
      <c r="A113" s="46"/>
      <c r="E113" s="1" t="s">
        <v>132</v>
      </c>
      <c r="F113" s="29">
        <f>F70+F63</f>
        <v>30</v>
      </c>
      <c r="I113" s="1" t="s">
        <v>31</v>
      </c>
      <c r="J113" s="4">
        <f>F94</f>
        <v>383648</v>
      </c>
      <c r="K113" s="4">
        <f t="shared" si="2"/>
        <v>383648</v>
      </c>
      <c r="L113" s="4">
        <f t="shared" si="3"/>
        <v>0</v>
      </c>
      <c r="M113" s="10" t="s">
        <v>81</v>
      </c>
      <c r="N113" s="11">
        <f>4500*(F107+F108+F109+F110)+3750*F106+9000*F114+7500*F113</f>
        <v>398250</v>
      </c>
      <c r="P113" s="10" t="s">
        <v>82</v>
      </c>
      <c r="Q113" s="11">
        <f>I115*C111</f>
        <v>2693108.88</v>
      </c>
    </row>
    <row r="114" spans="1:17" x14ac:dyDescent="0.25">
      <c r="A114" s="46"/>
      <c r="E114" s="1" t="s">
        <v>133</v>
      </c>
      <c r="F114" s="29">
        <f>F71+SUM(F64:F67)</f>
        <v>16</v>
      </c>
      <c r="I114" s="1" t="s">
        <v>35</v>
      </c>
      <c r="J114" s="1" t="s">
        <v>36</v>
      </c>
      <c r="K114" s="1" t="s">
        <v>37</v>
      </c>
      <c r="L114" s="1" t="s">
        <v>38</v>
      </c>
      <c r="M114" s="10" t="s">
        <v>83</v>
      </c>
      <c r="N114" s="11">
        <f>(G107+G108+G109+G110)*6000+G106*5000</f>
        <v>0</v>
      </c>
      <c r="P114" s="10" t="s">
        <v>84</v>
      </c>
      <c r="Q114" s="11">
        <f>4*L115</f>
        <v>48708</v>
      </c>
    </row>
    <row r="115" spans="1:17" x14ac:dyDescent="0.25">
      <c r="A115" s="46"/>
      <c r="E115" s="1" t="s">
        <v>135</v>
      </c>
      <c r="F115" s="27">
        <f>C103/4</f>
        <v>395812.5</v>
      </c>
      <c r="I115" s="4">
        <f>C91+C92-C99*1.35+I72</f>
        <v>2137388</v>
      </c>
      <c r="J115" s="4">
        <f>SUM(J110:J113)</f>
        <v>1470000</v>
      </c>
      <c r="K115" s="4">
        <f>SUM(K110:K113)</f>
        <v>1457823</v>
      </c>
      <c r="L115" s="4">
        <f>SUM(L110:L113)</f>
        <v>12177</v>
      </c>
      <c r="M115" s="10" t="s">
        <v>85</v>
      </c>
      <c r="N115" s="11">
        <f>Q70*0.1</f>
        <v>519357.88800000004</v>
      </c>
      <c r="P115" s="10" t="s">
        <v>86</v>
      </c>
      <c r="Q115" s="11">
        <f>Q72*0.975+C90*500000</f>
        <v>5277500</v>
      </c>
    </row>
    <row r="116" spans="1:17" x14ac:dyDescent="0.25">
      <c r="A116" s="46"/>
      <c r="M116" s="10" t="s">
        <v>87</v>
      </c>
      <c r="N116" s="11">
        <f>L115*0.5</f>
        <v>6088.5</v>
      </c>
      <c r="P116" s="10" t="s">
        <v>88</v>
      </c>
      <c r="Q116" s="11">
        <f>SUM(Q112:Q115)</f>
        <v>14424507.218886793</v>
      </c>
    </row>
    <row r="117" spans="1:17" x14ac:dyDescent="0.25">
      <c r="A117" s="46"/>
      <c r="M117" s="10" t="s">
        <v>89</v>
      </c>
      <c r="N117" s="2"/>
      <c r="P117" s="9"/>
      <c r="Q117" s="11">
        <v>0</v>
      </c>
    </row>
    <row r="118" spans="1:17" x14ac:dyDescent="0.25">
      <c r="A118" s="46"/>
      <c r="M118" s="10" t="s">
        <v>90</v>
      </c>
      <c r="N118" s="11">
        <f>(J100+Q76-J101)*$F$2/4+Q77*$F$2</f>
        <v>171000</v>
      </c>
      <c r="P118" s="9" t="s">
        <v>91</v>
      </c>
      <c r="Q118" s="11"/>
    </row>
    <row r="119" spans="1:17" x14ac:dyDescent="0.25">
      <c r="A119" s="46"/>
      <c r="M119" s="10" t="s">
        <v>92</v>
      </c>
      <c r="N119" s="11"/>
      <c r="P119" s="10" t="s">
        <v>93</v>
      </c>
      <c r="Q119" s="11">
        <f>J100+Q79-J101</f>
        <v>11400000</v>
      </c>
    </row>
    <row r="120" spans="1:17" x14ac:dyDescent="0.25">
      <c r="A120" s="46"/>
      <c r="M120" s="10" t="s">
        <v>1</v>
      </c>
      <c r="N120" s="11">
        <f>N92/(1+$B$2)*$B$2</f>
        <v>680875.2283018867</v>
      </c>
      <c r="P120" s="10" t="s">
        <v>136</v>
      </c>
      <c r="Q120" s="14" t="str">
        <f>IF(Q121&lt;0,"0",Q121)</f>
        <v>0</v>
      </c>
    </row>
    <row r="121" spans="1:17" x14ac:dyDescent="0.25">
      <c r="A121" s="46"/>
      <c r="M121" s="10" t="s">
        <v>2</v>
      </c>
      <c r="N121" s="11">
        <f>N120*$C$2</f>
        <v>54470.018264150938</v>
      </c>
      <c r="P121" s="10" t="s">
        <v>137</v>
      </c>
      <c r="Q121" s="11">
        <f>Q103-(Q64+N92/2)-J100</f>
        <v>-390792.48888679408</v>
      </c>
    </row>
    <row r="122" spans="1:17" x14ac:dyDescent="0.25">
      <c r="A122" s="46"/>
      <c r="M122" s="10" t="s">
        <v>138</v>
      </c>
      <c r="N122" s="14">
        <f>IF(N123&lt;0,"0",N123)</f>
        <v>481020.01635849057</v>
      </c>
      <c r="P122" s="10" t="s">
        <v>95</v>
      </c>
      <c r="Q122" s="11">
        <f>Q119+Q120</f>
        <v>11400000</v>
      </c>
    </row>
    <row r="123" spans="1:17" x14ac:dyDescent="0.25">
      <c r="A123" s="46"/>
      <c r="M123" s="10" t="s">
        <v>139</v>
      </c>
      <c r="N123" s="11">
        <f>(N92/(1+$B$2)-SUM(N107:N109,N96:N105,N111:N116,N118,N121))*$E$2</f>
        <v>481020.01635849057</v>
      </c>
      <c r="P123" s="10"/>
      <c r="Q123" s="11">
        <v>0</v>
      </c>
    </row>
    <row r="124" spans="1:17" x14ac:dyDescent="0.25">
      <c r="A124" s="46"/>
      <c r="M124" s="10"/>
      <c r="N124" s="15"/>
      <c r="P124" s="9" t="s">
        <v>97</v>
      </c>
      <c r="Q124" s="11">
        <f>SUM(Q112:Q115)-Q120-Q119</f>
        <v>3024507.2188867927</v>
      </c>
    </row>
    <row r="125" spans="1:17" x14ac:dyDescent="0.25">
      <c r="A125" s="46"/>
      <c r="M125" s="10" t="s">
        <v>98</v>
      </c>
      <c r="N125" s="11">
        <f>SUM(N107:N109,N96:N105,N111:N116,N118,N120:N122)</f>
        <v>10585735.650924528</v>
      </c>
    </row>
    <row r="126" spans="1:17" x14ac:dyDescent="0.25">
      <c r="A126" s="46"/>
      <c r="M126" s="9" t="s">
        <v>99</v>
      </c>
      <c r="N126" s="11">
        <f>N92-N125</f>
        <v>1443060.0490754731</v>
      </c>
    </row>
    <row r="132" spans="1:17" ht="14.55" customHeight="1" x14ac:dyDescent="0.25">
      <c r="A132" s="46" t="s">
        <v>142</v>
      </c>
      <c r="B132" s="3" t="s">
        <v>8</v>
      </c>
      <c r="E132" s="3" t="s">
        <v>101</v>
      </c>
      <c r="F132" s="39" t="s">
        <v>102</v>
      </c>
      <c r="G132" s="40"/>
      <c r="H132" s="40"/>
      <c r="I132" s="12" t="s">
        <v>103</v>
      </c>
      <c r="M132" s="41" t="s">
        <v>11</v>
      </c>
      <c r="N132" s="42"/>
      <c r="P132" s="41" t="s">
        <v>12</v>
      </c>
      <c r="Q132" s="42"/>
    </row>
    <row r="133" spans="1:17" x14ac:dyDescent="0.25">
      <c r="A133" s="46"/>
      <c r="B133" s="1" t="s">
        <v>13</v>
      </c>
      <c r="C133" s="17">
        <v>2</v>
      </c>
      <c r="F133" s="1" t="s">
        <v>16</v>
      </c>
      <c r="G133" s="17">
        <f>C145-SUM(F134:F137)</f>
        <v>0</v>
      </c>
      <c r="I133" s="1" t="s">
        <v>104</v>
      </c>
      <c r="J133" s="1" t="s">
        <v>105</v>
      </c>
      <c r="K133" s="1" t="s">
        <v>106</v>
      </c>
      <c r="M133" s="8" t="s">
        <v>19</v>
      </c>
      <c r="N133" s="8" t="s">
        <v>20</v>
      </c>
      <c r="P133" s="8" t="s">
        <v>19</v>
      </c>
      <c r="Q133" s="8" t="s">
        <v>20</v>
      </c>
    </row>
    <row r="134" spans="1:17" x14ac:dyDescent="0.25">
      <c r="A134" s="46"/>
      <c r="B134" s="1" t="s">
        <v>21</v>
      </c>
      <c r="C134" s="18">
        <v>5725682</v>
      </c>
      <c r="E134" s="1" t="s">
        <v>23</v>
      </c>
      <c r="F134" s="18">
        <v>393615</v>
      </c>
      <c r="I134" s="1">
        <v>0</v>
      </c>
      <c r="J134" s="1">
        <v>0</v>
      </c>
      <c r="K134" s="1">
        <v>0</v>
      </c>
      <c r="M134" s="9" t="s">
        <v>24</v>
      </c>
      <c r="N134" s="2"/>
      <c r="P134" s="9" t="s">
        <v>25</v>
      </c>
      <c r="Q134" s="11"/>
    </row>
    <row r="135" spans="1:17" x14ac:dyDescent="0.25">
      <c r="A135" s="46"/>
      <c r="B135" s="1" t="s">
        <v>26</v>
      </c>
      <c r="C135" s="18">
        <v>0</v>
      </c>
      <c r="E135" s="1" t="s">
        <v>27</v>
      </c>
      <c r="F135" s="18">
        <v>368618</v>
      </c>
      <c r="I135" s="1" t="s">
        <v>107</v>
      </c>
      <c r="J135" s="1" t="s">
        <v>108</v>
      </c>
      <c r="K135" s="1" t="s">
        <v>109</v>
      </c>
      <c r="M135" s="10" t="s">
        <v>28</v>
      </c>
      <c r="N135" s="13">
        <f>F141*K153+F142*K154+F143*K155+F144*K156</f>
        <v>14128995.200000001</v>
      </c>
      <c r="P135" s="10" t="s">
        <v>28</v>
      </c>
      <c r="Q135" s="11">
        <f>N135</f>
        <v>14128995.200000001</v>
      </c>
    </row>
    <row r="136" spans="1:17" x14ac:dyDescent="0.25">
      <c r="A136" s="46"/>
      <c r="B136" s="5" t="s">
        <v>110</v>
      </c>
      <c r="E136" s="1" t="s">
        <v>29</v>
      </c>
      <c r="F136" s="18">
        <v>374829</v>
      </c>
      <c r="I136" s="1">
        <v>0</v>
      </c>
      <c r="J136" s="1">
        <v>0</v>
      </c>
      <c r="K136" s="1">
        <v>0</v>
      </c>
      <c r="M136" s="9"/>
      <c r="N136" s="2"/>
      <c r="P136" s="9"/>
      <c r="Q136" s="11"/>
    </row>
    <row r="137" spans="1:17" x14ac:dyDescent="0.25">
      <c r="A137" s="46"/>
      <c r="B137" s="1" t="s">
        <v>111</v>
      </c>
      <c r="C137" s="27">
        <f>C95</f>
        <v>2137387.5</v>
      </c>
      <c r="E137" s="1" t="s">
        <v>31</v>
      </c>
      <c r="F137" s="18">
        <v>446188</v>
      </c>
      <c r="I137" s="1" t="s">
        <v>112</v>
      </c>
      <c r="J137" s="1" t="s">
        <v>113</v>
      </c>
      <c r="K137" s="1" t="s">
        <v>114</v>
      </c>
      <c r="M137" s="9" t="s">
        <v>32</v>
      </c>
      <c r="N137" s="2"/>
      <c r="P137" s="10" t="s">
        <v>33</v>
      </c>
      <c r="Q137" s="11">
        <f>J143</f>
        <v>3400000</v>
      </c>
    </row>
    <row r="138" spans="1:17" x14ac:dyDescent="0.25">
      <c r="A138" s="46"/>
      <c r="B138" s="1" t="s">
        <v>58</v>
      </c>
      <c r="C138" s="27">
        <f>C146*1.35</f>
        <v>2488952.8125</v>
      </c>
      <c r="E138" s="5" t="s">
        <v>115</v>
      </c>
      <c r="F138" s="30" t="s">
        <v>116</v>
      </c>
      <c r="G138" s="27">
        <f>C142/4</f>
        <v>395812.5</v>
      </c>
      <c r="I138" s="1">
        <v>0</v>
      </c>
      <c r="J138" s="1">
        <v>0</v>
      </c>
      <c r="K138" s="1">
        <v>0</v>
      </c>
      <c r="M138" s="10" t="s">
        <v>39</v>
      </c>
      <c r="N138" s="2"/>
      <c r="P138" s="10" t="s">
        <v>40</v>
      </c>
      <c r="Q138" s="11">
        <f>Q135+Q137</f>
        <v>17528995.200000003</v>
      </c>
    </row>
    <row r="139" spans="1:17" x14ac:dyDescent="0.25">
      <c r="A139" s="46"/>
      <c r="B139" s="1" t="s">
        <v>117</v>
      </c>
      <c r="C139" s="27">
        <f>I115</f>
        <v>2137388</v>
      </c>
      <c r="E139" s="3" t="s">
        <v>118</v>
      </c>
      <c r="I139" s="1" t="s">
        <v>119</v>
      </c>
      <c r="J139" s="1" t="s">
        <v>120</v>
      </c>
      <c r="K139" s="1" t="s">
        <v>121</v>
      </c>
      <c r="M139" s="10" t="s">
        <v>42</v>
      </c>
      <c r="N139" s="11">
        <f>C143</f>
        <v>1900000</v>
      </c>
      <c r="P139" s="9" t="s">
        <v>43</v>
      </c>
      <c r="Q139" s="11"/>
    </row>
    <row r="140" spans="1:17" x14ac:dyDescent="0.25">
      <c r="A140" s="46"/>
      <c r="F140" s="1" t="s">
        <v>141</v>
      </c>
      <c r="G140" s="1" t="s">
        <v>123</v>
      </c>
      <c r="I140" s="1">
        <v>0</v>
      </c>
      <c r="J140" s="1">
        <v>0</v>
      </c>
      <c r="K140" s="1">
        <v>0</v>
      </c>
      <c r="M140" s="10" t="s">
        <v>45</v>
      </c>
      <c r="N140" s="11">
        <v>20000</v>
      </c>
      <c r="P140" s="10" t="s">
        <v>46</v>
      </c>
      <c r="Q140" s="11">
        <f>SUM(P168,N139:N141,N143:N146,N150:N152,N154:N159,N161,N163:N165)</f>
        <v>8133693.2822079929</v>
      </c>
    </row>
    <row r="141" spans="1:17" x14ac:dyDescent="0.25">
      <c r="A141" s="46"/>
      <c r="B141" s="3" t="s">
        <v>30</v>
      </c>
      <c r="E141" s="1" t="s">
        <v>23</v>
      </c>
      <c r="F141" s="17">
        <v>8.8000000000000007</v>
      </c>
      <c r="G141" s="18">
        <v>10000</v>
      </c>
      <c r="M141" s="10" t="s">
        <v>49</v>
      </c>
      <c r="N141" s="11">
        <f>C145*1.4</f>
        <v>2216550</v>
      </c>
      <c r="P141" s="10" t="s">
        <v>50</v>
      </c>
      <c r="Q141" s="11">
        <f>(C134+C135)*J148</f>
        <v>7443386.6000000006</v>
      </c>
    </row>
    <row r="142" spans="1:17" x14ac:dyDescent="0.25">
      <c r="A142" s="46"/>
      <c r="B142" s="1" t="s">
        <v>34</v>
      </c>
      <c r="C142" s="18">
        <f>C145</f>
        <v>1583250</v>
      </c>
      <c r="E142" s="1" t="s">
        <v>27</v>
      </c>
      <c r="F142" s="17">
        <v>8.8000000000000007</v>
      </c>
      <c r="G142" s="18">
        <v>10000</v>
      </c>
      <c r="I142" s="3" t="s">
        <v>124</v>
      </c>
      <c r="M142" s="10" t="s">
        <v>53</v>
      </c>
      <c r="N142" s="11">
        <f>C137*C154</f>
        <v>2755363.8378850119</v>
      </c>
      <c r="P142" s="10" t="s">
        <v>54</v>
      </c>
      <c r="Q142" s="11">
        <f>C133*500000</f>
        <v>1000000</v>
      </c>
    </row>
    <row r="143" spans="1:17" x14ac:dyDescent="0.25">
      <c r="A143" s="46"/>
      <c r="B143" s="1" t="s">
        <v>41</v>
      </c>
      <c r="C143" s="18">
        <v>1900000</v>
      </c>
      <c r="E143" s="1" t="s">
        <v>29</v>
      </c>
      <c r="F143" s="17">
        <v>8.8000000000000007</v>
      </c>
      <c r="G143" s="18">
        <v>10000</v>
      </c>
      <c r="I143" s="1" t="s">
        <v>33</v>
      </c>
      <c r="J143" s="18">
        <v>3400000</v>
      </c>
      <c r="M143" s="10" t="s">
        <v>125</v>
      </c>
      <c r="N143" s="11">
        <f>IF(C134=0,0,IF(C134&lt;=500000,40000,IF(C134&lt;=1000000,80000,IF(C134&lt;=1500000,120000,IF(C134&lt;=2000000,160000,IF(C134&gt;2000000,200000))))))</f>
        <v>200000</v>
      </c>
      <c r="P143" s="10" t="s">
        <v>57</v>
      </c>
      <c r="Q143" s="11">
        <f>J144</f>
        <v>0</v>
      </c>
    </row>
    <row r="144" spans="1:17" x14ac:dyDescent="0.25">
      <c r="A144" s="46"/>
      <c r="B144" s="5" t="s">
        <v>126</v>
      </c>
      <c r="E144" s="1" t="s">
        <v>31</v>
      </c>
      <c r="F144" s="17">
        <v>9</v>
      </c>
      <c r="G144" s="18">
        <v>10000</v>
      </c>
      <c r="I144" s="1" t="s">
        <v>57</v>
      </c>
      <c r="J144" s="17">
        <v>0</v>
      </c>
      <c r="M144" s="10" t="s">
        <v>60</v>
      </c>
      <c r="N144" s="11">
        <f>1*C135</f>
        <v>0</v>
      </c>
      <c r="P144" s="10" t="s">
        <v>61</v>
      </c>
      <c r="Q144" s="11">
        <f>J145</f>
        <v>0</v>
      </c>
    </row>
    <row r="145" spans="1:17" x14ac:dyDescent="0.25">
      <c r="A145" s="46"/>
      <c r="B145" s="1" t="s">
        <v>127</v>
      </c>
      <c r="C145" s="27">
        <f>C103</f>
        <v>1583250</v>
      </c>
      <c r="I145" s="1" t="s">
        <v>61</v>
      </c>
      <c r="J145" s="17">
        <v>0</v>
      </c>
      <c r="M145" s="10" t="s">
        <v>63</v>
      </c>
      <c r="N145" s="11">
        <f>C149*12000</f>
        <v>132000</v>
      </c>
      <c r="P145" s="10"/>
      <c r="Q145" s="11"/>
    </row>
    <row r="146" spans="1:17" x14ac:dyDescent="0.25">
      <c r="A146" s="46"/>
      <c r="B146" s="1" t="s">
        <v>55</v>
      </c>
      <c r="C146" s="27">
        <f>C145*0.975+C133*150000</f>
        <v>1843668.75</v>
      </c>
      <c r="M146" s="10" t="s">
        <v>65</v>
      </c>
      <c r="N146" s="11">
        <f>C133*100000</f>
        <v>200000</v>
      </c>
      <c r="P146" s="10" t="s">
        <v>66</v>
      </c>
      <c r="Q146" s="11">
        <f>SUM(Q140:Q144)</f>
        <v>16577079.882207993</v>
      </c>
    </row>
    <row r="147" spans="1:17" x14ac:dyDescent="0.25">
      <c r="A147" s="46"/>
      <c r="E147" s="3" t="s">
        <v>9</v>
      </c>
      <c r="I147" s="3" t="s">
        <v>44</v>
      </c>
      <c r="M147" s="10" t="s">
        <v>67</v>
      </c>
      <c r="N147" s="11">
        <f>Q115*0.025</f>
        <v>131937.5</v>
      </c>
      <c r="P147" s="10"/>
      <c r="Q147" s="11"/>
    </row>
    <row r="148" spans="1:17" x14ac:dyDescent="0.25">
      <c r="A148" s="46"/>
      <c r="B148" s="5" t="s">
        <v>128</v>
      </c>
      <c r="F148" s="1" t="s">
        <v>14</v>
      </c>
      <c r="G148" s="1" t="s">
        <v>15</v>
      </c>
      <c r="I148" s="1" t="s">
        <v>48</v>
      </c>
      <c r="J148" s="17">
        <v>1.3</v>
      </c>
      <c r="M148" s="10" t="s">
        <v>68</v>
      </c>
      <c r="N148" s="11">
        <f>Q114-Q157</f>
        <v>48708</v>
      </c>
      <c r="P148" s="9" t="s">
        <v>69</v>
      </c>
      <c r="Q148" s="11">
        <f>Q138-Q146</f>
        <v>951915.31779200956</v>
      </c>
    </row>
    <row r="149" spans="1:17" x14ac:dyDescent="0.25">
      <c r="A149" s="46"/>
      <c r="B149" s="1" t="s">
        <v>129</v>
      </c>
      <c r="C149" s="27">
        <f>C107</f>
        <v>11</v>
      </c>
      <c r="E149" s="1" t="s">
        <v>22</v>
      </c>
      <c r="F149" s="17">
        <f>C133*3</f>
        <v>6</v>
      </c>
      <c r="G149" s="1">
        <v>0</v>
      </c>
      <c r="I149" s="1" t="s">
        <v>52</v>
      </c>
      <c r="J149" s="17"/>
      <c r="M149" s="10" t="s">
        <v>70</v>
      </c>
      <c r="N149" s="2"/>
      <c r="P149" s="10"/>
      <c r="Q149" s="11"/>
    </row>
    <row r="150" spans="1:17" x14ac:dyDescent="0.25">
      <c r="A150" s="46"/>
      <c r="B150" s="1" t="s">
        <v>51</v>
      </c>
      <c r="C150" s="27">
        <f>C149+C133</f>
        <v>13</v>
      </c>
      <c r="E150" s="1" t="s">
        <v>23</v>
      </c>
      <c r="F150" s="17">
        <v>1</v>
      </c>
      <c r="G150" s="1">
        <v>0</v>
      </c>
      <c r="M150" s="10" t="s">
        <v>71</v>
      </c>
      <c r="N150" s="11">
        <f>G141+G142+G143+G144</f>
        <v>40000</v>
      </c>
      <c r="P150" s="9" t="s">
        <v>72</v>
      </c>
      <c r="Q150" s="11">
        <f>IF(Q163="0",Q107+Q148,N135/2)</f>
        <v>7357105.6566788033</v>
      </c>
    </row>
    <row r="151" spans="1:17" x14ac:dyDescent="0.25">
      <c r="A151" s="46"/>
      <c r="E151" s="1" t="s">
        <v>27</v>
      </c>
      <c r="F151" s="17">
        <v>1</v>
      </c>
      <c r="G151" s="1">
        <v>0</v>
      </c>
      <c r="I151" s="36" t="s">
        <v>10</v>
      </c>
      <c r="J151" s="36"/>
      <c r="K151" s="36"/>
      <c r="L151" s="37"/>
      <c r="M151" s="10" t="s">
        <v>73</v>
      </c>
      <c r="N151" s="11">
        <f>F134*0.4+F135*0.1+F136*0.4+F137*0.5</f>
        <v>567333.4</v>
      </c>
    </row>
    <row r="152" spans="1:17" x14ac:dyDescent="0.25">
      <c r="A152" s="46"/>
      <c r="B152" s="5" t="s">
        <v>59</v>
      </c>
      <c r="E152" s="1" t="s">
        <v>29</v>
      </c>
      <c r="F152" s="17">
        <v>1</v>
      </c>
      <c r="G152" s="1">
        <v>0</v>
      </c>
      <c r="J152" s="1" t="s">
        <v>16</v>
      </c>
      <c r="K152" s="1" t="s">
        <v>17</v>
      </c>
      <c r="L152" s="1" t="s">
        <v>18</v>
      </c>
      <c r="M152" s="10" t="s">
        <v>74</v>
      </c>
      <c r="N152" s="11">
        <f>IF(I134+J134+K134=0,"0",10000+I134*0.4+J134*0.7+K134*0.8)+IF(I136+J136+K136=0,"0",10000+I136*0.4+J136*0.4+K136*0.5)+IF(I138+J138+K138=0,"0",10000+I138*0.7+J138*0.4+K138*0.4)+IF(I140+J140+K140=0,"0",10000+I140*0.8+J140*0.5+K140*0.4)</f>
        <v>0</v>
      </c>
      <c r="P152" s="41" t="s">
        <v>75</v>
      </c>
      <c r="Q152" s="42"/>
    </row>
    <row r="153" spans="1:17" x14ac:dyDescent="0.25">
      <c r="A153" s="46"/>
      <c r="B153" s="1" t="s">
        <v>62</v>
      </c>
      <c r="C153" s="27">
        <f>Q165</f>
        <v>14800000</v>
      </c>
      <c r="E153" s="1" t="s">
        <v>31</v>
      </c>
      <c r="F153" s="17">
        <v>1</v>
      </c>
      <c r="G153" s="1">
        <v>0</v>
      </c>
      <c r="I153" s="1" t="s">
        <v>23</v>
      </c>
      <c r="J153" s="4">
        <f>F134</f>
        <v>393615</v>
      </c>
      <c r="K153" s="4">
        <f>J153</f>
        <v>393615</v>
      </c>
      <c r="L153" s="4">
        <f>J153-K153+L110</f>
        <v>0</v>
      </c>
      <c r="M153" s="10" t="s">
        <v>76</v>
      </c>
      <c r="N153" s="2"/>
      <c r="P153" s="8" t="s">
        <v>19</v>
      </c>
      <c r="Q153" s="8" t="s">
        <v>20</v>
      </c>
    </row>
    <row r="154" spans="1:17" x14ac:dyDescent="0.25">
      <c r="A154" s="46"/>
      <c r="B154" s="1" t="s">
        <v>64</v>
      </c>
      <c r="C154" s="28">
        <f>(Q141+Q113)/(C134+C135+I115)</f>
        <v>1.2891269542303452</v>
      </c>
      <c r="I154" s="1" t="s">
        <v>27</v>
      </c>
      <c r="J154" s="4">
        <f>F135</f>
        <v>368618</v>
      </c>
      <c r="K154" s="4">
        <f t="shared" ref="K154:K156" si="4">J154</f>
        <v>368618</v>
      </c>
      <c r="L154" s="4">
        <f t="shared" ref="L154:L156" si="5">J154-K154+L111</f>
        <v>0</v>
      </c>
      <c r="M154" s="10" t="s">
        <v>77</v>
      </c>
      <c r="N154" s="11">
        <f>(F149+F150+F151+F152+F153)*500</f>
        <v>5000</v>
      </c>
      <c r="P154" s="9" t="s">
        <v>78</v>
      </c>
      <c r="Q154" s="2"/>
    </row>
    <row r="155" spans="1:17" x14ac:dyDescent="0.25">
      <c r="A155" s="46"/>
      <c r="E155" s="5" t="s">
        <v>131</v>
      </c>
      <c r="I155" s="1" t="s">
        <v>29</v>
      </c>
      <c r="J155" s="4">
        <f>F136</f>
        <v>374829</v>
      </c>
      <c r="K155" s="4">
        <f>J155+12177</f>
        <v>387006</v>
      </c>
      <c r="L155" s="4">
        <f t="shared" si="5"/>
        <v>0</v>
      </c>
      <c r="M155" s="10" t="s">
        <v>79</v>
      </c>
      <c r="N155" s="11">
        <f>(F149+F150+F151+F152+F153)*1000</f>
        <v>10000</v>
      </c>
      <c r="P155" s="10" t="s">
        <v>80</v>
      </c>
      <c r="Q155" s="11">
        <f>Q150</f>
        <v>7357105.6566788033</v>
      </c>
    </row>
    <row r="156" spans="1:17" x14ac:dyDescent="0.25">
      <c r="A156" s="46"/>
      <c r="E156" s="1" t="s">
        <v>132</v>
      </c>
      <c r="F156" s="29">
        <f>F113+F106</f>
        <v>33</v>
      </c>
      <c r="I156" s="1" t="s">
        <v>31</v>
      </c>
      <c r="J156" s="4">
        <f>F137</f>
        <v>446188</v>
      </c>
      <c r="K156" s="4">
        <f t="shared" si="4"/>
        <v>446188</v>
      </c>
      <c r="L156" s="4">
        <f t="shared" si="5"/>
        <v>0</v>
      </c>
      <c r="M156" s="10" t="s">
        <v>81</v>
      </c>
      <c r="N156" s="11">
        <f>4500*(F150+F151+F152+F153)+3750*F149+9000*F157+7500*F156</f>
        <v>468000</v>
      </c>
      <c r="P156" s="10" t="s">
        <v>82</v>
      </c>
      <c r="Q156" s="11">
        <f>I158*C154</f>
        <v>7381131.6421149885</v>
      </c>
    </row>
    <row r="157" spans="1:17" x14ac:dyDescent="0.25">
      <c r="A157" s="46"/>
      <c r="E157" s="1" t="s">
        <v>133</v>
      </c>
      <c r="F157" s="29">
        <f>F114+SUM(F107:F110)</f>
        <v>20</v>
      </c>
      <c r="I157" s="1" t="s">
        <v>35</v>
      </c>
      <c r="J157" s="1" t="s">
        <v>36</v>
      </c>
      <c r="K157" s="1" t="s">
        <v>37</v>
      </c>
      <c r="L157" s="1" t="s">
        <v>38</v>
      </c>
      <c r="M157" s="10" t="s">
        <v>83</v>
      </c>
      <c r="N157" s="11">
        <f>(G150+G151+G152+G153)*6000+G149*5000</f>
        <v>0</v>
      </c>
      <c r="P157" s="10" t="s">
        <v>84</v>
      </c>
      <c r="Q157" s="11">
        <f>4*L158</f>
        <v>0</v>
      </c>
    </row>
    <row r="158" spans="1:17" x14ac:dyDescent="0.25">
      <c r="A158" s="46"/>
      <c r="E158" s="1" t="s">
        <v>135</v>
      </c>
      <c r="F158" s="27">
        <f>C146/4</f>
        <v>460917.1875</v>
      </c>
      <c r="I158" s="27">
        <f>C134+C135-C142*1.35+I115</f>
        <v>5725682.5</v>
      </c>
      <c r="J158" s="4">
        <f>SUM(J153:J156)</f>
        <v>1583250</v>
      </c>
      <c r="K158" s="4">
        <f>SUM(K153:K156)</f>
        <v>1595427</v>
      </c>
      <c r="L158" s="4">
        <f>SUM(L153:L156)</f>
        <v>0</v>
      </c>
      <c r="M158" s="10" t="s">
        <v>85</v>
      </c>
      <c r="N158" s="11">
        <f>Q113*0.1</f>
        <v>269310.88799999998</v>
      </c>
      <c r="P158" s="10" t="s">
        <v>86</v>
      </c>
      <c r="Q158" s="11">
        <f>Q115*0.975+C133*500000</f>
        <v>6145562.5</v>
      </c>
    </row>
    <row r="159" spans="1:17" x14ac:dyDescent="0.25">
      <c r="A159" s="46"/>
      <c r="M159" s="10" t="s">
        <v>87</v>
      </c>
      <c r="N159" s="11">
        <f>L158*0.5</f>
        <v>0</v>
      </c>
      <c r="P159" s="10" t="s">
        <v>88</v>
      </c>
      <c r="Q159" s="11">
        <f>SUM(Q155:Q158)</f>
        <v>20883799.798793793</v>
      </c>
    </row>
    <row r="160" spans="1:17" x14ac:dyDescent="0.25">
      <c r="A160" s="46"/>
      <c r="M160" s="10" t="s">
        <v>89</v>
      </c>
      <c r="N160" s="2"/>
      <c r="P160" s="9"/>
      <c r="Q160" s="11">
        <v>0</v>
      </c>
    </row>
    <row r="161" spans="1:17" x14ac:dyDescent="0.25">
      <c r="A161" s="46"/>
      <c r="M161" s="10" t="s">
        <v>90</v>
      </c>
      <c r="N161" s="11">
        <f>(J143+Q119-J144)*$F$2/4+Q120*$F$2</f>
        <v>222000</v>
      </c>
      <c r="P161" s="9" t="s">
        <v>91</v>
      </c>
      <c r="Q161" s="11"/>
    </row>
    <row r="162" spans="1:17" x14ac:dyDescent="0.25">
      <c r="A162" s="46"/>
      <c r="M162" s="10" t="s">
        <v>92</v>
      </c>
      <c r="N162" s="11"/>
      <c r="P162" s="10" t="s">
        <v>93</v>
      </c>
      <c r="Q162" s="11">
        <f>J143+Q122-J144</f>
        <v>14800000</v>
      </c>
    </row>
    <row r="163" spans="1:17" x14ac:dyDescent="0.25">
      <c r="A163" s="46"/>
      <c r="M163" s="10" t="s">
        <v>1</v>
      </c>
      <c r="N163" s="11">
        <f>N135/(1+$B$2)*$B$2</f>
        <v>799754.44528301887</v>
      </c>
      <c r="P163" s="10" t="s">
        <v>136</v>
      </c>
      <c r="Q163" s="14" t="str">
        <f>IF(Q164&lt;0,"0",Q164)</f>
        <v>0</v>
      </c>
    </row>
    <row r="164" spans="1:17" x14ac:dyDescent="0.25">
      <c r="A164" s="46"/>
      <c r="M164" s="10" t="s">
        <v>2</v>
      </c>
      <c r="N164" s="11">
        <f>N163*$C$2</f>
        <v>63980.355622641509</v>
      </c>
      <c r="P164" s="10" t="s">
        <v>137</v>
      </c>
      <c r="Q164" s="11">
        <f>Q146-(Q107+N135/2)-J143</f>
        <v>-292608.05667880177</v>
      </c>
    </row>
    <row r="165" spans="1:17" x14ac:dyDescent="0.25">
      <c r="A165" s="46"/>
      <c r="M165" s="10" t="s">
        <v>138</v>
      </c>
      <c r="N165" s="14">
        <f>IF(N166&lt;0,"0",N166)</f>
        <v>1019764.1933023315</v>
      </c>
      <c r="P165" s="10" t="s">
        <v>95</v>
      </c>
      <c r="Q165" s="11">
        <f>Q162+Q163</f>
        <v>14800000</v>
      </c>
    </row>
    <row r="166" spans="1:17" x14ac:dyDescent="0.25">
      <c r="A166" s="46"/>
      <c r="M166" s="10" t="s">
        <v>139</v>
      </c>
      <c r="N166" s="11">
        <f>(N135/(1+$B$2)-SUM(N150:N152,N139:N148,N154:N159,N161,N164))*$E$2</f>
        <v>1019764.1933023315</v>
      </c>
      <c r="P166" s="10"/>
      <c r="Q166" s="11">
        <v>0</v>
      </c>
    </row>
    <row r="167" spans="1:17" x14ac:dyDescent="0.25">
      <c r="A167" s="46"/>
      <c r="M167" s="10"/>
      <c r="N167" s="15"/>
      <c r="P167" s="9" t="s">
        <v>97</v>
      </c>
      <c r="Q167" s="11">
        <f>SUM(Q155:Q158)-Q163-Q162</f>
        <v>6083799.7987937927</v>
      </c>
    </row>
    <row r="168" spans="1:17" x14ac:dyDescent="0.25">
      <c r="A168" s="46"/>
      <c r="M168" s="10" t="s">
        <v>98</v>
      </c>
      <c r="N168" s="11">
        <f>SUM(N150:N152,N139:N148,N154:N159,N161,N163:N165)</f>
        <v>11069702.620093005</v>
      </c>
    </row>
    <row r="169" spans="1:17" x14ac:dyDescent="0.25">
      <c r="A169" s="46"/>
      <c r="M169" s="9" t="s">
        <v>99</v>
      </c>
      <c r="N169" s="11">
        <f>N135-N168</f>
        <v>3059292.5799069963</v>
      </c>
    </row>
    <row r="175" spans="1:17" ht="14.55" customHeight="1" x14ac:dyDescent="0.25">
      <c r="A175" s="46" t="s">
        <v>143</v>
      </c>
      <c r="B175" s="3" t="s">
        <v>8</v>
      </c>
      <c r="E175" s="3" t="s">
        <v>101</v>
      </c>
      <c r="F175" s="39" t="s">
        <v>102</v>
      </c>
      <c r="G175" s="40"/>
      <c r="H175" s="40"/>
      <c r="I175" s="12" t="s">
        <v>103</v>
      </c>
      <c r="M175" s="41" t="s">
        <v>11</v>
      </c>
      <c r="N175" s="42"/>
      <c r="P175" s="41" t="s">
        <v>12</v>
      </c>
      <c r="Q175" s="42"/>
    </row>
    <row r="176" spans="1:17" x14ac:dyDescent="0.25">
      <c r="A176" s="46"/>
      <c r="B176" s="1" t="s">
        <v>13</v>
      </c>
      <c r="C176" s="17">
        <v>4</v>
      </c>
      <c r="F176" s="1" t="s">
        <v>16</v>
      </c>
      <c r="G176" s="35">
        <f>C185-SUM(F177:F180)</f>
        <v>0</v>
      </c>
      <c r="I176" s="1" t="s">
        <v>104</v>
      </c>
      <c r="J176" s="1" t="s">
        <v>105</v>
      </c>
      <c r="K176" s="1" t="s">
        <v>106</v>
      </c>
      <c r="M176" s="8" t="s">
        <v>19</v>
      </c>
      <c r="N176" s="8" t="s">
        <v>20</v>
      </c>
      <c r="P176" s="8" t="s">
        <v>19</v>
      </c>
      <c r="Q176" s="8" t="s">
        <v>20</v>
      </c>
    </row>
    <row r="177" spans="1:17" x14ac:dyDescent="0.25">
      <c r="A177" s="46"/>
      <c r="B177" s="1" t="s">
        <v>21</v>
      </c>
      <c r="C177" s="18">
        <v>0</v>
      </c>
      <c r="E177" s="1" t="s">
        <v>23</v>
      </c>
      <c r="F177" s="18">
        <v>460674</v>
      </c>
      <c r="I177" s="1">
        <v>0</v>
      </c>
      <c r="J177" s="1">
        <v>0</v>
      </c>
      <c r="K177" s="1">
        <v>0</v>
      </c>
      <c r="M177" s="9" t="s">
        <v>24</v>
      </c>
      <c r="N177" s="2"/>
      <c r="P177" s="9" t="s">
        <v>25</v>
      </c>
      <c r="Q177" s="11"/>
    </row>
    <row r="178" spans="1:17" x14ac:dyDescent="0.25">
      <c r="A178" s="46"/>
      <c r="B178" s="1" t="s">
        <v>26</v>
      </c>
      <c r="C178" s="18">
        <v>0</v>
      </c>
      <c r="E178" s="1" t="s">
        <v>27</v>
      </c>
      <c r="F178" s="18">
        <v>430675</v>
      </c>
      <c r="I178" s="1" t="s">
        <v>107</v>
      </c>
      <c r="J178" s="1" t="s">
        <v>108</v>
      </c>
      <c r="K178" s="1" t="s">
        <v>109</v>
      </c>
      <c r="M178" s="10" t="s">
        <v>28</v>
      </c>
      <c r="N178" s="13">
        <f>F184*K196+F185*K197+F186*K198+F187*K199</f>
        <v>16593012</v>
      </c>
      <c r="P178" s="10" t="s">
        <v>28</v>
      </c>
      <c r="Q178" s="11">
        <f>N178</f>
        <v>16593012</v>
      </c>
    </row>
    <row r="179" spans="1:17" x14ac:dyDescent="0.25">
      <c r="A179" s="46"/>
      <c r="B179" s="5" t="s">
        <v>110</v>
      </c>
      <c r="E179" s="1" t="s">
        <v>29</v>
      </c>
      <c r="F179" s="18">
        <v>449704</v>
      </c>
      <c r="I179" s="1">
        <v>0</v>
      </c>
      <c r="J179" s="1">
        <v>0</v>
      </c>
      <c r="K179" s="1">
        <v>0</v>
      </c>
      <c r="M179" s="9"/>
      <c r="N179" s="2"/>
      <c r="P179" s="9"/>
      <c r="Q179" s="11"/>
    </row>
    <row r="180" spans="1:17" x14ac:dyDescent="0.25">
      <c r="A180" s="46"/>
      <c r="B180" s="1" t="s">
        <v>111</v>
      </c>
      <c r="C180" s="27">
        <f>C138</f>
        <v>2488952.8125</v>
      </c>
      <c r="E180" s="1" t="s">
        <v>31</v>
      </c>
      <c r="F180" s="18">
        <v>502615</v>
      </c>
      <c r="I180" s="1" t="s">
        <v>112</v>
      </c>
      <c r="J180" s="1" t="s">
        <v>113</v>
      </c>
      <c r="K180" s="1" t="s">
        <v>114</v>
      </c>
      <c r="M180" s="9" t="s">
        <v>32</v>
      </c>
      <c r="N180" s="2"/>
      <c r="P180" s="10" t="s">
        <v>33</v>
      </c>
      <c r="Q180" s="11">
        <f>J186</f>
        <v>0</v>
      </c>
    </row>
    <row r="181" spans="1:17" x14ac:dyDescent="0.25">
      <c r="A181" s="46"/>
      <c r="B181" s="1" t="s">
        <v>58</v>
      </c>
      <c r="C181" s="27">
        <f>C189*1.35</f>
        <v>3236728.9921875</v>
      </c>
      <c r="E181" s="5" t="s">
        <v>115</v>
      </c>
      <c r="F181" s="30" t="s">
        <v>116</v>
      </c>
      <c r="G181" s="27">
        <f>C185/4</f>
        <v>460917</v>
      </c>
      <c r="I181" s="1">
        <v>0</v>
      </c>
      <c r="J181" s="1">
        <v>0</v>
      </c>
      <c r="K181" s="1">
        <v>0</v>
      </c>
      <c r="M181" s="10" t="s">
        <v>39</v>
      </c>
      <c r="N181" s="2"/>
      <c r="P181" s="10" t="s">
        <v>40</v>
      </c>
      <c r="Q181" s="11">
        <f>Q178+Q180</f>
        <v>16593012</v>
      </c>
    </row>
    <row r="182" spans="1:17" x14ac:dyDescent="0.25">
      <c r="A182" s="46"/>
      <c r="B182" s="1" t="s">
        <v>117</v>
      </c>
      <c r="C182" s="27">
        <f>I158</f>
        <v>5725682.5</v>
      </c>
      <c r="E182" s="3" t="s">
        <v>118</v>
      </c>
      <c r="I182" s="1" t="s">
        <v>119</v>
      </c>
      <c r="J182" s="1" t="s">
        <v>120</v>
      </c>
      <c r="K182" s="1" t="s">
        <v>121</v>
      </c>
      <c r="M182" s="10" t="s">
        <v>42</v>
      </c>
      <c r="N182" s="11">
        <f>C186</f>
        <v>2500000</v>
      </c>
      <c r="P182" s="9" t="s">
        <v>43</v>
      </c>
      <c r="Q182" s="11"/>
    </row>
    <row r="183" spans="1:17" x14ac:dyDescent="0.25">
      <c r="A183" s="46"/>
      <c r="F183" s="1" t="s">
        <v>141</v>
      </c>
      <c r="G183" s="1" t="s">
        <v>123</v>
      </c>
      <c r="I183" s="1">
        <v>0</v>
      </c>
      <c r="J183" s="1">
        <v>0</v>
      </c>
      <c r="K183" s="1">
        <v>0</v>
      </c>
      <c r="M183" s="10" t="s">
        <v>45</v>
      </c>
      <c r="N183" s="11">
        <v>20000</v>
      </c>
      <c r="P183" s="10" t="s">
        <v>46</v>
      </c>
      <c r="Q183" s="11">
        <f>SUM(P211,N182:N184,N186:N189,N193:N195,N197:N202,N204,N206:N208)</f>
        <v>9962554.8518484253</v>
      </c>
    </row>
    <row r="184" spans="1:17" x14ac:dyDescent="0.25">
      <c r="A184" s="46"/>
      <c r="B184" s="3" t="s">
        <v>30</v>
      </c>
      <c r="E184" s="1" t="s">
        <v>23</v>
      </c>
      <c r="F184" s="17">
        <v>9</v>
      </c>
      <c r="G184" s="18">
        <v>10000</v>
      </c>
      <c r="M184" s="10" t="s">
        <v>49</v>
      </c>
      <c r="N184" s="11">
        <f>C188*1.4</f>
        <v>2581136.25</v>
      </c>
      <c r="P184" s="10" t="s">
        <v>50</v>
      </c>
      <c r="Q184" s="11">
        <f>(C177+C178)*J191</f>
        <v>0</v>
      </c>
    </row>
    <row r="185" spans="1:17" x14ac:dyDescent="0.25">
      <c r="A185" s="46"/>
      <c r="B185" s="1" t="s">
        <v>34</v>
      </c>
      <c r="C185" s="18">
        <v>1843668</v>
      </c>
      <c r="E185" s="1" t="s">
        <v>27</v>
      </c>
      <c r="F185" s="17">
        <v>9</v>
      </c>
      <c r="G185" s="18">
        <v>10000</v>
      </c>
      <c r="I185" s="3" t="s">
        <v>124</v>
      </c>
      <c r="M185" s="10" t="s">
        <v>53</v>
      </c>
      <c r="N185" s="11">
        <f>C180*C197</f>
        <v>3208576.1584011763</v>
      </c>
      <c r="P185" s="10" t="s">
        <v>54</v>
      </c>
      <c r="Q185" s="11">
        <f>C176*500000</f>
        <v>2000000</v>
      </c>
    </row>
    <row r="186" spans="1:17" x14ac:dyDescent="0.25">
      <c r="A186" s="46"/>
      <c r="B186" s="1" t="s">
        <v>41</v>
      </c>
      <c r="C186" s="18">
        <v>2500000</v>
      </c>
      <c r="E186" s="1" t="s">
        <v>29</v>
      </c>
      <c r="F186" s="17">
        <v>9</v>
      </c>
      <c r="G186" s="18">
        <v>10000</v>
      </c>
      <c r="I186" s="1" t="s">
        <v>33</v>
      </c>
      <c r="J186" s="18">
        <v>0</v>
      </c>
      <c r="M186" s="10" t="s">
        <v>125</v>
      </c>
      <c r="N186" s="11">
        <f>IF(C177=0,0,IF(C177&lt;=500000,40000,IF(C177&lt;=1000000,80000,IF(C177&lt;=1500000,120000,IF(C177&lt;=2000000,160000,IF(C177&gt;2000000,200000))))))</f>
        <v>0</v>
      </c>
      <c r="P186" s="10" t="s">
        <v>57</v>
      </c>
      <c r="Q186" s="11">
        <f>J187</f>
        <v>3500000</v>
      </c>
    </row>
    <row r="187" spans="1:17" x14ac:dyDescent="0.25">
      <c r="A187" s="46"/>
      <c r="B187" s="5" t="s">
        <v>126</v>
      </c>
      <c r="E187" s="1" t="s">
        <v>31</v>
      </c>
      <c r="F187" s="17">
        <v>9</v>
      </c>
      <c r="G187" s="18">
        <v>10000</v>
      </c>
      <c r="I187" s="1" t="s">
        <v>57</v>
      </c>
      <c r="J187" s="17">
        <v>3500000</v>
      </c>
      <c r="M187" s="10" t="s">
        <v>60</v>
      </c>
      <c r="N187" s="11">
        <f>1*C178</f>
        <v>0</v>
      </c>
      <c r="P187" s="10" t="s">
        <v>61</v>
      </c>
      <c r="Q187" s="11">
        <f>J188</f>
        <v>0</v>
      </c>
    </row>
    <row r="188" spans="1:17" x14ac:dyDescent="0.25">
      <c r="A188" s="46"/>
      <c r="B188" s="1" t="s">
        <v>127</v>
      </c>
      <c r="C188" s="27">
        <f>C146</f>
        <v>1843668.75</v>
      </c>
      <c r="I188" s="1" t="s">
        <v>61</v>
      </c>
      <c r="J188" s="17">
        <v>0</v>
      </c>
      <c r="M188" s="10" t="s">
        <v>63</v>
      </c>
      <c r="N188" s="11">
        <f>C192*12000</f>
        <v>156000</v>
      </c>
      <c r="P188" s="10"/>
      <c r="Q188" s="11"/>
    </row>
    <row r="189" spans="1:17" x14ac:dyDescent="0.25">
      <c r="A189" s="46"/>
      <c r="B189" s="1" t="s">
        <v>55</v>
      </c>
      <c r="C189" s="27">
        <f>C188*0.975+C176*150000</f>
        <v>2397577.03125</v>
      </c>
      <c r="M189" s="10" t="s">
        <v>65</v>
      </c>
      <c r="N189" s="11">
        <f>C176*100000</f>
        <v>400000</v>
      </c>
      <c r="P189" s="10" t="s">
        <v>66</v>
      </c>
      <c r="Q189" s="11">
        <f>SUM(Q183:Q187)</f>
        <v>15462554.851848425</v>
      </c>
    </row>
    <row r="190" spans="1:17" x14ac:dyDescent="0.25">
      <c r="A190" s="46"/>
      <c r="E190" s="3" t="s">
        <v>9</v>
      </c>
      <c r="I190" s="3" t="s">
        <v>44</v>
      </c>
      <c r="M190" s="10" t="s">
        <v>67</v>
      </c>
      <c r="N190" s="11">
        <f>Q158*0.025</f>
        <v>153639.0625</v>
      </c>
      <c r="P190" s="10"/>
      <c r="Q190" s="11"/>
    </row>
    <row r="191" spans="1:17" x14ac:dyDescent="0.25">
      <c r="A191" s="46"/>
      <c r="B191" s="5" t="s">
        <v>128</v>
      </c>
      <c r="F191" s="1" t="s">
        <v>14</v>
      </c>
      <c r="G191" s="1" t="s">
        <v>15</v>
      </c>
      <c r="I191" s="1" t="s">
        <v>48</v>
      </c>
      <c r="J191" s="17">
        <v>2.25</v>
      </c>
      <c r="M191" s="10" t="s">
        <v>68</v>
      </c>
      <c r="N191" s="11">
        <f>Q157-Q200</f>
        <v>0</v>
      </c>
      <c r="P191" s="9" t="s">
        <v>69</v>
      </c>
      <c r="Q191" s="11">
        <f>Q181-Q189</f>
        <v>1130457.1481515747</v>
      </c>
    </row>
    <row r="192" spans="1:17" x14ac:dyDescent="0.25">
      <c r="A192" s="46"/>
      <c r="B192" s="1" t="s">
        <v>129</v>
      </c>
      <c r="C192" s="27">
        <f>C150</f>
        <v>13</v>
      </c>
      <c r="E192" s="1" t="s">
        <v>22</v>
      </c>
      <c r="F192" s="17">
        <f>C176*3</f>
        <v>12</v>
      </c>
      <c r="G192" s="1">
        <v>0</v>
      </c>
      <c r="I192" s="1" t="s">
        <v>52</v>
      </c>
      <c r="J192" s="17">
        <v>0</v>
      </c>
      <c r="M192" s="10" t="s">
        <v>70</v>
      </c>
      <c r="N192" s="2"/>
      <c r="P192" s="10"/>
      <c r="Q192" s="11"/>
    </row>
    <row r="193" spans="1:17" x14ac:dyDescent="0.25">
      <c r="A193" s="46"/>
      <c r="B193" s="1" t="s">
        <v>51</v>
      </c>
      <c r="C193" s="27">
        <f>C192+C176</f>
        <v>17</v>
      </c>
      <c r="E193" s="1" t="s">
        <v>23</v>
      </c>
      <c r="F193" s="17">
        <v>1</v>
      </c>
      <c r="G193" s="1">
        <v>0</v>
      </c>
      <c r="M193" s="10" t="s">
        <v>71</v>
      </c>
      <c r="N193" s="11">
        <f>G184+G185+G186+G187</f>
        <v>40000</v>
      </c>
      <c r="P193" s="9" t="s">
        <v>72</v>
      </c>
      <c r="Q193" s="11">
        <f>IF(Q206="0",Q150+Q191,N178/2)</f>
        <v>8487562.8048303779</v>
      </c>
    </row>
    <row r="194" spans="1:17" x14ac:dyDescent="0.25">
      <c r="A194" s="46"/>
      <c r="E194" s="1" t="s">
        <v>27</v>
      </c>
      <c r="F194" s="17">
        <v>1</v>
      </c>
      <c r="G194" s="1">
        <v>0</v>
      </c>
      <c r="I194" s="36" t="s">
        <v>10</v>
      </c>
      <c r="J194" s="36"/>
      <c r="K194" s="36"/>
      <c r="L194" s="37"/>
      <c r="M194" s="10" t="s">
        <v>73</v>
      </c>
      <c r="N194" s="11">
        <f>F177*0.4+F178*0.1+F179*0.4+F180*0.5</f>
        <v>658526.19999999995</v>
      </c>
    </row>
    <row r="195" spans="1:17" x14ac:dyDescent="0.25">
      <c r="A195" s="46"/>
      <c r="B195" s="5" t="s">
        <v>59</v>
      </c>
      <c r="E195" s="1" t="s">
        <v>29</v>
      </c>
      <c r="F195" s="17">
        <v>1</v>
      </c>
      <c r="G195" s="1">
        <v>0</v>
      </c>
      <c r="J195" s="1" t="s">
        <v>16</v>
      </c>
      <c r="K195" s="1" t="s">
        <v>17</v>
      </c>
      <c r="L195" s="1" t="s">
        <v>18</v>
      </c>
      <c r="M195" s="10" t="s">
        <v>74</v>
      </c>
      <c r="N195" s="11">
        <f>IF(I177+J177+K177=0,"0",10000+I177*0.4+J177*0.7+K177*0.8)+IF(I179+J179+K179=0,"0",10000+I179*0.4+J179*0.4+K179*0.5)+IF(I181+J181+K181=0,"0",10000+I181*0.7+J181*0.4+K181*0.4)+IF(I183+J183+K183=0,"0",10000+I183*0.8+J183*0.5+K183*0.4)</f>
        <v>0</v>
      </c>
      <c r="P195" s="41" t="s">
        <v>75</v>
      </c>
      <c r="Q195" s="42"/>
    </row>
    <row r="196" spans="1:17" x14ac:dyDescent="0.25">
      <c r="A196" s="46"/>
      <c r="B196" s="1" t="s">
        <v>62</v>
      </c>
      <c r="C196" s="27">
        <f>Q208</f>
        <v>11300000</v>
      </c>
      <c r="E196" s="1" t="s">
        <v>31</v>
      </c>
      <c r="F196" s="17">
        <v>1</v>
      </c>
      <c r="G196" s="1">
        <v>0</v>
      </c>
      <c r="I196" s="1" t="s">
        <v>23</v>
      </c>
      <c r="J196" s="4">
        <f>F177</f>
        <v>460674</v>
      </c>
      <c r="K196" s="4">
        <f>J196</f>
        <v>460674</v>
      </c>
      <c r="L196" s="4">
        <f>J196-K196+L153</f>
        <v>0</v>
      </c>
      <c r="M196" s="10" t="s">
        <v>76</v>
      </c>
      <c r="N196" s="2"/>
      <c r="P196" s="8" t="s">
        <v>19</v>
      </c>
      <c r="Q196" s="8" t="s">
        <v>20</v>
      </c>
    </row>
    <row r="197" spans="1:17" x14ac:dyDescent="0.25">
      <c r="A197" s="46"/>
      <c r="B197" s="1" t="s">
        <v>64</v>
      </c>
      <c r="C197" s="28">
        <f>(Q184+Q156)/(C177+C178+I158)</f>
        <v>1.2891269542303452</v>
      </c>
      <c r="I197" s="1" t="s">
        <v>27</v>
      </c>
      <c r="J197" s="4">
        <f>F178</f>
        <v>430675</v>
      </c>
      <c r="K197" s="4">
        <f t="shared" ref="K197:K199" si="6">J197</f>
        <v>430675</v>
      </c>
      <c r="L197" s="4">
        <f t="shared" ref="L197:L199" si="7">J197-K197+L154</f>
        <v>0</v>
      </c>
      <c r="M197" s="10" t="s">
        <v>77</v>
      </c>
      <c r="N197" s="11">
        <f>(F192+F193+F194+F195+F196)*500</f>
        <v>8000</v>
      </c>
      <c r="P197" s="9" t="s">
        <v>78</v>
      </c>
      <c r="Q197" s="2"/>
    </row>
    <row r="198" spans="1:17" x14ac:dyDescent="0.25">
      <c r="A198" s="46"/>
      <c r="E198" s="5" t="s">
        <v>131</v>
      </c>
      <c r="I198" s="1" t="s">
        <v>29</v>
      </c>
      <c r="J198" s="4">
        <f>F179</f>
        <v>449704</v>
      </c>
      <c r="K198" s="4">
        <f t="shared" si="6"/>
        <v>449704</v>
      </c>
      <c r="L198" s="4">
        <f t="shared" si="7"/>
        <v>0</v>
      </c>
      <c r="M198" s="10" t="s">
        <v>79</v>
      </c>
      <c r="N198" s="11">
        <f>(F192+F193+F194+F195+F196)*1000</f>
        <v>16000</v>
      </c>
      <c r="P198" s="10" t="s">
        <v>80</v>
      </c>
      <c r="Q198" s="11">
        <f>Q193</f>
        <v>8487562.8048303779</v>
      </c>
    </row>
    <row r="199" spans="1:17" x14ac:dyDescent="0.25">
      <c r="A199" s="46"/>
      <c r="E199" s="1" t="s">
        <v>132</v>
      </c>
      <c r="F199" s="29">
        <f>F156+F149</f>
        <v>39</v>
      </c>
      <c r="I199" s="1" t="s">
        <v>31</v>
      </c>
      <c r="J199" s="4">
        <f>F180</f>
        <v>502615</v>
      </c>
      <c r="K199" s="4">
        <f t="shared" si="6"/>
        <v>502615</v>
      </c>
      <c r="L199" s="4">
        <f t="shared" si="7"/>
        <v>0</v>
      </c>
      <c r="M199" s="10" t="s">
        <v>81</v>
      </c>
      <c r="N199" s="11">
        <f>4500*(F193+F194+F195+F196)+3750*F192+9000*F200+7500*F199</f>
        <v>571500</v>
      </c>
      <c r="P199" s="10" t="s">
        <v>82</v>
      </c>
      <c r="Q199" s="11">
        <f>I201*C197</f>
        <v>4172556.7889548526</v>
      </c>
    </row>
    <row r="200" spans="1:17" x14ac:dyDescent="0.25">
      <c r="A200" s="46"/>
      <c r="E200" s="1" t="s">
        <v>133</v>
      </c>
      <c r="F200" s="29">
        <f>F157+SUM(F150:F153)</f>
        <v>24</v>
      </c>
      <c r="I200" s="1" t="s">
        <v>35</v>
      </c>
      <c r="J200" s="1" t="s">
        <v>36</v>
      </c>
      <c r="K200" s="1" t="s">
        <v>37</v>
      </c>
      <c r="L200" s="1" t="s">
        <v>38</v>
      </c>
      <c r="M200" s="10" t="s">
        <v>83</v>
      </c>
      <c r="N200" s="11">
        <f>(G193+G194+G195+G196)*6000+G192*5000</f>
        <v>0</v>
      </c>
      <c r="P200" s="10" t="s">
        <v>84</v>
      </c>
      <c r="Q200" s="11">
        <f>4*L201</f>
        <v>0</v>
      </c>
    </row>
    <row r="201" spans="1:17" x14ac:dyDescent="0.25">
      <c r="A201" s="46"/>
      <c r="E201" s="1" t="s">
        <v>135</v>
      </c>
      <c r="F201" s="27">
        <f>C189/4</f>
        <v>599394.2578125</v>
      </c>
      <c r="I201" s="31">
        <f>C177+C178-C185*1.35+I158</f>
        <v>3236730.6999999997</v>
      </c>
      <c r="J201" s="4">
        <f>SUM(J196:J199)</f>
        <v>1843668</v>
      </c>
      <c r="K201" s="4">
        <f>SUM(K196:K199)</f>
        <v>1843668</v>
      </c>
      <c r="L201" s="4">
        <f>SUM(L196:L199)</f>
        <v>0</v>
      </c>
      <c r="M201" s="10" t="s">
        <v>85</v>
      </c>
      <c r="N201" s="11">
        <f>Q156*0.1</f>
        <v>738113.16421149892</v>
      </c>
      <c r="P201" s="10" t="s">
        <v>86</v>
      </c>
      <c r="Q201" s="11">
        <f>Q158*0.975+C176*500000</f>
        <v>7991923.4375</v>
      </c>
    </row>
    <row r="202" spans="1:17" x14ac:dyDescent="0.25">
      <c r="A202" s="46"/>
      <c r="M202" s="10" t="s">
        <v>87</v>
      </c>
      <c r="N202" s="11">
        <f>L201*0.5</f>
        <v>0</v>
      </c>
      <c r="P202" s="10" t="s">
        <v>88</v>
      </c>
      <c r="Q202" s="11">
        <f>SUM(Q198:Q201)</f>
        <v>20652043.03128523</v>
      </c>
    </row>
    <row r="203" spans="1:17" x14ac:dyDescent="0.25">
      <c r="A203" s="46"/>
      <c r="M203" s="10" t="s">
        <v>89</v>
      </c>
      <c r="N203" s="2"/>
      <c r="P203" s="9"/>
      <c r="Q203" s="11">
        <v>0</v>
      </c>
    </row>
    <row r="204" spans="1:17" x14ac:dyDescent="0.25">
      <c r="A204" s="46"/>
      <c r="M204" s="10" t="s">
        <v>90</v>
      </c>
      <c r="N204" s="11">
        <f>(J186+Q162-J187)*$F$2/4+Q163*$F$2</f>
        <v>169500</v>
      </c>
      <c r="P204" s="9" t="s">
        <v>91</v>
      </c>
      <c r="Q204" s="11"/>
    </row>
    <row r="205" spans="1:17" x14ac:dyDescent="0.25">
      <c r="A205" s="46"/>
      <c r="M205" s="10" t="s">
        <v>92</v>
      </c>
      <c r="N205" s="11"/>
      <c r="P205" s="10" t="s">
        <v>93</v>
      </c>
      <c r="Q205" s="11">
        <f>J186+Q165-J187</f>
        <v>11300000</v>
      </c>
    </row>
    <row r="206" spans="1:17" x14ac:dyDescent="0.25">
      <c r="A206" s="46"/>
      <c r="M206" s="10" t="s">
        <v>1</v>
      </c>
      <c r="N206" s="11">
        <f>N178/(1+$B$2)*$B$2</f>
        <v>939227.09433962253</v>
      </c>
      <c r="P206" s="10" t="s">
        <v>136</v>
      </c>
      <c r="Q206" s="14" t="str">
        <f>IF(Q207&lt;0,"0",Q207)</f>
        <v>0</v>
      </c>
    </row>
    <row r="207" spans="1:17" x14ac:dyDescent="0.25">
      <c r="A207" s="46"/>
      <c r="M207" s="10" t="s">
        <v>2</v>
      </c>
      <c r="N207" s="11">
        <f>N206*$C$2</f>
        <v>75138.167547169811</v>
      </c>
      <c r="P207" s="10" t="s">
        <v>137</v>
      </c>
      <c r="Q207" s="11">
        <f>Q189-(Q150+N178/2)-J186</f>
        <v>-191056.80483037792</v>
      </c>
    </row>
    <row r="208" spans="1:17" x14ac:dyDescent="0.25">
      <c r="A208" s="46"/>
      <c r="M208" s="10" t="s">
        <v>138</v>
      </c>
      <c r="N208" s="14">
        <f>IF(N209&lt;0,"0",N209)</f>
        <v>1089413.9757501329</v>
      </c>
      <c r="P208" s="10" t="s">
        <v>95</v>
      </c>
      <c r="Q208" s="11">
        <f>Q205+Q206</f>
        <v>11300000</v>
      </c>
    </row>
    <row r="209" spans="1:17" x14ac:dyDescent="0.25">
      <c r="A209" s="46"/>
      <c r="M209" s="10" t="s">
        <v>139</v>
      </c>
      <c r="N209" s="11">
        <f>(N178/(1+$B$2)-SUM(N193:N195,N182:N191,N197:N202,N204,N207))*$E$2</f>
        <v>1089413.9757501329</v>
      </c>
      <c r="P209" s="10"/>
      <c r="Q209" s="11">
        <v>0</v>
      </c>
    </row>
    <row r="210" spans="1:17" x14ac:dyDescent="0.25">
      <c r="A210" s="46"/>
      <c r="M210" s="10"/>
      <c r="N210" s="15"/>
      <c r="P210" s="9" t="s">
        <v>97</v>
      </c>
      <c r="Q210" s="11">
        <f>SUM(Q198:Q201)-Q206-Q205</f>
        <v>9352043.0312852301</v>
      </c>
    </row>
    <row r="211" spans="1:17" x14ac:dyDescent="0.25">
      <c r="A211" s="46"/>
      <c r="M211" s="10" t="s">
        <v>98</v>
      </c>
      <c r="N211" s="11">
        <f>SUM(N193:N195,N182:N191,N197:N202,N204,N206:N208)</f>
        <v>13324770.0727496</v>
      </c>
    </row>
    <row r="212" spans="1:17" x14ac:dyDescent="0.25">
      <c r="A212" s="46"/>
      <c r="M212" s="9" t="s">
        <v>99</v>
      </c>
      <c r="N212" s="11">
        <f>N178-N211</f>
        <v>3268241.9272504002</v>
      </c>
    </row>
    <row r="218" spans="1:17" ht="14.55" customHeight="1" x14ac:dyDescent="0.25">
      <c r="A218" s="46" t="s">
        <v>144</v>
      </c>
      <c r="B218" s="3" t="s">
        <v>8</v>
      </c>
      <c r="E218" s="3" t="s">
        <v>101</v>
      </c>
      <c r="F218" s="39" t="s">
        <v>102</v>
      </c>
      <c r="G218" s="40"/>
      <c r="H218" s="40"/>
      <c r="I218" s="12" t="s">
        <v>103</v>
      </c>
      <c r="M218" s="41" t="s">
        <v>11</v>
      </c>
      <c r="N218" s="42"/>
      <c r="P218" s="41" t="s">
        <v>12</v>
      </c>
      <c r="Q218" s="42"/>
    </row>
    <row r="219" spans="1:17" x14ac:dyDescent="0.25">
      <c r="A219" s="46"/>
      <c r="B219" s="1" t="s">
        <v>13</v>
      </c>
      <c r="C219" s="17">
        <v>6</v>
      </c>
      <c r="F219" s="17" t="s">
        <v>16</v>
      </c>
      <c r="G219" s="35">
        <f>C228-SUM(F220:F223)</f>
        <v>0</v>
      </c>
      <c r="I219" s="1" t="s">
        <v>104</v>
      </c>
      <c r="J219" s="1" t="s">
        <v>105</v>
      </c>
      <c r="K219" s="1" t="s">
        <v>106</v>
      </c>
      <c r="M219" s="8" t="s">
        <v>19</v>
      </c>
      <c r="N219" s="8" t="s">
        <v>20</v>
      </c>
      <c r="P219" s="8" t="s">
        <v>19</v>
      </c>
      <c r="Q219" s="8" t="s">
        <v>20</v>
      </c>
    </row>
    <row r="220" spans="1:17" x14ac:dyDescent="0.25">
      <c r="A220" s="46"/>
      <c r="B220" s="1" t="s">
        <v>21</v>
      </c>
      <c r="C220" s="18">
        <v>9037352</v>
      </c>
      <c r="E220" s="1" t="s">
        <v>23</v>
      </c>
      <c r="F220" s="48">
        <v>587553</v>
      </c>
      <c r="I220" s="1">
        <v>0</v>
      </c>
      <c r="J220" s="1">
        <v>0</v>
      </c>
      <c r="K220" s="1">
        <v>0</v>
      </c>
      <c r="M220" s="9" t="s">
        <v>24</v>
      </c>
      <c r="N220" s="2"/>
      <c r="P220" s="9" t="s">
        <v>25</v>
      </c>
      <c r="Q220" s="11"/>
    </row>
    <row r="221" spans="1:17" x14ac:dyDescent="0.25">
      <c r="A221" s="46"/>
      <c r="B221" s="1" t="s">
        <v>26</v>
      </c>
      <c r="C221" s="18">
        <v>0</v>
      </c>
      <c r="E221" s="1" t="s">
        <v>27</v>
      </c>
      <c r="F221" s="48">
        <v>587553</v>
      </c>
      <c r="I221" s="1" t="s">
        <v>107</v>
      </c>
      <c r="J221" s="1" t="s">
        <v>108</v>
      </c>
      <c r="K221" s="1" t="s">
        <v>109</v>
      </c>
      <c r="M221" s="10" t="s">
        <v>28</v>
      </c>
      <c r="N221" s="13">
        <f>F227*K239+F228*K240+F229*K241+F230*K242</f>
        <v>21578184</v>
      </c>
      <c r="P221" s="10" t="s">
        <v>28</v>
      </c>
      <c r="Q221" s="11">
        <f>N221</f>
        <v>21578184</v>
      </c>
    </row>
    <row r="222" spans="1:17" x14ac:dyDescent="0.25">
      <c r="A222" s="46"/>
      <c r="B222" s="5" t="s">
        <v>110</v>
      </c>
      <c r="E222" s="1" t="s">
        <v>29</v>
      </c>
      <c r="F222" s="48">
        <v>653190</v>
      </c>
      <c r="I222" s="1">
        <v>0</v>
      </c>
      <c r="J222" s="1">
        <v>0</v>
      </c>
      <c r="K222" s="1">
        <v>0</v>
      </c>
      <c r="M222" s="9"/>
      <c r="N222" s="2"/>
      <c r="P222" s="9"/>
      <c r="Q222" s="11"/>
    </row>
    <row r="223" spans="1:17" x14ac:dyDescent="0.25">
      <c r="A223" s="46"/>
      <c r="B223" s="1" t="s">
        <v>111</v>
      </c>
      <c r="C223" s="27">
        <f>C181</f>
        <v>3236728.9921875</v>
      </c>
      <c r="E223" s="1" t="s">
        <v>31</v>
      </c>
      <c r="F223" s="48">
        <v>569280</v>
      </c>
      <c r="I223" s="1" t="s">
        <v>112</v>
      </c>
      <c r="J223" s="1" t="s">
        <v>113</v>
      </c>
      <c r="K223" s="1" t="s">
        <v>114</v>
      </c>
      <c r="M223" s="9" t="s">
        <v>32</v>
      </c>
      <c r="N223" s="2"/>
      <c r="P223" s="10" t="s">
        <v>33</v>
      </c>
      <c r="Q223" s="11">
        <f>J229</f>
        <v>9700000</v>
      </c>
    </row>
    <row r="224" spans="1:17" x14ac:dyDescent="0.25">
      <c r="A224" s="46"/>
      <c r="B224" s="1" t="s">
        <v>58</v>
      </c>
      <c r="C224" s="27">
        <f>C232*1.35</f>
        <v>4370810.7673828127</v>
      </c>
      <c r="E224" s="5" t="s">
        <v>115</v>
      </c>
      <c r="F224" s="30" t="s">
        <v>116</v>
      </c>
      <c r="G224" s="49">
        <f>C228/4</f>
        <v>599394</v>
      </c>
      <c r="I224" s="1">
        <v>0</v>
      </c>
      <c r="J224" s="1">
        <v>0</v>
      </c>
      <c r="K224" s="1">
        <v>0</v>
      </c>
      <c r="M224" s="10" t="s">
        <v>39</v>
      </c>
      <c r="N224" s="2"/>
      <c r="P224" s="10" t="s">
        <v>40</v>
      </c>
      <c r="Q224" s="11">
        <f>Q221+Q223</f>
        <v>31278184</v>
      </c>
    </row>
    <row r="225" spans="1:17" x14ac:dyDescent="0.25">
      <c r="A225" s="46"/>
      <c r="B225" s="1" t="s">
        <v>117</v>
      </c>
      <c r="C225" s="27">
        <f>I201</f>
        <v>3236730.6999999997</v>
      </c>
      <c r="E225" s="3" t="s">
        <v>118</v>
      </c>
      <c r="I225" s="1" t="s">
        <v>119</v>
      </c>
      <c r="J225" s="1" t="s">
        <v>120</v>
      </c>
      <c r="K225" s="1" t="s">
        <v>121</v>
      </c>
      <c r="M225" s="10" t="s">
        <v>42</v>
      </c>
      <c r="N225" s="11">
        <f>C229</f>
        <v>3000000</v>
      </c>
      <c r="P225" s="9" t="s">
        <v>43</v>
      </c>
      <c r="Q225" s="11"/>
    </row>
    <row r="226" spans="1:17" x14ac:dyDescent="0.25">
      <c r="A226" s="46"/>
      <c r="F226" s="1" t="s">
        <v>141</v>
      </c>
      <c r="G226" s="1" t="s">
        <v>123</v>
      </c>
      <c r="I226" s="1">
        <v>0</v>
      </c>
      <c r="J226" s="1">
        <v>0</v>
      </c>
      <c r="K226" s="1">
        <v>0</v>
      </c>
      <c r="M226" s="10" t="s">
        <v>45</v>
      </c>
      <c r="N226" s="11">
        <v>20000</v>
      </c>
      <c r="P226" s="10" t="s">
        <v>46</v>
      </c>
      <c r="Q226" s="11">
        <f>SUM(P254,N225:N227,N229:N232,N236:N238,N240:N245,N247,N249:N251)</f>
        <v>14087444.070005447</v>
      </c>
    </row>
    <row r="227" spans="1:17" x14ac:dyDescent="0.25">
      <c r="A227" s="46"/>
      <c r="B227" s="3" t="s">
        <v>30</v>
      </c>
      <c r="E227" s="1" t="s">
        <v>23</v>
      </c>
      <c r="F227" s="17">
        <v>9</v>
      </c>
      <c r="G227" s="18">
        <v>500000</v>
      </c>
      <c r="M227" s="10" t="s">
        <v>49</v>
      </c>
      <c r="N227" s="11">
        <f>C231*1.4</f>
        <v>3356607.84375</v>
      </c>
      <c r="P227" s="10" t="s">
        <v>50</v>
      </c>
      <c r="Q227" s="11">
        <f>(C220+C221)*J234</f>
        <v>11658184.08</v>
      </c>
    </row>
    <row r="228" spans="1:17" x14ac:dyDescent="0.25">
      <c r="A228" s="46"/>
      <c r="B228" s="1" t="s">
        <v>34</v>
      </c>
      <c r="C228" s="18">
        <v>2397576</v>
      </c>
      <c r="E228" s="1" t="s">
        <v>27</v>
      </c>
      <c r="F228" s="17">
        <v>9</v>
      </c>
      <c r="G228" s="18">
        <v>500000</v>
      </c>
      <c r="I228" s="3" t="s">
        <v>124</v>
      </c>
      <c r="M228" s="10" t="s">
        <v>53</v>
      </c>
      <c r="N228" s="11">
        <f>C223*C240</f>
        <v>4174635.2204677346</v>
      </c>
      <c r="P228" s="10" t="s">
        <v>54</v>
      </c>
      <c r="Q228" s="11">
        <f>C219*500000</f>
        <v>3000000</v>
      </c>
    </row>
    <row r="229" spans="1:17" x14ac:dyDescent="0.25">
      <c r="A229" s="46"/>
      <c r="B229" s="1" t="s">
        <v>41</v>
      </c>
      <c r="C229" s="18">
        <v>3000000</v>
      </c>
      <c r="E229" s="1" t="s">
        <v>29</v>
      </c>
      <c r="F229" s="17">
        <v>9</v>
      </c>
      <c r="G229" s="18">
        <v>500000</v>
      </c>
      <c r="I229" s="1" t="s">
        <v>33</v>
      </c>
      <c r="J229" s="18">
        <v>9700000</v>
      </c>
      <c r="M229" s="10" t="s">
        <v>125</v>
      </c>
      <c r="N229" s="11">
        <f>IF(C220=0,0,IF(C220&lt;=500000,40000,IF(C220&lt;=1000000,80000,IF(C220&lt;=1500000,120000,IF(C220&lt;=2000000,160000,IF(C220&gt;2000000,200000))))))</f>
        <v>200000</v>
      </c>
      <c r="P229" s="10" t="s">
        <v>57</v>
      </c>
      <c r="Q229" s="11">
        <f>J230</f>
        <v>0</v>
      </c>
    </row>
    <row r="230" spans="1:17" x14ac:dyDescent="0.25">
      <c r="A230" s="46"/>
      <c r="B230" s="5" t="s">
        <v>126</v>
      </c>
      <c r="E230" s="1" t="s">
        <v>31</v>
      </c>
      <c r="F230" s="17">
        <v>9</v>
      </c>
      <c r="G230" s="18">
        <v>500000</v>
      </c>
      <c r="I230" s="1" t="s">
        <v>57</v>
      </c>
      <c r="J230" s="17">
        <v>0</v>
      </c>
      <c r="M230" s="10" t="s">
        <v>60</v>
      </c>
      <c r="N230" s="11">
        <f>1*C221</f>
        <v>0</v>
      </c>
      <c r="P230" s="10" t="s">
        <v>61</v>
      </c>
      <c r="Q230" s="11">
        <f>J231</f>
        <v>0</v>
      </c>
    </row>
    <row r="231" spans="1:17" x14ac:dyDescent="0.25">
      <c r="A231" s="46"/>
      <c r="B231" s="1" t="s">
        <v>127</v>
      </c>
      <c r="C231" s="27">
        <f>C189</f>
        <v>2397577.03125</v>
      </c>
      <c r="I231" s="1" t="s">
        <v>61</v>
      </c>
      <c r="J231" s="17">
        <v>0</v>
      </c>
      <c r="M231" s="10" t="s">
        <v>63</v>
      </c>
      <c r="N231" s="11">
        <f>C235*12000</f>
        <v>204000</v>
      </c>
      <c r="P231" s="10"/>
      <c r="Q231" s="11"/>
    </row>
    <row r="232" spans="1:17" x14ac:dyDescent="0.25">
      <c r="A232" s="46"/>
      <c r="B232" s="1" t="s">
        <v>55</v>
      </c>
      <c r="C232" s="27">
        <f>C231*0.975+C219*150000</f>
        <v>3237637.60546875</v>
      </c>
      <c r="M232" s="10" t="s">
        <v>65</v>
      </c>
      <c r="N232" s="11">
        <f>C219*100000</f>
        <v>600000</v>
      </c>
      <c r="P232" s="10" t="s">
        <v>66</v>
      </c>
      <c r="Q232" s="11">
        <f>SUM(Q226:Q230)</f>
        <v>28745628.150005445</v>
      </c>
    </row>
    <row r="233" spans="1:17" x14ac:dyDescent="0.25">
      <c r="A233" s="46"/>
      <c r="E233" s="3" t="s">
        <v>9</v>
      </c>
      <c r="I233" s="3" t="s">
        <v>44</v>
      </c>
      <c r="M233" s="10" t="s">
        <v>67</v>
      </c>
      <c r="N233" s="11">
        <f>Q201*0.025</f>
        <v>199798.0859375</v>
      </c>
      <c r="P233" s="10"/>
      <c r="Q233" s="11"/>
    </row>
    <row r="234" spans="1:17" x14ac:dyDescent="0.25">
      <c r="A234" s="46"/>
      <c r="B234" s="5" t="s">
        <v>128</v>
      </c>
      <c r="F234" s="1" t="s">
        <v>14</v>
      </c>
      <c r="G234" s="1" t="s">
        <v>15</v>
      </c>
      <c r="I234" s="1" t="s">
        <v>48</v>
      </c>
      <c r="J234" s="17">
        <v>1.29</v>
      </c>
      <c r="M234" s="10" t="s">
        <v>68</v>
      </c>
      <c r="N234" s="11">
        <f>Q200-Q243</f>
        <v>0</v>
      </c>
      <c r="P234" s="9" t="s">
        <v>69</v>
      </c>
      <c r="Q234" s="11">
        <f>Q224-Q232</f>
        <v>2532555.8499945551</v>
      </c>
    </row>
    <row r="235" spans="1:17" x14ac:dyDescent="0.25">
      <c r="A235" s="46"/>
      <c r="B235" s="1" t="s">
        <v>129</v>
      </c>
      <c r="C235" s="27">
        <f>C193</f>
        <v>17</v>
      </c>
      <c r="E235" s="1" t="s">
        <v>22</v>
      </c>
      <c r="F235" s="17">
        <f>C219*3</f>
        <v>18</v>
      </c>
      <c r="G235" s="1">
        <v>0</v>
      </c>
      <c r="I235" s="1" t="s">
        <v>52</v>
      </c>
      <c r="J235" s="17">
        <v>0</v>
      </c>
      <c r="M235" s="10" t="s">
        <v>70</v>
      </c>
      <c r="N235" s="2"/>
      <c r="P235" s="10"/>
      <c r="Q235" s="11"/>
    </row>
    <row r="236" spans="1:17" x14ac:dyDescent="0.25">
      <c r="A236" s="46"/>
      <c r="B236" s="1" t="s">
        <v>51</v>
      </c>
      <c r="C236" s="27">
        <f>C235+C219</f>
        <v>23</v>
      </c>
      <c r="E236" s="1" t="s">
        <v>23</v>
      </c>
      <c r="F236" s="17">
        <v>2</v>
      </c>
      <c r="G236" s="1">
        <v>0</v>
      </c>
      <c r="M236" s="10" t="s">
        <v>71</v>
      </c>
      <c r="N236" s="11">
        <f>G227+G228+G229+G230</f>
        <v>2000000</v>
      </c>
      <c r="P236" s="9" t="s">
        <v>72</v>
      </c>
      <c r="Q236" s="11">
        <f>IF(Q249="0",Q193+Q234,N221/2)</f>
        <v>11020118.654824933</v>
      </c>
    </row>
    <row r="237" spans="1:17" x14ac:dyDescent="0.25">
      <c r="A237" s="46"/>
      <c r="E237" s="1" t="s">
        <v>27</v>
      </c>
      <c r="F237" s="17">
        <v>2</v>
      </c>
      <c r="G237" s="1">
        <v>0</v>
      </c>
      <c r="I237" s="36" t="s">
        <v>10</v>
      </c>
      <c r="J237" s="36"/>
      <c r="K237" s="36"/>
      <c r="L237" s="37"/>
      <c r="M237" s="10" t="s">
        <v>73</v>
      </c>
      <c r="N237" s="11">
        <f>F220*0.4+F221*0.1+F222*0.4+F223*0.5</f>
        <v>839692.5</v>
      </c>
    </row>
    <row r="238" spans="1:17" x14ac:dyDescent="0.25">
      <c r="A238" s="46"/>
      <c r="B238" s="5" t="s">
        <v>59</v>
      </c>
      <c r="E238" s="1" t="s">
        <v>29</v>
      </c>
      <c r="F238" s="17">
        <v>2</v>
      </c>
      <c r="G238" s="1">
        <v>0</v>
      </c>
      <c r="J238" s="1" t="s">
        <v>16</v>
      </c>
      <c r="K238" s="1" t="s">
        <v>17</v>
      </c>
      <c r="L238" s="1" t="s">
        <v>18</v>
      </c>
      <c r="M238" s="10" t="s">
        <v>74</v>
      </c>
      <c r="N238" s="11">
        <f>IF(I220+J220+K220=0,"0",10000+I220*0.4+J220*0.7+K220*0.8)+IF(I222+J222+K222=0,"0",10000+I222*0.4+J222*0.4+K222*0.5)+IF(I224+J224+K224=0,"0",10000+I224*0.7+J224*0.4+K224*0.4)+IF(I226+J226+K226=0,"0",10000+I226*0.8+J226*0.5+K226*0.4)</f>
        <v>0</v>
      </c>
      <c r="P238" s="41" t="s">
        <v>75</v>
      </c>
      <c r="Q238" s="42"/>
    </row>
    <row r="239" spans="1:17" x14ac:dyDescent="0.25">
      <c r="A239" s="46"/>
      <c r="B239" s="1" t="s">
        <v>62</v>
      </c>
      <c r="C239" s="27">
        <f>Q251</f>
        <v>21000000</v>
      </c>
      <c r="E239" s="1" t="s">
        <v>31</v>
      </c>
      <c r="F239" s="17">
        <v>2</v>
      </c>
      <c r="G239" s="1">
        <v>0</v>
      </c>
      <c r="I239" s="1" t="s">
        <v>23</v>
      </c>
      <c r="J239" s="4">
        <f>F220</f>
        <v>587553</v>
      </c>
      <c r="K239" s="4">
        <f>J239</f>
        <v>587553</v>
      </c>
      <c r="L239" s="4">
        <f>J239-K239+L196</f>
        <v>0</v>
      </c>
      <c r="M239" s="10" t="s">
        <v>76</v>
      </c>
      <c r="N239" s="2"/>
      <c r="P239" s="8" t="s">
        <v>19</v>
      </c>
      <c r="Q239" s="8" t="s">
        <v>20</v>
      </c>
    </row>
    <row r="240" spans="1:17" x14ac:dyDescent="0.25">
      <c r="A240" s="46"/>
      <c r="B240" s="1" t="s">
        <v>64</v>
      </c>
      <c r="C240" s="28">
        <f>(Q227+Q199)/(C220+C221+I201)</f>
        <v>1.289769773911891</v>
      </c>
      <c r="I240" s="1" t="s">
        <v>27</v>
      </c>
      <c r="J240" s="4">
        <f>F221</f>
        <v>587553</v>
      </c>
      <c r="K240" s="4">
        <f t="shared" ref="K240:K242" si="8">J240</f>
        <v>587553</v>
      </c>
      <c r="L240" s="4">
        <f t="shared" ref="L240:L242" si="9">J240-K240+L197</f>
        <v>0</v>
      </c>
      <c r="M240" s="10" t="s">
        <v>77</v>
      </c>
      <c r="N240" s="11">
        <f>(F235+F236+F237+F238+F239)*500</f>
        <v>13000</v>
      </c>
      <c r="P240" s="9" t="s">
        <v>78</v>
      </c>
      <c r="Q240" s="2"/>
    </row>
    <row r="241" spans="1:17" x14ac:dyDescent="0.25">
      <c r="A241" s="46"/>
      <c r="E241" s="5" t="s">
        <v>131</v>
      </c>
      <c r="I241" s="1" t="s">
        <v>29</v>
      </c>
      <c r="J241" s="4">
        <f>F222</f>
        <v>653190</v>
      </c>
      <c r="K241" s="4">
        <f t="shared" si="8"/>
        <v>653190</v>
      </c>
      <c r="L241" s="4">
        <f t="shared" si="9"/>
        <v>0</v>
      </c>
      <c r="M241" s="10" t="s">
        <v>79</v>
      </c>
      <c r="N241" s="11">
        <f>(F235+F236+F237+F238+F239)*1000</f>
        <v>26000</v>
      </c>
      <c r="P241" s="10" t="s">
        <v>80</v>
      </c>
      <c r="Q241" s="11">
        <f>Q236</f>
        <v>11020118.654824933</v>
      </c>
    </row>
    <row r="242" spans="1:17" x14ac:dyDescent="0.25">
      <c r="A242" s="46"/>
      <c r="E242" s="1" t="s">
        <v>132</v>
      </c>
      <c r="F242" s="29">
        <f>F199+F192</f>
        <v>51</v>
      </c>
      <c r="I242" s="1" t="s">
        <v>31</v>
      </c>
      <c r="J242" s="4">
        <f>F223</f>
        <v>569280</v>
      </c>
      <c r="K242" s="4">
        <f t="shared" si="8"/>
        <v>569280</v>
      </c>
      <c r="L242" s="4">
        <f t="shared" si="9"/>
        <v>0</v>
      </c>
      <c r="M242" s="10" t="s">
        <v>81</v>
      </c>
      <c r="N242" s="11">
        <f>4500*(F236+F237+F238+F239)+3750*F235+9000*F243+7500*F242</f>
        <v>738000</v>
      </c>
      <c r="P242" s="10" t="s">
        <v>82</v>
      </c>
      <c r="Q242" s="11">
        <f>I244*C240</f>
        <v>11656107.444088474</v>
      </c>
    </row>
    <row r="243" spans="1:17" x14ac:dyDescent="0.25">
      <c r="A243" s="46"/>
      <c r="E243" s="1" t="s">
        <v>133</v>
      </c>
      <c r="F243" s="29">
        <f>F200+SUM(F193:F196)</f>
        <v>28</v>
      </c>
      <c r="I243" s="1" t="s">
        <v>35</v>
      </c>
      <c r="J243" s="1" t="s">
        <v>36</v>
      </c>
      <c r="K243" s="1" t="s">
        <v>37</v>
      </c>
      <c r="L243" s="1" t="s">
        <v>38</v>
      </c>
      <c r="M243" s="10" t="s">
        <v>83</v>
      </c>
      <c r="N243" s="11">
        <f>(G236+G237+G238+G239)*6000+G235*5000</f>
        <v>0</v>
      </c>
      <c r="P243" s="10" t="s">
        <v>84</v>
      </c>
      <c r="Q243" s="11">
        <f>4*L244</f>
        <v>0</v>
      </c>
    </row>
    <row r="244" spans="1:17" x14ac:dyDescent="0.25">
      <c r="A244" s="46"/>
      <c r="E244" s="1" t="s">
        <v>135</v>
      </c>
      <c r="F244" s="27">
        <f>C232/4</f>
        <v>809409.4013671875</v>
      </c>
      <c r="I244" s="27">
        <f>C220+C221-C228*1.35+I201</f>
        <v>9037355.0999999996</v>
      </c>
      <c r="J244" s="4">
        <f>SUM(J239:J242)</f>
        <v>2397576</v>
      </c>
      <c r="K244" s="4">
        <f>SUM(K239:K242)</f>
        <v>2397576</v>
      </c>
      <c r="L244" s="4">
        <f>SUM(L239:L242)</f>
        <v>0</v>
      </c>
      <c r="M244" s="10" t="s">
        <v>85</v>
      </c>
      <c r="N244" s="11">
        <f>Q199*0.1</f>
        <v>417255.6788954853</v>
      </c>
      <c r="P244" s="10" t="s">
        <v>86</v>
      </c>
      <c r="Q244" s="11">
        <f>Q201*0.975+C219*500000</f>
        <v>10792125.3515625</v>
      </c>
    </row>
    <row r="245" spans="1:17" x14ac:dyDescent="0.25">
      <c r="A245" s="46"/>
      <c r="M245" s="10" t="s">
        <v>87</v>
      </c>
      <c r="N245" s="11">
        <f>L244*0.5</f>
        <v>0</v>
      </c>
      <c r="P245" s="10" t="s">
        <v>88</v>
      </c>
      <c r="Q245" s="11">
        <f>SUM(Q241:Q244)</f>
        <v>33468351.450475909</v>
      </c>
    </row>
    <row r="246" spans="1:17" x14ac:dyDescent="0.25">
      <c r="A246" s="46"/>
      <c r="M246" s="10" t="s">
        <v>89</v>
      </c>
      <c r="N246" s="2"/>
      <c r="P246" s="9"/>
      <c r="Q246" s="11">
        <v>0</v>
      </c>
    </row>
    <row r="247" spans="1:17" x14ac:dyDescent="0.25">
      <c r="A247" s="46"/>
      <c r="M247" s="10" t="s">
        <v>90</v>
      </c>
      <c r="N247" s="11">
        <f>(J229+Q205-J230)*$F$2/4+Q206*$F$2</f>
        <v>315000</v>
      </c>
      <c r="P247" s="9" t="s">
        <v>91</v>
      </c>
      <c r="Q247" s="11"/>
    </row>
    <row r="248" spans="1:17" x14ac:dyDescent="0.25">
      <c r="A248" s="46"/>
      <c r="M248" s="10" t="s">
        <v>92</v>
      </c>
      <c r="N248" s="11"/>
      <c r="P248" s="10" t="s">
        <v>93</v>
      </c>
      <c r="Q248" s="11">
        <f>J229+Q208-J230</f>
        <v>21000000</v>
      </c>
    </row>
    <row r="249" spans="1:17" x14ac:dyDescent="0.25">
      <c r="A249" s="46"/>
      <c r="M249" s="10" t="s">
        <v>1</v>
      </c>
      <c r="N249" s="11">
        <f>N221/(1+$B$2)*$B$2</f>
        <v>1221406.6415094337</v>
      </c>
      <c r="P249" s="10" t="s">
        <v>136</v>
      </c>
      <c r="Q249" s="14" t="str">
        <f>IF(Q250&lt;0,"0",Q250)</f>
        <v>0</v>
      </c>
    </row>
    <row r="250" spans="1:17" x14ac:dyDescent="0.25">
      <c r="A250" s="46"/>
      <c r="M250" s="10" t="s">
        <v>2</v>
      </c>
      <c r="N250" s="11">
        <f>N249*$C$2</f>
        <v>97712.531320754701</v>
      </c>
      <c r="P250" s="10" t="s">
        <v>137</v>
      </c>
      <c r="Q250" s="11">
        <f>Q232-(Q193+N221/2)-J229</f>
        <v>-231026.6548249349</v>
      </c>
    </row>
    <row r="251" spans="1:17" x14ac:dyDescent="0.25">
      <c r="A251" s="46"/>
      <c r="M251" s="10" t="s">
        <v>138</v>
      </c>
      <c r="N251" s="14">
        <f>IF(N252&lt;0,"0",N252)</f>
        <v>1038768.8745297724</v>
      </c>
      <c r="P251" s="10" t="s">
        <v>95</v>
      </c>
      <c r="Q251" s="11">
        <f>Q248+Q249</f>
        <v>21000000</v>
      </c>
    </row>
    <row r="252" spans="1:17" x14ac:dyDescent="0.25">
      <c r="A252" s="46"/>
      <c r="M252" s="10" t="s">
        <v>139</v>
      </c>
      <c r="N252" s="11">
        <f>(N221/(1+$B$2)-SUM(N236:N238,N225:N234,N240:N245,N247,N250))*$E$2</f>
        <v>1038768.8745297724</v>
      </c>
      <c r="P252" s="10"/>
      <c r="Q252" s="11">
        <v>0</v>
      </c>
    </row>
    <row r="253" spans="1:17" x14ac:dyDescent="0.25">
      <c r="A253" s="46"/>
      <c r="M253" s="10"/>
      <c r="N253" s="15"/>
      <c r="P253" s="9" t="s">
        <v>97</v>
      </c>
      <c r="Q253" s="11">
        <f>SUM(Q241:Q244)-Q249-Q248</f>
        <v>12468351.450475909</v>
      </c>
    </row>
    <row r="254" spans="1:17" x14ac:dyDescent="0.25">
      <c r="A254" s="46"/>
      <c r="M254" s="10" t="s">
        <v>98</v>
      </c>
      <c r="N254" s="11">
        <f>SUM(N236:N238,N225:N234,N240:N245,N247,N249:N251)</f>
        <v>18461877.376410678</v>
      </c>
    </row>
    <row r="255" spans="1:17" x14ac:dyDescent="0.25">
      <c r="A255" s="46"/>
      <c r="M255" s="9" t="s">
        <v>99</v>
      </c>
      <c r="N255" s="11">
        <f>N221-N254</f>
        <v>3116306.623589322</v>
      </c>
    </row>
    <row r="261" spans="1:17" ht="14.55" customHeight="1" x14ac:dyDescent="0.25">
      <c r="A261" s="46" t="s">
        <v>145</v>
      </c>
      <c r="B261" s="3" t="s">
        <v>8</v>
      </c>
      <c r="E261" s="3" t="s">
        <v>101</v>
      </c>
      <c r="F261" s="39" t="s">
        <v>102</v>
      </c>
      <c r="G261" s="40"/>
      <c r="H261" s="40"/>
      <c r="I261" s="12" t="s">
        <v>103</v>
      </c>
      <c r="M261" s="41" t="s">
        <v>11</v>
      </c>
      <c r="N261" s="42"/>
      <c r="P261" s="41" t="s">
        <v>12</v>
      </c>
      <c r="Q261" s="42"/>
    </row>
    <row r="262" spans="1:17" x14ac:dyDescent="0.25">
      <c r="A262" s="46"/>
      <c r="B262" s="1" t="s">
        <v>13</v>
      </c>
      <c r="C262" s="17">
        <v>2</v>
      </c>
      <c r="F262" s="17" t="s">
        <v>16</v>
      </c>
      <c r="G262" s="35">
        <f>C271-SUM(F263:F266)</f>
        <v>0</v>
      </c>
      <c r="I262" s="1" t="s">
        <v>104</v>
      </c>
      <c r="J262" s="1" t="s">
        <v>105</v>
      </c>
      <c r="K262" s="1" t="s">
        <v>106</v>
      </c>
      <c r="M262" s="8" t="s">
        <v>19</v>
      </c>
      <c r="N262" s="8" t="s">
        <v>20</v>
      </c>
      <c r="P262" s="8" t="s">
        <v>19</v>
      </c>
      <c r="Q262" s="8" t="s">
        <v>20</v>
      </c>
    </row>
    <row r="263" spans="1:17" x14ac:dyDescent="0.25">
      <c r="A263" s="46"/>
      <c r="B263" s="1" t="s">
        <v>21</v>
      </c>
      <c r="C263" s="18">
        <v>0</v>
      </c>
      <c r="E263" s="1" t="s">
        <v>23</v>
      </c>
      <c r="F263" s="18">
        <v>799409</v>
      </c>
      <c r="I263" s="1">
        <v>0</v>
      </c>
      <c r="J263" s="1">
        <v>0</v>
      </c>
      <c r="K263" s="1">
        <v>0</v>
      </c>
      <c r="M263" s="9" t="s">
        <v>24</v>
      </c>
      <c r="N263" s="2"/>
      <c r="P263" s="9" t="s">
        <v>25</v>
      </c>
      <c r="Q263" s="11"/>
    </row>
    <row r="264" spans="1:17" x14ac:dyDescent="0.25">
      <c r="A264" s="46"/>
      <c r="B264" s="1" t="s">
        <v>26</v>
      </c>
      <c r="C264" s="18">
        <v>0</v>
      </c>
      <c r="E264" s="1" t="s">
        <v>27</v>
      </c>
      <c r="F264" s="18">
        <v>794409</v>
      </c>
      <c r="I264" s="1" t="s">
        <v>107</v>
      </c>
      <c r="J264" s="1" t="s">
        <v>108</v>
      </c>
      <c r="K264" s="1" t="s">
        <v>109</v>
      </c>
      <c r="M264" s="10" t="s">
        <v>28</v>
      </c>
      <c r="N264" s="13">
        <f>F270*K282+F271*K283+F272*K284+F273*K285</f>
        <v>25024734</v>
      </c>
      <c r="P264" s="10" t="s">
        <v>28</v>
      </c>
      <c r="Q264" s="11">
        <f>N264</f>
        <v>25024734</v>
      </c>
    </row>
    <row r="265" spans="1:17" x14ac:dyDescent="0.25">
      <c r="A265" s="46"/>
      <c r="B265" s="5" t="s">
        <v>110</v>
      </c>
      <c r="E265" s="1" t="s">
        <v>29</v>
      </c>
      <c r="F265" s="18">
        <v>869343</v>
      </c>
      <c r="I265" s="1">
        <v>0</v>
      </c>
      <c r="J265" s="1">
        <v>0</v>
      </c>
      <c r="K265" s="1">
        <v>0</v>
      </c>
      <c r="M265" s="9"/>
      <c r="N265" s="2"/>
      <c r="P265" s="9"/>
      <c r="Q265" s="11"/>
    </row>
    <row r="266" spans="1:17" x14ac:dyDescent="0.25">
      <c r="A266" s="46"/>
      <c r="B266" s="1" t="s">
        <v>111</v>
      </c>
      <c r="C266" s="27">
        <f>C224</f>
        <v>4370810.7673828127</v>
      </c>
      <c r="E266" s="1" t="s">
        <v>31</v>
      </c>
      <c r="F266" s="18">
        <v>774475</v>
      </c>
      <c r="I266" s="1" t="s">
        <v>112</v>
      </c>
      <c r="J266" s="1" t="s">
        <v>113</v>
      </c>
      <c r="K266" s="1" t="s">
        <v>114</v>
      </c>
      <c r="M266" s="9" t="s">
        <v>32</v>
      </c>
      <c r="N266" s="2"/>
      <c r="P266" s="10" t="s">
        <v>33</v>
      </c>
      <c r="Q266" s="11">
        <f>J272</f>
        <v>0</v>
      </c>
    </row>
    <row r="267" spans="1:17" x14ac:dyDescent="0.25">
      <c r="A267" s="46"/>
      <c r="B267" s="1" t="s">
        <v>58</v>
      </c>
      <c r="C267" s="27">
        <f>C275*1.35</f>
        <v>4666540.4981982419</v>
      </c>
      <c r="E267" s="5" t="s">
        <v>115</v>
      </c>
      <c r="F267" s="30" t="s">
        <v>116</v>
      </c>
      <c r="G267" s="27">
        <f>C271/4</f>
        <v>809409</v>
      </c>
      <c r="I267" s="1">
        <v>0</v>
      </c>
      <c r="J267" s="1">
        <v>0</v>
      </c>
      <c r="K267" s="1">
        <v>0</v>
      </c>
      <c r="M267" s="10" t="s">
        <v>39</v>
      </c>
      <c r="N267" s="2"/>
      <c r="P267" s="10" t="s">
        <v>40</v>
      </c>
      <c r="Q267" s="11">
        <f>Q264+Q266</f>
        <v>25024734</v>
      </c>
    </row>
    <row r="268" spans="1:17" x14ac:dyDescent="0.25">
      <c r="A268" s="46"/>
      <c r="B268" s="1" t="s">
        <v>117</v>
      </c>
      <c r="C268" s="27">
        <f>I244</f>
        <v>9037355.0999999996</v>
      </c>
      <c r="E268" s="3" t="s">
        <v>118</v>
      </c>
      <c r="I268" s="1" t="s">
        <v>119</v>
      </c>
      <c r="J268" s="1" t="s">
        <v>120</v>
      </c>
      <c r="K268" s="1" t="s">
        <v>121</v>
      </c>
      <c r="M268" s="10" t="s">
        <v>42</v>
      </c>
      <c r="N268" s="11">
        <f>C272</f>
        <v>2000000</v>
      </c>
      <c r="P268" s="9" t="s">
        <v>43</v>
      </c>
      <c r="Q268" s="11"/>
    </row>
    <row r="269" spans="1:17" x14ac:dyDescent="0.25">
      <c r="A269" s="46"/>
      <c r="F269" s="1" t="s">
        <v>141</v>
      </c>
      <c r="G269" s="1" t="s">
        <v>123</v>
      </c>
      <c r="I269" s="1">
        <v>0</v>
      </c>
      <c r="J269" s="1">
        <v>0</v>
      </c>
      <c r="K269" s="1">
        <v>0</v>
      </c>
      <c r="M269" s="10" t="s">
        <v>45</v>
      </c>
      <c r="N269" s="11">
        <v>20000</v>
      </c>
      <c r="P269" s="10" t="s">
        <v>46</v>
      </c>
      <c r="Q269" s="11">
        <f>SUM(P297,N268:N270,N272:N275,N279:N281,N283:N288,N290,N292:N294)</f>
        <v>16820059.077447187</v>
      </c>
    </row>
    <row r="270" spans="1:17" x14ac:dyDescent="0.25">
      <c r="A270" s="46"/>
      <c r="B270" s="3" t="s">
        <v>30</v>
      </c>
      <c r="E270" s="1" t="s">
        <v>23</v>
      </c>
      <c r="F270" s="17">
        <v>8.4</v>
      </c>
      <c r="G270" s="18">
        <v>900000</v>
      </c>
      <c r="M270" s="10" t="s">
        <v>49</v>
      </c>
      <c r="N270" s="11">
        <f>C274*1.4</f>
        <v>4532692.6476562498</v>
      </c>
      <c r="P270" s="10" t="s">
        <v>50</v>
      </c>
      <c r="Q270" s="11">
        <f>(C263+C264)*J277</f>
        <v>0</v>
      </c>
    </row>
    <row r="271" spans="1:17" x14ac:dyDescent="0.25">
      <c r="A271" s="46"/>
      <c r="B271" s="1" t="s">
        <v>34</v>
      </c>
      <c r="C271" s="18">
        <v>3237636</v>
      </c>
      <c r="E271" s="1" t="s">
        <v>27</v>
      </c>
      <c r="F271" s="17">
        <v>8.4</v>
      </c>
      <c r="G271" s="18">
        <v>900000</v>
      </c>
      <c r="I271" s="3" t="s">
        <v>124</v>
      </c>
      <c r="M271" s="10" t="s">
        <v>53</v>
      </c>
      <c r="N271" s="11">
        <f>C266*C283</f>
        <v>5637339.6152589889</v>
      </c>
      <c r="P271" s="10" t="s">
        <v>54</v>
      </c>
      <c r="Q271" s="11">
        <f>C262*500000</f>
        <v>1000000</v>
      </c>
    </row>
    <row r="272" spans="1:17" x14ac:dyDescent="0.25">
      <c r="A272" s="46"/>
      <c r="B272" s="1" t="s">
        <v>41</v>
      </c>
      <c r="C272" s="18">
        <v>2000000</v>
      </c>
      <c r="E272" s="1" t="s">
        <v>29</v>
      </c>
      <c r="F272" s="17">
        <v>8.4</v>
      </c>
      <c r="G272" s="18">
        <v>900000</v>
      </c>
      <c r="I272" s="1" t="s">
        <v>33</v>
      </c>
      <c r="J272" s="18">
        <v>0</v>
      </c>
      <c r="M272" s="10" t="s">
        <v>125</v>
      </c>
      <c r="N272" s="11">
        <f>IF(C263=0,0,IF(C263&lt;=500000,40000,IF(C263&lt;=1000000,80000,IF(C263&lt;=1500000,120000,IF(C263&lt;=2000000,160000,IF(C263&gt;2000000,200000))))))</f>
        <v>0</v>
      </c>
      <c r="P272" s="10" t="s">
        <v>57</v>
      </c>
      <c r="Q272" s="11">
        <f>J273</f>
        <v>6000000</v>
      </c>
    </row>
    <row r="273" spans="1:17" x14ac:dyDescent="0.25">
      <c r="A273" s="46"/>
      <c r="B273" s="5" t="s">
        <v>126</v>
      </c>
      <c r="E273" s="1" t="s">
        <v>31</v>
      </c>
      <c r="F273" s="17">
        <v>8.4</v>
      </c>
      <c r="G273" s="18">
        <v>900000</v>
      </c>
      <c r="I273" s="1" t="s">
        <v>57</v>
      </c>
      <c r="J273" s="17">
        <v>6000000</v>
      </c>
      <c r="M273" s="10" t="s">
        <v>60</v>
      </c>
      <c r="N273" s="11">
        <f>1*C264</f>
        <v>0</v>
      </c>
      <c r="P273" s="10" t="s">
        <v>61</v>
      </c>
      <c r="Q273" s="11">
        <f>J274</f>
        <v>0</v>
      </c>
    </row>
    <row r="274" spans="1:17" x14ac:dyDescent="0.25">
      <c r="A274" s="46"/>
      <c r="B274" s="1" t="s">
        <v>127</v>
      </c>
      <c r="C274" s="27">
        <f>C232</f>
        <v>3237637.60546875</v>
      </c>
      <c r="I274" s="1" t="s">
        <v>61</v>
      </c>
      <c r="J274" s="17">
        <v>0</v>
      </c>
      <c r="M274" s="10" t="s">
        <v>63</v>
      </c>
      <c r="N274" s="11">
        <f>C278*12000</f>
        <v>276000</v>
      </c>
      <c r="P274" s="10"/>
      <c r="Q274" s="11"/>
    </row>
    <row r="275" spans="1:17" x14ac:dyDescent="0.25">
      <c r="A275" s="46"/>
      <c r="B275" s="1" t="s">
        <v>55</v>
      </c>
      <c r="C275" s="27">
        <f>C274*0.975+C262*150000</f>
        <v>3456696.665332031</v>
      </c>
      <c r="M275" s="10" t="s">
        <v>65</v>
      </c>
      <c r="N275" s="11">
        <f>C262*100000</f>
        <v>200000</v>
      </c>
      <c r="P275" s="10" t="s">
        <v>66</v>
      </c>
      <c r="Q275" s="11">
        <f>SUM(Q269:Q273)</f>
        <v>23820059.077447187</v>
      </c>
    </row>
    <row r="276" spans="1:17" x14ac:dyDescent="0.25">
      <c r="A276" s="46"/>
      <c r="E276" s="3" t="s">
        <v>9</v>
      </c>
      <c r="I276" s="3" t="s">
        <v>44</v>
      </c>
      <c r="M276" s="10" t="s">
        <v>67</v>
      </c>
      <c r="N276" s="11">
        <f>Q244*0.025</f>
        <v>269803.1337890625</v>
      </c>
      <c r="P276" s="10"/>
      <c r="Q276" s="11"/>
    </row>
    <row r="277" spans="1:17" x14ac:dyDescent="0.25">
      <c r="A277" s="46"/>
      <c r="B277" s="5" t="s">
        <v>128</v>
      </c>
      <c r="F277" s="1" t="s">
        <v>14</v>
      </c>
      <c r="G277" s="1" t="s">
        <v>15</v>
      </c>
      <c r="I277" s="1" t="s">
        <v>48</v>
      </c>
      <c r="J277" s="17">
        <v>0</v>
      </c>
      <c r="M277" s="10" t="s">
        <v>68</v>
      </c>
      <c r="N277" s="11">
        <f>Q243-Q286</f>
        <v>-1034004</v>
      </c>
      <c r="P277" s="9" t="s">
        <v>69</v>
      </c>
      <c r="Q277" s="11">
        <f>Q267-Q275</f>
        <v>1204674.9225528128</v>
      </c>
    </row>
    <row r="278" spans="1:17" x14ac:dyDescent="0.25">
      <c r="A278" s="46"/>
      <c r="B278" s="1" t="s">
        <v>129</v>
      </c>
      <c r="C278" s="27">
        <f>C236</f>
        <v>23</v>
      </c>
      <c r="E278" s="1" t="s">
        <v>22</v>
      </c>
      <c r="F278" s="17">
        <f>C262*3</f>
        <v>6</v>
      </c>
      <c r="G278" s="1">
        <v>0</v>
      </c>
      <c r="I278" s="1" t="s">
        <v>52</v>
      </c>
      <c r="J278" s="17">
        <v>0</v>
      </c>
      <c r="M278" s="10" t="s">
        <v>70</v>
      </c>
      <c r="N278" s="2"/>
      <c r="P278" s="10"/>
      <c r="Q278" s="11"/>
    </row>
    <row r="279" spans="1:17" x14ac:dyDescent="0.25">
      <c r="A279" s="46"/>
      <c r="B279" s="1" t="s">
        <v>51</v>
      </c>
      <c r="C279" s="27">
        <f>C278+C262</f>
        <v>25</v>
      </c>
      <c r="E279" s="1" t="s">
        <v>23</v>
      </c>
      <c r="F279" s="17">
        <v>1</v>
      </c>
      <c r="G279" s="1">
        <v>0</v>
      </c>
      <c r="M279" s="10" t="s">
        <v>71</v>
      </c>
      <c r="N279" s="11">
        <f>G270+G271+G272+G273</f>
        <v>3600000</v>
      </c>
      <c r="P279" s="9" t="s">
        <v>72</v>
      </c>
      <c r="Q279" s="11">
        <f>IF(Q292="0",Q236+Q277,N264/2)</f>
        <v>12512367</v>
      </c>
    </row>
    <row r="280" spans="1:17" x14ac:dyDescent="0.25">
      <c r="A280" s="46"/>
      <c r="E280" s="1" t="s">
        <v>27</v>
      </c>
      <c r="F280" s="17">
        <v>1</v>
      </c>
      <c r="G280" s="1">
        <v>0</v>
      </c>
      <c r="I280" s="36" t="s">
        <v>10</v>
      </c>
      <c r="J280" s="36"/>
      <c r="K280" s="36"/>
      <c r="L280" s="37"/>
      <c r="M280" s="10" t="s">
        <v>73</v>
      </c>
      <c r="N280" s="11">
        <f>F263*0.4+F264*0.1+F265*0.4+F266*0.5</f>
        <v>1134179.2000000002</v>
      </c>
    </row>
    <row r="281" spans="1:17" x14ac:dyDescent="0.25">
      <c r="A281" s="46"/>
      <c r="B281" s="5" t="s">
        <v>59</v>
      </c>
      <c r="E281" s="1" t="s">
        <v>29</v>
      </c>
      <c r="F281" s="17">
        <v>1</v>
      </c>
      <c r="G281" s="1">
        <v>0</v>
      </c>
      <c r="J281" s="1" t="s">
        <v>16</v>
      </c>
      <c r="K281" s="1" t="s">
        <v>17</v>
      </c>
      <c r="L281" s="1" t="s">
        <v>18</v>
      </c>
      <c r="M281" s="10" t="s">
        <v>74</v>
      </c>
      <c r="N281" s="11">
        <f>IF(I263+J263+K263=0,"0",10000+I263*0.4+J263*0.7+K263*0.8)+IF(I265+J265+K265=0,"0",10000+I265*0.4+J265*0.4+K265*0.5)+IF(I267+J267+K267=0,"0",10000+I267*0.7+J267*0.4+K267*0.4)+IF(I269+J269+K269=0,"0",10000+I269*0.8+J269*0.5+K269*0.4)</f>
        <v>0</v>
      </c>
      <c r="P281" s="41" t="s">
        <v>75</v>
      </c>
      <c r="Q281" s="42"/>
    </row>
    <row r="282" spans="1:17" x14ac:dyDescent="0.25">
      <c r="A282" s="46"/>
      <c r="B282" s="1" t="s">
        <v>62</v>
      </c>
      <c r="C282" s="27">
        <f>Q294</f>
        <v>15287573.422622252</v>
      </c>
      <c r="E282" s="1" t="s">
        <v>31</v>
      </c>
      <c r="F282" s="17">
        <v>1</v>
      </c>
      <c r="G282" s="1">
        <v>0</v>
      </c>
      <c r="I282" s="1" t="s">
        <v>23</v>
      </c>
      <c r="J282" s="4">
        <f>F263</f>
        <v>799409</v>
      </c>
      <c r="K282" s="4">
        <v>687452</v>
      </c>
      <c r="L282" s="4">
        <f>J282-K282+L239</f>
        <v>111957</v>
      </c>
      <c r="M282" s="10" t="s">
        <v>76</v>
      </c>
      <c r="N282" s="2"/>
      <c r="P282" s="8" t="s">
        <v>19</v>
      </c>
      <c r="Q282" s="8" t="s">
        <v>20</v>
      </c>
    </row>
    <row r="283" spans="1:17" x14ac:dyDescent="0.25">
      <c r="A283" s="46"/>
      <c r="B283" s="1" t="s">
        <v>64</v>
      </c>
      <c r="C283" s="28">
        <f>(Q270+Q242)/(C263+C264+I244)</f>
        <v>1.289769773911891</v>
      </c>
      <c r="I283" s="1" t="s">
        <v>27</v>
      </c>
      <c r="J283" s="4">
        <f>F264</f>
        <v>794409</v>
      </c>
      <c r="K283" s="4">
        <v>691313</v>
      </c>
      <c r="L283" s="4">
        <f t="shared" ref="L283:L285" si="10">J283-K283+L240</f>
        <v>103096</v>
      </c>
      <c r="M283" s="10" t="s">
        <v>77</v>
      </c>
      <c r="N283" s="11">
        <f>(F278+F279+F280+F281+F282)*500</f>
        <v>5000</v>
      </c>
      <c r="P283" s="9" t="s">
        <v>78</v>
      </c>
      <c r="Q283" s="2"/>
    </row>
    <row r="284" spans="1:17" x14ac:dyDescent="0.25">
      <c r="A284" s="46"/>
      <c r="E284" s="5" t="s">
        <v>131</v>
      </c>
      <c r="I284" s="1" t="s">
        <v>29</v>
      </c>
      <c r="J284" s="4">
        <f>F265</f>
        <v>869343</v>
      </c>
      <c r="K284" s="4">
        <f t="shared" ref="K283:K285" si="11">J284</f>
        <v>869343</v>
      </c>
      <c r="L284" s="4">
        <f t="shared" si="10"/>
        <v>0</v>
      </c>
      <c r="M284" s="10" t="s">
        <v>79</v>
      </c>
      <c r="N284" s="11">
        <f>(F278+F279+F280+F281+F282)*1000</f>
        <v>10000</v>
      </c>
      <c r="P284" s="10" t="s">
        <v>80</v>
      </c>
      <c r="Q284" s="11">
        <f>Q279</f>
        <v>12512367</v>
      </c>
    </row>
    <row r="285" spans="1:17" x14ac:dyDescent="0.25">
      <c r="A285" s="46"/>
      <c r="E285" s="1" t="s">
        <v>132</v>
      </c>
      <c r="F285" s="29">
        <f>F242+F235</f>
        <v>69</v>
      </c>
      <c r="I285" s="1" t="s">
        <v>31</v>
      </c>
      <c r="J285" s="4">
        <f>F266</f>
        <v>774475</v>
      </c>
      <c r="K285" s="4">
        <v>731027</v>
      </c>
      <c r="L285" s="4">
        <f t="shared" si="10"/>
        <v>43448</v>
      </c>
      <c r="M285" s="10" t="s">
        <v>81</v>
      </c>
      <c r="N285" s="11">
        <f>4500*(F279+F280+F281+F282)+3750*F278+9000*F286+7500*F285</f>
        <v>882000</v>
      </c>
      <c r="P285" s="10" t="s">
        <v>82</v>
      </c>
      <c r="Q285" s="11">
        <f>I287*C283</f>
        <v>6018770.6242543245</v>
      </c>
    </row>
    <row r="286" spans="1:17" x14ac:dyDescent="0.25">
      <c r="A286" s="46"/>
      <c r="E286" s="1" t="s">
        <v>133</v>
      </c>
      <c r="F286" s="29">
        <f>F243+SUM(F236:F239)</f>
        <v>36</v>
      </c>
      <c r="I286" s="1" t="s">
        <v>35</v>
      </c>
      <c r="J286" s="1" t="s">
        <v>36</v>
      </c>
      <c r="K286" s="1" t="s">
        <v>37</v>
      </c>
      <c r="L286" s="1" t="s">
        <v>38</v>
      </c>
      <c r="M286" s="10" t="s">
        <v>83</v>
      </c>
      <c r="N286" s="11">
        <f>(G279+G280+G281+G282)*6000+G278*5000</f>
        <v>0</v>
      </c>
      <c r="P286" s="10" t="s">
        <v>84</v>
      </c>
      <c r="Q286" s="11">
        <f>4*L287</f>
        <v>1034004</v>
      </c>
    </row>
    <row r="287" spans="1:17" x14ac:dyDescent="0.25">
      <c r="A287" s="46"/>
      <c r="E287" s="1" t="s">
        <v>135</v>
      </c>
      <c r="F287" s="27">
        <f>C275/4</f>
        <v>864174.16633300774</v>
      </c>
      <c r="I287" s="27">
        <f>C263+C264-C271*1.35+I244</f>
        <v>4666546.4999999991</v>
      </c>
      <c r="J287" s="4">
        <f>SUM(J282:J285)</f>
        <v>3237636</v>
      </c>
      <c r="K287" s="4">
        <f>SUM(K282:K285)</f>
        <v>2979135</v>
      </c>
      <c r="L287" s="4">
        <f>SUM(L282:L285)</f>
        <v>258501</v>
      </c>
      <c r="M287" s="10" t="s">
        <v>85</v>
      </c>
      <c r="N287" s="11">
        <f>Q242*0.1</f>
        <v>1165610.7444088475</v>
      </c>
      <c r="P287" s="10" t="s">
        <v>86</v>
      </c>
      <c r="Q287" s="11">
        <f>Q244*0.975+C262*500000</f>
        <v>11522322.217773438</v>
      </c>
    </row>
    <row r="288" spans="1:17" x14ac:dyDescent="0.25">
      <c r="A288" s="46"/>
      <c r="M288" s="10" t="s">
        <v>87</v>
      </c>
      <c r="N288" s="11">
        <f>L287*0.5</f>
        <v>129250.5</v>
      </c>
      <c r="P288" s="10" t="s">
        <v>88</v>
      </c>
      <c r="Q288" s="11">
        <f>SUM(Q284:Q287)</f>
        <v>31087463.842027761</v>
      </c>
    </row>
    <row r="289" spans="1:19" x14ac:dyDescent="0.25">
      <c r="A289" s="46"/>
      <c r="M289" s="10" t="s">
        <v>89</v>
      </c>
      <c r="N289" s="2"/>
      <c r="P289" s="9"/>
      <c r="Q289" s="11">
        <v>0</v>
      </c>
    </row>
    <row r="290" spans="1:19" x14ac:dyDescent="0.25">
      <c r="A290" s="46"/>
      <c r="M290" s="10" t="s">
        <v>90</v>
      </c>
      <c r="N290" s="11">
        <f>(J272+Q248-J273)*$F$2/4+Q249*$F$2</f>
        <v>225000</v>
      </c>
      <c r="P290" s="9" t="s">
        <v>91</v>
      </c>
      <c r="Q290" s="11"/>
    </row>
    <row r="291" spans="1:19" x14ac:dyDescent="0.25">
      <c r="A291" s="46"/>
      <c r="M291" s="10" t="s">
        <v>92</v>
      </c>
      <c r="N291" s="11"/>
      <c r="P291" s="10" t="s">
        <v>93</v>
      </c>
      <c r="Q291" s="11">
        <f>J272+Q251-J273</f>
        <v>15000000</v>
      </c>
      <c r="S291" s="50">
        <f>Q294/Q288</f>
        <v>0.49176007088602314</v>
      </c>
    </row>
    <row r="292" spans="1:19" x14ac:dyDescent="0.25">
      <c r="A292" s="46"/>
      <c r="M292" s="10" t="s">
        <v>1</v>
      </c>
      <c r="N292" s="11">
        <f>N264/(1+$B$2)*$B$2</f>
        <v>1416494.3773584904</v>
      </c>
      <c r="P292" s="10" t="s">
        <v>136</v>
      </c>
      <c r="Q292" s="14">
        <f>IF(Q293&lt;0,"0",Q293)</f>
        <v>287573.42262225226</v>
      </c>
    </row>
    <row r="293" spans="1:19" x14ac:dyDescent="0.25">
      <c r="A293" s="46"/>
      <c r="M293" s="10" t="s">
        <v>2</v>
      </c>
      <c r="N293" s="11">
        <f>N292*$C$2</f>
        <v>113319.55018867923</v>
      </c>
      <c r="P293" s="10" t="s">
        <v>137</v>
      </c>
      <c r="Q293" s="11">
        <f>Q275-(Q236+N264/2)-J272</f>
        <v>287573.42262225226</v>
      </c>
    </row>
    <row r="294" spans="1:19" x14ac:dyDescent="0.25">
      <c r="A294" s="46"/>
      <c r="M294" s="10" t="s">
        <v>138</v>
      </c>
      <c r="N294" s="14">
        <f>IF(N295&lt;0,"0",N295)</f>
        <v>1110512.0578349205</v>
      </c>
      <c r="P294" s="10" t="s">
        <v>95</v>
      </c>
      <c r="Q294" s="11">
        <f>Q291+Q292</f>
        <v>15287573.422622252</v>
      </c>
    </row>
    <row r="295" spans="1:19" x14ac:dyDescent="0.25">
      <c r="A295" s="46"/>
      <c r="M295" s="10" t="s">
        <v>139</v>
      </c>
      <c r="N295" s="11">
        <f>(N264/(1+$B$2)-SUM(N279:N281,N268:N277,N283:N288,N290,N293))*$E$2</f>
        <v>1110512.0578349205</v>
      </c>
      <c r="P295" s="10"/>
      <c r="Q295" s="11">
        <v>0</v>
      </c>
    </row>
    <row r="296" spans="1:19" x14ac:dyDescent="0.25">
      <c r="A296" s="46"/>
      <c r="M296" s="10"/>
      <c r="N296" s="15"/>
      <c r="P296" s="9" t="s">
        <v>97</v>
      </c>
      <c r="Q296" s="11">
        <f>SUM(Q284:Q287)-Q292-Q291</f>
        <v>15799890.419405509</v>
      </c>
    </row>
    <row r="297" spans="1:19" x14ac:dyDescent="0.25">
      <c r="A297" s="46"/>
      <c r="M297" s="10" t="s">
        <v>98</v>
      </c>
      <c r="N297" s="11">
        <f>SUM(N279:N281,N268:N277,N283:N288,N290,N292:N294)</f>
        <v>21693197.826495234</v>
      </c>
    </row>
    <row r="298" spans="1:19" x14ac:dyDescent="0.25">
      <c r="A298" s="46"/>
      <c r="M298" s="9" t="s">
        <v>99</v>
      </c>
      <c r="N298" s="11">
        <f>N264-N297</f>
        <v>3331536.1735047661</v>
      </c>
    </row>
    <row r="304" spans="1:19" ht="14.55" customHeight="1" x14ac:dyDescent="0.25">
      <c r="A304" s="46" t="s">
        <v>146</v>
      </c>
      <c r="B304" s="3" t="s">
        <v>8</v>
      </c>
      <c r="E304" s="3" t="s">
        <v>101</v>
      </c>
      <c r="F304" s="39" t="s">
        <v>102</v>
      </c>
      <c r="G304" s="40"/>
      <c r="H304" s="40"/>
      <c r="I304" s="12" t="s">
        <v>103</v>
      </c>
      <c r="M304" s="41" t="s">
        <v>11</v>
      </c>
      <c r="N304" s="42"/>
      <c r="P304" s="41" t="s">
        <v>12</v>
      </c>
      <c r="Q304" s="42"/>
    </row>
    <row r="305" spans="1:17" x14ac:dyDescent="0.25">
      <c r="A305" s="46"/>
      <c r="B305" s="1" t="s">
        <v>13</v>
      </c>
      <c r="C305" s="17">
        <v>0</v>
      </c>
      <c r="F305" s="17" t="s">
        <v>16</v>
      </c>
      <c r="G305" s="35">
        <f>C314-SUM(F306:F309)</f>
        <v>0</v>
      </c>
      <c r="I305" s="1" t="s">
        <v>104</v>
      </c>
      <c r="J305" s="1" t="s">
        <v>105</v>
      </c>
      <c r="K305" s="1" t="s">
        <v>106</v>
      </c>
      <c r="M305" s="8" t="s">
        <v>19</v>
      </c>
      <c r="N305" s="8" t="s">
        <v>20</v>
      </c>
      <c r="P305" s="8" t="s">
        <v>19</v>
      </c>
      <c r="Q305" s="8" t="s">
        <v>20</v>
      </c>
    </row>
    <row r="306" spans="1:17" x14ac:dyDescent="0.25">
      <c r="A306" s="46"/>
      <c r="B306" s="1" t="s">
        <v>21</v>
      </c>
      <c r="C306" s="18">
        <v>4549877</v>
      </c>
      <c r="E306" s="1" t="s">
        <v>23</v>
      </c>
      <c r="F306" s="18">
        <v>824173</v>
      </c>
      <c r="I306" s="1">
        <v>0</v>
      </c>
      <c r="J306" s="1">
        <v>0</v>
      </c>
      <c r="K306" s="1">
        <v>0</v>
      </c>
      <c r="M306" s="9" t="s">
        <v>24</v>
      </c>
      <c r="N306" s="2"/>
      <c r="P306" s="9" t="s">
        <v>25</v>
      </c>
      <c r="Q306" s="11"/>
    </row>
    <row r="307" spans="1:17" x14ac:dyDescent="0.25">
      <c r="A307" s="46"/>
      <c r="B307" s="1" t="s">
        <v>26</v>
      </c>
      <c r="C307" s="18">
        <v>0</v>
      </c>
      <c r="E307" s="1" t="s">
        <v>27</v>
      </c>
      <c r="F307" s="18">
        <v>824173</v>
      </c>
      <c r="I307" s="1" t="s">
        <v>107</v>
      </c>
      <c r="J307" s="1" t="s">
        <v>108</v>
      </c>
      <c r="K307" s="1" t="s">
        <v>109</v>
      </c>
      <c r="M307" s="10" t="s">
        <v>28</v>
      </c>
      <c r="N307" s="13">
        <f>F313*K325+F314*K326+F315*K327+F316*K328</f>
        <v>24032911</v>
      </c>
      <c r="P307" s="10" t="s">
        <v>28</v>
      </c>
      <c r="Q307" s="11">
        <f>N307</f>
        <v>24032911</v>
      </c>
    </row>
    <row r="308" spans="1:17" x14ac:dyDescent="0.25">
      <c r="A308" s="46"/>
      <c r="B308" s="5" t="s">
        <v>110</v>
      </c>
      <c r="E308" s="1" t="s">
        <v>29</v>
      </c>
      <c r="F308" s="18">
        <v>992195</v>
      </c>
      <c r="I308" s="1">
        <v>0</v>
      </c>
      <c r="J308" s="1">
        <v>0</v>
      </c>
      <c r="K308" s="1">
        <v>0</v>
      </c>
      <c r="M308" s="9"/>
      <c r="N308" s="2"/>
      <c r="P308" s="9"/>
      <c r="Q308" s="11"/>
    </row>
    <row r="309" spans="1:17" x14ac:dyDescent="0.25">
      <c r="A309" s="46"/>
      <c r="B309" s="1" t="s">
        <v>111</v>
      </c>
      <c r="C309" s="27">
        <f>C267</f>
        <v>4666540.4981982419</v>
      </c>
      <c r="E309" s="1" t="s">
        <v>31</v>
      </c>
      <c r="F309" s="18">
        <v>816152</v>
      </c>
      <c r="I309" s="1" t="s">
        <v>112</v>
      </c>
      <c r="J309" s="1" t="s">
        <v>113</v>
      </c>
      <c r="K309" s="1" t="s">
        <v>114</v>
      </c>
      <c r="M309" s="9" t="s">
        <v>32</v>
      </c>
      <c r="N309" s="2"/>
      <c r="P309" s="10" t="s">
        <v>33</v>
      </c>
      <c r="Q309" s="11">
        <f>J315</f>
        <v>0</v>
      </c>
    </row>
    <row r="310" spans="1:17" x14ac:dyDescent="0.25">
      <c r="A310" s="46"/>
      <c r="B310" s="1" t="s">
        <v>58</v>
      </c>
      <c r="C310" s="27">
        <f>C318*1.35</f>
        <v>4549876.9857432861</v>
      </c>
      <c r="E310" s="5" t="s">
        <v>115</v>
      </c>
      <c r="F310" s="30" t="s">
        <v>116</v>
      </c>
      <c r="G310" s="27">
        <f>C314/4</f>
        <v>864173.25</v>
      </c>
      <c r="I310" s="1">
        <v>0</v>
      </c>
      <c r="J310" s="1">
        <v>0</v>
      </c>
      <c r="K310" s="1">
        <v>0</v>
      </c>
      <c r="M310" s="10" t="s">
        <v>39</v>
      </c>
      <c r="N310" s="2"/>
      <c r="P310" s="10" t="s">
        <v>40</v>
      </c>
      <c r="Q310" s="11">
        <f>Q307+Q309</f>
        <v>24032911</v>
      </c>
    </row>
    <row r="311" spans="1:17" x14ac:dyDescent="0.25">
      <c r="A311" s="46"/>
      <c r="B311" s="1" t="s">
        <v>117</v>
      </c>
      <c r="C311" s="27">
        <f>I287</f>
        <v>4666546.4999999991</v>
      </c>
      <c r="E311" s="3" t="s">
        <v>118</v>
      </c>
      <c r="I311" s="1" t="s">
        <v>119</v>
      </c>
      <c r="J311" s="1" t="s">
        <v>120</v>
      </c>
      <c r="K311" s="1" t="s">
        <v>121</v>
      </c>
      <c r="M311" s="10" t="s">
        <v>42</v>
      </c>
      <c r="N311" s="11">
        <f>C315</f>
        <v>1200000</v>
      </c>
      <c r="P311" s="9" t="s">
        <v>43</v>
      </c>
      <c r="Q311" s="11"/>
    </row>
    <row r="312" spans="1:17" x14ac:dyDescent="0.25">
      <c r="A312" s="46"/>
      <c r="F312" s="1" t="s">
        <v>141</v>
      </c>
      <c r="G312" s="1" t="s">
        <v>123</v>
      </c>
      <c r="I312" s="1">
        <v>0</v>
      </c>
      <c r="J312" s="1">
        <v>0</v>
      </c>
      <c r="K312" s="1">
        <v>0</v>
      </c>
      <c r="M312" s="10" t="s">
        <v>45</v>
      </c>
      <c r="N312" s="11">
        <v>20000</v>
      </c>
      <c r="P312" s="10" t="s">
        <v>46</v>
      </c>
      <c r="Q312" s="11">
        <f>SUM(P340,N311:N313,N315:N318,N322:N324,N326:N331,N333,N335:N337)</f>
        <v>16126183.398209965</v>
      </c>
    </row>
    <row r="313" spans="1:17" x14ac:dyDescent="0.25">
      <c r="A313" s="46"/>
      <c r="B313" s="3" t="s">
        <v>30</v>
      </c>
      <c r="E313" s="1" t="s">
        <v>23</v>
      </c>
      <c r="F313" s="17">
        <v>7</v>
      </c>
      <c r="G313" s="18">
        <v>1100000</v>
      </c>
      <c r="M313" s="10" t="s">
        <v>49</v>
      </c>
      <c r="N313" s="11">
        <f>C317*1.4</f>
        <v>4839375.3314648429</v>
      </c>
      <c r="P313" s="10" t="s">
        <v>50</v>
      </c>
      <c r="Q313" s="11">
        <f>(C306+C307)*J320</f>
        <v>5960338.8700000001</v>
      </c>
    </row>
    <row r="314" spans="1:17" x14ac:dyDescent="0.25">
      <c r="A314" s="46"/>
      <c r="B314" s="1" t="s">
        <v>34</v>
      </c>
      <c r="C314" s="18">
        <v>3456693</v>
      </c>
      <c r="E314" s="1" t="s">
        <v>27</v>
      </c>
      <c r="F314" s="17">
        <v>7</v>
      </c>
      <c r="G314" s="18">
        <v>1100000</v>
      </c>
      <c r="I314" s="3" t="s">
        <v>124</v>
      </c>
      <c r="M314" s="10" t="s">
        <v>53</v>
      </c>
      <c r="N314" s="11">
        <f>C309*C326</f>
        <v>6065367.9366284404</v>
      </c>
      <c r="P314" s="10" t="s">
        <v>54</v>
      </c>
      <c r="Q314" s="11">
        <f>C305*500000</f>
        <v>0</v>
      </c>
    </row>
    <row r="315" spans="1:17" x14ac:dyDescent="0.25">
      <c r="A315" s="46"/>
      <c r="B315" s="1" t="s">
        <v>41</v>
      </c>
      <c r="C315" s="18">
        <v>1200000</v>
      </c>
      <c r="E315" s="1" t="s">
        <v>29</v>
      </c>
      <c r="F315" s="17">
        <v>7</v>
      </c>
      <c r="G315" s="18">
        <v>1100000</v>
      </c>
      <c r="I315" s="1" t="s">
        <v>33</v>
      </c>
      <c r="J315" s="18">
        <v>0</v>
      </c>
      <c r="M315" s="10" t="s">
        <v>125</v>
      </c>
      <c r="N315" s="11">
        <f>IF(C306=0,0,IF(C306&lt;=500000,40000,IF(C306&lt;=1000000,80000,IF(C306&lt;=1500000,120000,IF(C306&lt;=2000000,160000,IF(C306&gt;2000000,200000))))))</f>
        <v>200000</v>
      </c>
      <c r="P315" s="10" t="s">
        <v>57</v>
      </c>
      <c r="Q315" s="11">
        <f>J316</f>
        <v>0</v>
      </c>
    </row>
    <row r="316" spans="1:17" x14ac:dyDescent="0.25">
      <c r="A316" s="46"/>
      <c r="B316" s="5" t="s">
        <v>126</v>
      </c>
      <c r="E316" s="1" t="s">
        <v>31</v>
      </c>
      <c r="F316" s="17">
        <v>7</v>
      </c>
      <c r="G316" s="18">
        <v>1100000</v>
      </c>
      <c r="I316" s="1" t="s">
        <v>57</v>
      </c>
      <c r="J316" s="17">
        <v>0</v>
      </c>
      <c r="M316" s="10" t="s">
        <v>60</v>
      </c>
      <c r="N316" s="11">
        <f>1*C307</f>
        <v>0</v>
      </c>
      <c r="P316" s="10" t="s">
        <v>61</v>
      </c>
      <c r="Q316" s="11">
        <f>J317</f>
        <v>2000000</v>
      </c>
    </row>
    <row r="317" spans="1:17" x14ac:dyDescent="0.25">
      <c r="A317" s="46"/>
      <c r="B317" s="1" t="s">
        <v>127</v>
      </c>
      <c r="C317" s="27">
        <f>C275</f>
        <v>3456696.665332031</v>
      </c>
      <c r="I317" s="1" t="s">
        <v>61</v>
      </c>
      <c r="J317" s="17">
        <v>2000000</v>
      </c>
      <c r="M317" s="10" t="s">
        <v>63</v>
      </c>
      <c r="N317" s="11">
        <f>C321*12000</f>
        <v>300000</v>
      </c>
      <c r="P317" s="10"/>
      <c r="Q317" s="11"/>
    </row>
    <row r="318" spans="1:17" x14ac:dyDescent="0.25">
      <c r="A318" s="46"/>
      <c r="B318" s="1" t="s">
        <v>55</v>
      </c>
      <c r="C318" s="27">
        <f>C317*0.975+C305*150000</f>
        <v>3370279.24869873</v>
      </c>
      <c r="M318" s="10" t="s">
        <v>65</v>
      </c>
      <c r="N318" s="11">
        <f>C305*100000</f>
        <v>0</v>
      </c>
      <c r="P318" s="10" t="s">
        <v>66</v>
      </c>
      <c r="Q318" s="11">
        <f>SUM(Q312:Q316)</f>
        <v>24086522.268209964</v>
      </c>
    </row>
    <row r="319" spans="1:17" x14ac:dyDescent="0.25">
      <c r="A319" s="46"/>
      <c r="E319" s="3" t="s">
        <v>9</v>
      </c>
      <c r="I319" s="3" t="s">
        <v>44</v>
      </c>
      <c r="M319" s="10" t="s">
        <v>67</v>
      </c>
      <c r="N319" s="11">
        <f>Q287*0.025</f>
        <v>288058.05544433597</v>
      </c>
      <c r="P319" s="10"/>
      <c r="Q319" s="11"/>
    </row>
    <row r="320" spans="1:17" x14ac:dyDescent="0.25">
      <c r="A320" s="46"/>
      <c r="B320" s="5" t="s">
        <v>128</v>
      </c>
      <c r="F320" s="1" t="s">
        <v>14</v>
      </c>
      <c r="G320" s="1" t="s">
        <v>15</v>
      </c>
      <c r="I320" s="1" t="s">
        <v>48</v>
      </c>
      <c r="J320" s="17">
        <v>1.31</v>
      </c>
      <c r="M320" s="10" t="s">
        <v>68</v>
      </c>
      <c r="N320" s="11">
        <f>Q286-Q329</f>
        <v>-93680</v>
      </c>
      <c r="P320" s="9" t="s">
        <v>69</v>
      </c>
      <c r="Q320" s="11">
        <f>Q310-Q318</f>
        <v>-53611.268209964037</v>
      </c>
    </row>
    <row r="321" spans="1:19" x14ac:dyDescent="0.25">
      <c r="A321" s="46"/>
      <c r="B321" s="1" t="s">
        <v>129</v>
      </c>
      <c r="C321" s="27">
        <f>C279</f>
        <v>25</v>
      </c>
      <c r="E321" s="1" t="s">
        <v>22</v>
      </c>
      <c r="F321" s="17">
        <f>C305*3</f>
        <v>0</v>
      </c>
      <c r="G321" s="1">
        <v>0</v>
      </c>
      <c r="I321" s="1" t="s">
        <v>52</v>
      </c>
      <c r="J321" s="17">
        <v>0</v>
      </c>
      <c r="M321" s="10" t="s">
        <v>70</v>
      </c>
      <c r="N321" s="2"/>
      <c r="P321" s="10"/>
      <c r="Q321" s="11"/>
    </row>
    <row r="322" spans="1:19" x14ac:dyDescent="0.25">
      <c r="A322" s="46"/>
      <c r="B322" s="1" t="s">
        <v>51</v>
      </c>
      <c r="C322" s="27">
        <f>C321+C305</f>
        <v>25</v>
      </c>
      <c r="E322" s="1" t="s">
        <v>23</v>
      </c>
      <c r="F322" s="17">
        <v>1</v>
      </c>
      <c r="G322" s="1">
        <v>0</v>
      </c>
      <c r="M322" s="10" t="s">
        <v>71</v>
      </c>
      <c r="N322" s="11">
        <f>G313+G314+G315+G316</f>
        <v>4400000</v>
      </c>
      <c r="P322" s="9" t="s">
        <v>72</v>
      </c>
      <c r="Q322" s="11">
        <f>IF(Q335="0",Q279+Q320,N307/2)</f>
        <v>12458755.731790036</v>
      </c>
    </row>
    <row r="323" spans="1:19" x14ac:dyDescent="0.25">
      <c r="A323" s="46"/>
      <c r="E323" s="1" t="s">
        <v>27</v>
      </c>
      <c r="F323" s="17">
        <v>1</v>
      </c>
      <c r="G323" s="1">
        <v>0</v>
      </c>
      <c r="I323" s="36" t="s">
        <v>10</v>
      </c>
      <c r="J323" s="36"/>
      <c r="K323" s="36"/>
      <c r="L323" s="37"/>
      <c r="M323" s="10" t="s">
        <v>73</v>
      </c>
      <c r="N323" s="11">
        <f>F306*0.4+F307*0.1+F308*0.4+F309*0.5</f>
        <v>1217040.5</v>
      </c>
    </row>
    <row r="324" spans="1:19" x14ac:dyDescent="0.25">
      <c r="A324" s="46"/>
      <c r="B324" s="5" t="s">
        <v>59</v>
      </c>
      <c r="E324" s="1" t="s">
        <v>29</v>
      </c>
      <c r="F324" s="17">
        <v>1</v>
      </c>
      <c r="G324" s="1">
        <v>0</v>
      </c>
      <c r="J324" s="1" t="s">
        <v>16</v>
      </c>
      <c r="K324" s="1" t="s">
        <v>17</v>
      </c>
      <c r="L324" s="1" t="s">
        <v>18</v>
      </c>
      <c r="M324" s="10" t="s">
        <v>74</v>
      </c>
      <c r="N324" s="11">
        <f>IF(I306+J306+K306=0,"0",10000+I306*0.4+J306*0.7+K306*0.8)+IF(I308+J308+K308=0,"0",10000+I308*0.4+J308*0.4+K308*0.5)+IF(I310+J310+K310=0,"0",10000+I310*0.7+J310*0.4+K310*0.4)+IF(I312+J312+K312=0,"0",10000+I312*0.8+J312*0.5+K312*0.4)</f>
        <v>0</v>
      </c>
      <c r="P324" s="41" t="s">
        <v>75</v>
      </c>
      <c r="Q324" s="42"/>
    </row>
    <row r="325" spans="1:19" x14ac:dyDescent="0.25">
      <c r="A325" s="46"/>
      <c r="B325" s="1" t="s">
        <v>62</v>
      </c>
      <c r="C325" s="27">
        <f>Q337</f>
        <v>15287573.422622252</v>
      </c>
      <c r="E325" s="1" t="s">
        <v>31</v>
      </c>
      <c r="F325" s="17">
        <v>1</v>
      </c>
      <c r="G325" s="1">
        <v>0</v>
      </c>
      <c r="I325" s="1" t="s">
        <v>23</v>
      </c>
      <c r="J325" s="4">
        <f>F306</f>
        <v>824173</v>
      </c>
      <c r="K325" s="4">
        <v>785704</v>
      </c>
      <c r="L325" s="4">
        <f>J325-K325+L282</f>
        <v>150426</v>
      </c>
      <c r="M325" s="10" t="s">
        <v>76</v>
      </c>
      <c r="N325" s="2"/>
      <c r="P325" s="8" t="s">
        <v>19</v>
      </c>
      <c r="Q325" s="8" t="s">
        <v>20</v>
      </c>
    </row>
    <row r="326" spans="1:19" x14ac:dyDescent="0.25">
      <c r="A326" s="46"/>
      <c r="B326" s="1" t="s">
        <v>64</v>
      </c>
      <c r="C326" s="28">
        <f>(Q313+Q285)/(C306+C307+I287)</f>
        <v>1.2997568410625147</v>
      </c>
      <c r="I326" s="1" t="s">
        <v>27</v>
      </c>
      <c r="J326" s="4">
        <f>F307</f>
        <v>824173</v>
      </c>
      <c r="K326" s="4">
        <v>801944</v>
      </c>
      <c r="L326" s="4">
        <f t="shared" ref="L326:L328" si="12">J326-K326+L283</f>
        <v>125325</v>
      </c>
      <c r="M326" s="10" t="s">
        <v>77</v>
      </c>
      <c r="N326" s="11">
        <f>(F321+F322+F323+F324+F325)*500</f>
        <v>2000</v>
      </c>
      <c r="P326" s="9" t="s">
        <v>78</v>
      </c>
      <c r="Q326" s="2"/>
    </row>
    <row r="327" spans="1:19" x14ac:dyDescent="0.25">
      <c r="A327" s="46"/>
      <c r="E327" s="5" t="s">
        <v>131</v>
      </c>
      <c r="I327" s="1" t="s">
        <v>29</v>
      </c>
      <c r="J327" s="4">
        <f>F308</f>
        <v>992195</v>
      </c>
      <c r="K327" s="4">
        <v>992195</v>
      </c>
      <c r="L327" s="4">
        <f t="shared" si="12"/>
        <v>0</v>
      </c>
      <c r="M327" s="10" t="s">
        <v>79</v>
      </c>
      <c r="N327" s="11">
        <f>(F321+F322+F323+F324+F325)*1000</f>
        <v>4000</v>
      </c>
      <c r="P327" s="10" t="s">
        <v>80</v>
      </c>
      <c r="Q327" s="11">
        <f>Q322</f>
        <v>12458755.731790036</v>
      </c>
    </row>
    <row r="328" spans="1:19" x14ac:dyDescent="0.25">
      <c r="A328" s="46"/>
      <c r="E328" s="1" t="s">
        <v>132</v>
      </c>
      <c r="F328" s="29">
        <f>F285+F278</f>
        <v>75</v>
      </c>
      <c r="I328" s="1" t="s">
        <v>31</v>
      </c>
      <c r="J328" s="4">
        <f>F309</f>
        <v>816152</v>
      </c>
      <c r="K328" s="4">
        <v>853430</v>
      </c>
      <c r="L328" s="4">
        <f t="shared" si="12"/>
        <v>6170</v>
      </c>
      <c r="M328" s="10" t="s">
        <v>81</v>
      </c>
      <c r="N328" s="11">
        <f>4500*(F322+F323+F324+F325)+3750*F321+9000*F329+7500*F328</f>
        <v>940500</v>
      </c>
      <c r="P328" s="10" t="s">
        <v>82</v>
      </c>
      <c r="Q328" s="11">
        <f>I330*C326</f>
        <v>5913747.9890803983</v>
      </c>
    </row>
    <row r="329" spans="1:19" x14ac:dyDescent="0.25">
      <c r="A329" s="46"/>
      <c r="E329" s="1" t="s">
        <v>133</v>
      </c>
      <c r="F329" s="29">
        <f>F286+SUM(F279:F282)</f>
        <v>40</v>
      </c>
      <c r="I329" s="1" t="s">
        <v>35</v>
      </c>
      <c r="J329" s="1" t="s">
        <v>36</v>
      </c>
      <c r="K329" s="1" t="s">
        <v>37</v>
      </c>
      <c r="L329" s="1" t="s">
        <v>38</v>
      </c>
      <c r="M329" s="10" t="s">
        <v>83</v>
      </c>
      <c r="N329" s="11">
        <f>(G322+G323+G324+G325)*6000+G321*5000</f>
        <v>0</v>
      </c>
      <c r="P329" s="10" t="s">
        <v>84</v>
      </c>
      <c r="Q329" s="11">
        <f>4*L330</f>
        <v>1127684</v>
      </c>
    </row>
    <row r="330" spans="1:19" x14ac:dyDescent="0.25">
      <c r="A330" s="46"/>
      <c r="E330" s="1" t="s">
        <v>135</v>
      </c>
      <c r="F330" s="27">
        <f>C318/4</f>
        <v>842569.81217468251</v>
      </c>
      <c r="I330" s="27">
        <f>C306+C307-C314*1.35+I287</f>
        <v>4549887.9499999983</v>
      </c>
      <c r="J330" s="4">
        <f>SUM(J325:J328)</f>
        <v>3456693</v>
      </c>
      <c r="K330" s="4">
        <f>SUM(K325:K328)</f>
        <v>3433273</v>
      </c>
      <c r="L330" s="4">
        <f>SUM(L325:L328)</f>
        <v>281921</v>
      </c>
      <c r="M330" s="10" t="s">
        <v>85</v>
      </c>
      <c r="N330" s="11">
        <f>Q285*0.1</f>
        <v>601877.06242543249</v>
      </c>
      <c r="P330" s="10" t="s">
        <v>86</v>
      </c>
      <c r="Q330" s="11">
        <f>Q287*0.975+C305*500000</f>
        <v>11234264.162329102</v>
      </c>
    </row>
    <row r="331" spans="1:19" x14ac:dyDescent="0.25">
      <c r="A331" s="46"/>
      <c r="M331" s="10" t="s">
        <v>87</v>
      </c>
      <c r="N331" s="11">
        <f>L330*0.5</f>
        <v>140960.5</v>
      </c>
      <c r="P331" s="10" t="s">
        <v>88</v>
      </c>
      <c r="Q331" s="11">
        <f>SUM(Q327:Q330)</f>
        <v>30734451.883199535</v>
      </c>
    </row>
    <row r="332" spans="1:19" x14ac:dyDescent="0.25">
      <c r="A332" s="46"/>
      <c r="M332" s="10" t="s">
        <v>89</v>
      </c>
      <c r="N332" s="2"/>
      <c r="P332" s="9"/>
      <c r="Q332" s="11">
        <v>0</v>
      </c>
    </row>
    <row r="333" spans="1:19" x14ac:dyDescent="0.25">
      <c r="A333" s="46"/>
      <c r="M333" s="10" t="s">
        <v>90</v>
      </c>
      <c r="N333" s="11">
        <f>(J315+Q291-J316)*$F$2/4+Q292*$F$2</f>
        <v>242254.40535733514</v>
      </c>
      <c r="P333" s="9" t="s">
        <v>91</v>
      </c>
      <c r="Q333" s="11"/>
    </row>
    <row r="334" spans="1:19" x14ac:dyDescent="0.25">
      <c r="A334" s="46"/>
      <c r="M334" s="10" t="s">
        <v>92</v>
      </c>
      <c r="N334" s="11"/>
      <c r="P334" s="10" t="s">
        <v>93</v>
      </c>
      <c r="Q334" s="11">
        <f>J315+Q294-J316</f>
        <v>15287573.422622252</v>
      </c>
    </row>
    <row r="335" spans="1:19" x14ac:dyDescent="0.25">
      <c r="A335" s="46"/>
      <c r="M335" s="10" t="s">
        <v>1</v>
      </c>
      <c r="N335" s="11">
        <f>N307/(1+$B$2)*$B$2</f>
        <v>1360353.4528301887</v>
      </c>
      <c r="P335" s="10" t="s">
        <v>136</v>
      </c>
      <c r="Q335" s="14" t="str">
        <f>IF(Q336&lt;0,"0",Q336)</f>
        <v>0</v>
      </c>
    </row>
    <row r="336" spans="1:19" x14ac:dyDescent="0.25">
      <c r="A336" s="46"/>
      <c r="M336" s="10" t="s">
        <v>2</v>
      </c>
      <c r="N336" s="11">
        <f>N335*$C$2</f>
        <v>108828.2762264151</v>
      </c>
      <c r="P336" s="10" t="s">
        <v>137</v>
      </c>
      <c r="Q336" s="11">
        <f>Q318-(Q279+N307/2)-J315</f>
        <v>-442300.23179003596</v>
      </c>
      <c r="S336" s="1">
        <f>Q337/Q331</f>
        <v>0.49740836377104691</v>
      </c>
    </row>
    <row r="337" spans="1:17" x14ac:dyDescent="0.25">
      <c r="A337" s="46"/>
      <c r="M337" s="10" t="s">
        <v>138</v>
      </c>
      <c r="N337" s="14">
        <f>IF(N338&lt;0,"0",N338)</f>
        <v>548993.86990575306</v>
      </c>
      <c r="P337" s="10" t="s">
        <v>95</v>
      </c>
      <c r="Q337" s="11">
        <f>Q334+Q335</f>
        <v>15287573.422622252</v>
      </c>
    </row>
    <row r="338" spans="1:17" x14ac:dyDescent="0.25">
      <c r="A338" s="46"/>
      <c r="M338" s="10" t="s">
        <v>139</v>
      </c>
      <c r="N338" s="11">
        <f>(N307/(1+$B$2)-SUM(N322:N324,N311:N320,N326:N331,N333,N336))*$E$2</f>
        <v>548993.86990575306</v>
      </c>
      <c r="P338" s="10"/>
      <c r="Q338" s="11">
        <v>0</v>
      </c>
    </row>
    <row r="339" spans="1:17" x14ac:dyDescent="0.25">
      <c r="A339" s="46"/>
      <c r="M339" s="10"/>
      <c r="N339" s="15"/>
      <c r="P339" s="9" t="s">
        <v>97</v>
      </c>
      <c r="Q339" s="11">
        <f>SUM(Q327:Q330)-Q335-Q334</f>
        <v>15446878.460577283</v>
      </c>
    </row>
    <row r="340" spans="1:17" x14ac:dyDescent="0.25">
      <c r="A340" s="46"/>
      <c r="M340" s="10" t="s">
        <v>98</v>
      </c>
      <c r="N340" s="11">
        <f>SUM(N322:N324,N311:N320,N326:N331,N333,N335:N337)</f>
        <v>22385929.390282743</v>
      </c>
    </row>
    <row r="341" spans="1:17" x14ac:dyDescent="0.25">
      <c r="A341" s="46"/>
      <c r="M341" s="9" t="s">
        <v>99</v>
      </c>
      <c r="N341" s="11">
        <f>N307-N340</f>
        <v>1646981.6097172573</v>
      </c>
    </row>
    <row r="347" spans="1:17" ht="14.55" customHeight="1" x14ac:dyDescent="0.25">
      <c r="A347" s="46" t="s">
        <v>147</v>
      </c>
      <c r="B347" s="3" t="s">
        <v>8</v>
      </c>
      <c r="E347" s="3" t="s">
        <v>101</v>
      </c>
      <c r="F347" s="39" t="s">
        <v>102</v>
      </c>
      <c r="G347" s="40"/>
      <c r="H347" s="40"/>
      <c r="I347" s="12" t="s">
        <v>103</v>
      </c>
      <c r="M347" s="41" t="s">
        <v>11</v>
      </c>
      <c r="N347" s="42"/>
      <c r="P347" s="41" t="s">
        <v>12</v>
      </c>
      <c r="Q347" s="42"/>
    </row>
    <row r="348" spans="1:17" x14ac:dyDescent="0.25">
      <c r="A348" s="46"/>
      <c r="B348" s="1" t="s">
        <v>13</v>
      </c>
      <c r="C348" s="17">
        <v>0</v>
      </c>
      <c r="F348" s="17" t="s">
        <v>16</v>
      </c>
      <c r="G348" s="35">
        <f>C357-SUM(F349:F352)</f>
        <v>0</v>
      </c>
      <c r="I348" s="1" t="s">
        <v>104</v>
      </c>
      <c r="J348" s="1" t="s">
        <v>105</v>
      </c>
      <c r="K348" s="1" t="s">
        <v>106</v>
      </c>
      <c r="M348" s="8" t="s">
        <v>19</v>
      </c>
      <c r="N348" s="8" t="s">
        <v>20</v>
      </c>
      <c r="P348" s="8" t="s">
        <v>19</v>
      </c>
      <c r="Q348" s="8" t="s">
        <v>20</v>
      </c>
    </row>
    <row r="349" spans="1:17" x14ac:dyDescent="0.25">
      <c r="A349" s="46"/>
      <c r="B349" s="1" t="s">
        <v>21</v>
      </c>
      <c r="C349" s="18">
        <v>0</v>
      </c>
      <c r="E349" s="1" t="s">
        <v>23</v>
      </c>
      <c r="F349" s="18">
        <v>832133</v>
      </c>
      <c r="I349" s="1">
        <v>0</v>
      </c>
      <c r="J349" s="1">
        <v>0</v>
      </c>
      <c r="K349" s="1">
        <v>0</v>
      </c>
      <c r="M349" s="9" t="s">
        <v>24</v>
      </c>
      <c r="N349" s="2"/>
      <c r="P349" s="9" t="s">
        <v>25</v>
      </c>
      <c r="Q349" s="11"/>
    </row>
    <row r="350" spans="1:17" x14ac:dyDescent="0.25">
      <c r="A350" s="46"/>
      <c r="B350" s="1" t="s">
        <v>26</v>
      </c>
      <c r="C350" s="18">
        <v>0</v>
      </c>
      <c r="E350" s="1" t="s">
        <v>27</v>
      </c>
      <c r="F350" s="18">
        <v>822046</v>
      </c>
      <c r="I350" s="1" t="s">
        <v>107</v>
      </c>
      <c r="J350" s="1" t="s">
        <v>108</v>
      </c>
      <c r="K350" s="1" t="s">
        <v>109</v>
      </c>
      <c r="M350" s="10" t="s">
        <v>28</v>
      </c>
      <c r="N350" s="13">
        <f>F356*K368+F357*K369+F358*K370+F359*K371</f>
        <v>23374054.399999999</v>
      </c>
      <c r="P350" s="10" t="s">
        <v>28</v>
      </c>
      <c r="Q350" s="11">
        <f>N350</f>
        <v>23374054.399999999</v>
      </c>
    </row>
    <row r="351" spans="1:17" x14ac:dyDescent="0.25">
      <c r="A351" s="46"/>
      <c r="B351" s="5" t="s">
        <v>110</v>
      </c>
      <c r="E351" s="1" t="s">
        <v>29</v>
      </c>
      <c r="F351" s="18">
        <v>928050</v>
      </c>
      <c r="I351" s="1">
        <v>0</v>
      </c>
      <c r="J351" s="1">
        <v>0</v>
      </c>
      <c r="K351" s="1">
        <v>0</v>
      </c>
      <c r="M351" s="9"/>
      <c r="N351" s="2"/>
      <c r="P351" s="9"/>
      <c r="Q351" s="11"/>
    </row>
    <row r="352" spans="1:17" x14ac:dyDescent="0.25">
      <c r="A352" s="46"/>
      <c r="B352" s="1" t="s">
        <v>111</v>
      </c>
      <c r="C352" s="31">
        <f>C310</f>
        <v>4549876.9857432861</v>
      </c>
      <c r="E352" s="1" t="s">
        <v>31</v>
      </c>
      <c r="F352" s="18">
        <v>788046</v>
      </c>
      <c r="I352" s="1" t="s">
        <v>112</v>
      </c>
      <c r="J352" s="1" t="s">
        <v>113</v>
      </c>
      <c r="K352" s="1" t="s">
        <v>114</v>
      </c>
      <c r="M352" s="9" t="s">
        <v>32</v>
      </c>
      <c r="N352" s="2"/>
      <c r="P352" s="10" t="s">
        <v>33</v>
      </c>
      <c r="Q352" s="11">
        <f>J358</f>
        <v>0</v>
      </c>
    </row>
    <row r="353" spans="1:17" x14ac:dyDescent="0.25">
      <c r="A353" s="46"/>
      <c r="B353" s="1" t="s">
        <v>58</v>
      </c>
      <c r="C353" s="31">
        <f>C361*1.35</f>
        <v>4436130.0610997034</v>
      </c>
      <c r="E353" s="5" t="s">
        <v>115</v>
      </c>
      <c r="F353" s="32" t="s">
        <v>116</v>
      </c>
      <c r="G353" s="31">
        <f>C357/4</f>
        <v>842568.75</v>
      </c>
      <c r="I353" s="1">
        <v>0</v>
      </c>
      <c r="J353" s="1">
        <v>0</v>
      </c>
      <c r="K353" s="1">
        <v>0</v>
      </c>
      <c r="M353" s="10" t="s">
        <v>39</v>
      </c>
      <c r="N353" s="2"/>
      <c r="P353" s="10" t="s">
        <v>40</v>
      </c>
      <c r="Q353" s="11">
        <f>Q350+Q352</f>
        <v>23374054.399999999</v>
      </c>
    </row>
    <row r="354" spans="1:17" x14ac:dyDescent="0.25">
      <c r="A354" s="46"/>
      <c r="B354" s="1" t="s">
        <v>117</v>
      </c>
      <c r="C354" s="31">
        <f>I330</f>
        <v>4549887.9499999983</v>
      </c>
      <c r="E354" s="3" t="s">
        <v>118</v>
      </c>
      <c r="I354" s="1" t="s">
        <v>119</v>
      </c>
      <c r="J354" s="1" t="s">
        <v>120</v>
      </c>
      <c r="K354" s="1" t="s">
        <v>121</v>
      </c>
      <c r="M354" s="10" t="s">
        <v>42</v>
      </c>
      <c r="N354" s="11">
        <f>C358</f>
        <v>0</v>
      </c>
      <c r="P354" s="9" t="s">
        <v>43</v>
      </c>
      <c r="Q354" s="11"/>
    </row>
    <row r="355" spans="1:17" x14ac:dyDescent="0.25">
      <c r="A355" s="46"/>
      <c r="F355" s="1" t="s">
        <v>141</v>
      </c>
      <c r="G355" s="1" t="s">
        <v>123</v>
      </c>
      <c r="I355" s="1">
        <v>0</v>
      </c>
      <c r="J355" s="1">
        <v>0</v>
      </c>
      <c r="K355" s="1">
        <v>0</v>
      </c>
      <c r="M355" s="10" t="s">
        <v>45</v>
      </c>
      <c r="N355" s="11">
        <v>20000</v>
      </c>
      <c r="P355" s="10" t="s">
        <v>46</v>
      </c>
      <c r="Q355" s="11">
        <f>SUM(P383,N354:N356,N358:N361,N365:N367,N369:N374,N376,N378:N380)</f>
        <v>14083033.468996739</v>
      </c>
    </row>
    <row r="356" spans="1:17" x14ac:dyDescent="0.25">
      <c r="A356" s="46"/>
      <c r="B356" s="3" t="s">
        <v>30</v>
      </c>
      <c r="E356" s="1" t="s">
        <v>23</v>
      </c>
      <c r="F356" s="17">
        <v>6.4</v>
      </c>
      <c r="G356" s="18">
        <v>1000000</v>
      </c>
      <c r="M356" s="10" t="s">
        <v>49</v>
      </c>
      <c r="N356" s="11">
        <f>C360*1.4</f>
        <v>4718390.9481782215</v>
      </c>
      <c r="P356" s="10" t="s">
        <v>50</v>
      </c>
      <c r="Q356" s="11">
        <f>(C349+C350)*J363</f>
        <v>0</v>
      </c>
    </row>
    <row r="357" spans="1:17" x14ac:dyDescent="0.25">
      <c r="A357" s="46"/>
      <c r="B357" s="1" t="s">
        <v>34</v>
      </c>
      <c r="C357" s="18">
        <v>3370275</v>
      </c>
      <c r="E357" s="1" t="s">
        <v>27</v>
      </c>
      <c r="F357" s="17">
        <v>6.4</v>
      </c>
      <c r="G357" s="18">
        <v>1000000</v>
      </c>
      <c r="I357" s="3" t="s">
        <v>124</v>
      </c>
      <c r="M357" s="10" t="s">
        <v>53</v>
      </c>
      <c r="N357" s="11">
        <f>C352*C369</f>
        <v>5913733.7382127298</v>
      </c>
      <c r="P357" s="10" t="s">
        <v>54</v>
      </c>
      <c r="Q357" s="11">
        <f>C348*500000</f>
        <v>0</v>
      </c>
    </row>
    <row r="358" spans="1:17" x14ac:dyDescent="0.25">
      <c r="A358" s="46"/>
      <c r="B358" s="1" t="s">
        <v>41</v>
      </c>
      <c r="C358" s="18">
        <v>0</v>
      </c>
      <c r="E358" s="1" t="s">
        <v>29</v>
      </c>
      <c r="F358" s="17">
        <v>6.4</v>
      </c>
      <c r="G358" s="18">
        <v>1000000</v>
      </c>
      <c r="I358" s="1" t="s">
        <v>33</v>
      </c>
      <c r="J358" s="18">
        <v>0</v>
      </c>
      <c r="M358" s="10" t="s">
        <v>125</v>
      </c>
      <c r="N358" s="11">
        <f>IF(C349=0,0,IF(C349&lt;=500000,40000,IF(C349&lt;=1000000,80000,IF(C349&lt;=1500000,120000,IF(C349&lt;=2000000,160000,IF(C349&gt;2000000,200000))))))</f>
        <v>0</v>
      </c>
      <c r="P358" s="10" t="s">
        <v>57</v>
      </c>
      <c r="Q358" s="11">
        <f>J359</f>
        <v>0</v>
      </c>
    </row>
    <row r="359" spans="1:17" x14ac:dyDescent="0.25">
      <c r="A359" s="46"/>
      <c r="B359" s="5" t="s">
        <v>126</v>
      </c>
      <c r="E359" s="1" t="s">
        <v>31</v>
      </c>
      <c r="F359" s="17">
        <v>6.4</v>
      </c>
      <c r="G359" s="18">
        <v>1000000</v>
      </c>
      <c r="I359" s="1" t="s">
        <v>57</v>
      </c>
      <c r="J359" s="17">
        <v>0</v>
      </c>
      <c r="M359" s="10" t="s">
        <v>60</v>
      </c>
      <c r="N359" s="11">
        <f>1*C350</f>
        <v>0</v>
      </c>
      <c r="P359" s="10" t="s">
        <v>61</v>
      </c>
      <c r="Q359" s="11">
        <f>J360</f>
        <v>0</v>
      </c>
    </row>
    <row r="360" spans="1:17" x14ac:dyDescent="0.25">
      <c r="A360" s="46"/>
      <c r="B360" s="1" t="s">
        <v>127</v>
      </c>
      <c r="C360" s="31">
        <f>C318</f>
        <v>3370279.24869873</v>
      </c>
      <c r="I360" s="1" t="s">
        <v>61</v>
      </c>
      <c r="J360" s="17">
        <v>0</v>
      </c>
      <c r="M360" s="10" t="s">
        <v>63</v>
      </c>
      <c r="N360" s="11">
        <f>C364*12000</f>
        <v>300000</v>
      </c>
      <c r="P360" s="10"/>
      <c r="Q360" s="11"/>
    </row>
    <row r="361" spans="1:17" x14ac:dyDescent="0.25">
      <c r="A361" s="46"/>
      <c r="B361" s="1" t="s">
        <v>55</v>
      </c>
      <c r="C361" s="31">
        <f>C360*0.975+C348*150000</f>
        <v>3286022.2674812619</v>
      </c>
      <c r="M361" s="10" t="s">
        <v>65</v>
      </c>
      <c r="N361" s="11">
        <f>C348*100000</f>
        <v>0</v>
      </c>
      <c r="P361" s="10" t="s">
        <v>66</v>
      </c>
      <c r="Q361" s="11">
        <f>SUM(Q355:Q359)</f>
        <v>14083033.468996739</v>
      </c>
    </row>
    <row r="362" spans="1:17" x14ac:dyDescent="0.25">
      <c r="A362" s="46"/>
      <c r="E362" s="3" t="s">
        <v>9</v>
      </c>
      <c r="I362" s="3" t="s">
        <v>44</v>
      </c>
      <c r="M362" s="10" t="s">
        <v>67</v>
      </c>
      <c r="N362" s="11">
        <f>Q330*0.025</f>
        <v>280856.60405822756</v>
      </c>
      <c r="P362" s="10"/>
      <c r="Q362" s="11"/>
    </row>
    <row r="363" spans="1:17" x14ac:dyDescent="0.25">
      <c r="A363" s="46"/>
      <c r="B363" s="5" t="s">
        <v>128</v>
      </c>
      <c r="F363" s="1" t="s">
        <v>14</v>
      </c>
      <c r="G363" s="1" t="s">
        <v>15</v>
      </c>
      <c r="I363" s="1" t="s">
        <v>48</v>
      </c>
      <c r="J363" s="17">
        <f>J321</f>
        <v>0</v>
      </c>
      <c r="M363" s="10" t="s">
        <v>68</v>
      </c>
      <c r="N363" s="11">
        <f>Q329-Q372</f>
        <v>1127684</v>
      </c>
      <c r="P363" s="9" t="s">
        <v>69</v>
      </c>
      <c r="Q363" s="11">
        <f>Q353-Q361</f>
        <v>9291020.9310032595</v>
      </c>
    </row>
    <row r="364" spans="1:17" x14ac:dyDescent="0.25">
      <c r="A364" s="46"/>
      <c r="B364" s="1" t="s">
        <v>129</v>
      </c>
      <c r="C364" s="31">
        <f>C322</f>
        <v>25</v>
      </c>
      <c r="E364" s="1" t="s">
        <v>22</v>
      </c>
      <c r="F364" s="17">
        <f>C348*3</f>
        <v>0</v>
      </c>
      <c r="G364" s="1">
        <v>0</v>
      </c>
      <c r="I364" s="1" t="s">
        <v>52</v>
      </c>
      <c r="J364" s="17">
        <v>0</v>
      </c>
      <c r="M364" s="10" t="s">
        <v>70</v>
      </c>
      <c r="N364" s="2"/>
      <c r="P364" s="10"/>
      <c r="Q364" s="11"/>
    </row>
    <row r="365" spans="1:17" x14ac:dyDescent="0.25">
      <c r="A365" s="46"/>
      <c r="B365" s="1" t="s">
        <v>51</v>
      </c>
      <c r="C365" s="31">
        <f>C364+C348</f>
        <v>25</v>
      </c>
      <c r="E365" s="1" t="s">
        <v>23</v>
      </c>
      <c r="F365" s="17">
        <v>0</v>
      </c>
      <c r="G365" s="1">
        <v>0</v>
      </c>
      <c r="M365" s="10" t="s">
        <v>71</v>
      </c>
      <c r="N365" s="11">
        <f>G356+G357+G358+G359</f>
        <v>4000000</v>
      </c>
      <c r="P365" s="9" t="s">
        <v>72</v>
      </c>
      <c r="Q365" s="11">
        <f>IF(Q378="0",Q322+Q363,N350/2)</f>
        <v>21749776.662793294</v>
      </c>
    </row>
    <row r="366" spans="1:17" x14ac:dyDescent="0.25">
      <c r="A366" s="46"/>
      <c r="E366" s="1" t="s">
        <v>27</v>
      </c>
      <c r="F366" s="17">
        <v>0</v>
      </c>
      <c r="G366" s="1">
        <v>0</v>
      </c>
      <c r="I366" s="36" t="s">
        <v>10</v>
      </c>
      <c r="J366" s="36"/>
      <c r="K366" s="36"/>
      <c r="L366" s="37"/>
      <c r="M366" s="10" t="s">
        <v>73</v>
      </c>
      <c r="N366" s="11">
        <f>F349*0.4+F350*0.1+F351*0.4+F352*0.5</f>
        <v>1180300.8</v>
      </c>
    </row>
    <row r="367" spans="1:17" x14ac:dyDescent="0.25">
      <c r="A367" s="46"/>
      <c r="B367" s="5" t="s">
        <v>59</v>
      </c>
      <c r="E367" s="1" t="s">
        <v>29</v>
      </c>
      <c r="F367" s="17">
        <v>0</v>
      </c>
      <c r="G367" s="1">
        <v>0</v>
      </c>
      <c r="J367" s="1" t="s">
        <v>16</v>
      </c>
      <c r="K367" s="1" t="s">
        <v>17</v>
      </c>
      <c r="L367" s="1" t="s">
        <v>18</v>
      </c>
      <c r="M367" s="10" t="s">
        <v>74</v>
      </c>
      <c r="N367" s="11">
        <f>IF(I349+J349+K349=0,"0",10000+I349*0.4+J349*0.7+K349*0.8)+IF(I351+J351+K351=0,"0",10000+I351*0.4+J351*0.4+K351*0.5)+IF(I353+J353+K353=0,"0",10000+I353*0.7+J353*0.4+K353*0.4)+IF(I355+J355+K355=0,"0",10000+I355*0.8+J355*0.5+K355*0.4)</f>
        <v>0</v>
      </c>
      <c r="P367" s="41" t="s">
        <v>75</v>
      </c>
      <c r="Q367" s="42"/>
    </row>
    <row r="368" spans="1:17" x14ac:dyDescent="0.25">
      <c r="A368" s="46"/>
      <c r="B368" s="1" t="s">
        <v>62</v>
      </c>
      <c r="C368" s="31">
        <f>Q380</f>
        <v>15287573.422622252</v>
      </c>
      <c r="E368" s="1" t="s">
        <v>31</v>
      </c>
      <c r="F368" s="17">
        <v>0</v>
      </c>
      <c r="G368" s="1">
        <v>0</v>
      </c>
      <c r="I368" s="1" t="s">
        <v>23</v>
      </c>
      <c r="J368" s="4">
        <f>F349</f>
        <v>832133</v>
      </c>
      <c r="K368" s="4">
        <f>J368+150426</f>
        <v>982559</v>
      </c>
      <c r="L368" s="4">
        <f>J368-K368+L325</f>
        <v>0</v>
      </c>
      <c r="M368" s="10" t="s">
        <v>76</v>
      </c>
      <c r="N368" s="2"/>
      <c r="P368" s="8" t="s">
        <v>19</v>
      </c>
      <c r="Q368" s="8" t="s">
        <v>20</v>
      </c>
    </row>
    <row r="369" spans="1:19" x14ac:dyDescent="0.25">
      <c r="A369" s="46"/>
      <c r="B369" s="1" t="s">
        <v>64</v>
      </c>
      <c r="C369" s="33">
        <f>(Q356+Q328)/(C349+C350+I330)</f>
        <v>1.2997568410625147</v>
      </c>
      <c r="I369" s="1" t="s">
        <v>27</v>
      </c>
      <c r="J369" s="4">
        <f>F350</f>
        <v>822046</v>
      </c>
      <c r="K369" s="4">
        <f>J369+125325</f>
        <v>947371</v>
      </c>
      <c r="L369" s="4">
        <f t="shared" ref="L369:L371" si="13">J369-K369+L326</f>
        <v>0</v>
      </c>
      <c r="M369" s="10" t="s">
        <v>77</v>
      </c>
      <c r="N369" s="11">
        <f>(F364+F365+F366+F367+F368)*500</f>
        <v>0</v>
      </c>
      <c r="P369" s="9" t="s">
        <v>78</v>
      </c>
      <c r="Q369" s="2"/>
    </row>
    <row r="370" spans="1:19" x14ac:dyDescent="0.25">
      <c r="A370" s="46"/>
      <c r="E370" s="5" t="s">
        <v>131</v>
      </c>
      <c r="I370" s="1" t="s">
        <v>29</v>
      </c>
      <c r="J370" s="4">
        <f>F351</f>
        <v>928050</v>
      </c>
      <c r="K370" s="4">
        <f t="shared" ref="K369:K371" si="14">J370</f>
        <v>928050</v>
      </c>
      <c r="L370" s="4">
        <f t="shared" si="13"/>
        <v>0</v>
      </c>
      <c r="M370" s="10" t="s">
        <v>79</v>
      </c>
      <c r="N370" s="11">
        <f>(F364+F365+F366+F367+F368)*1000</f>
        <v>0</v>
      </c>
      <c r="P370" s="10" t="s">
        <v>80</v>
      </c>
      <c r="Q370" s="11">
        <f>Q365</f>
        <v>21749776.662793294</v>
      </c>
    </row>
    <row r="371" spans="1:19" x14ac:dyDescent="0.25">
      <c r="A371" s="46"/>
      <c r="E371" s="1" t="s">
        <v>132</v>
      </c>
      <c r="F371" s="34">
        <f>F328+F321</f>
        <v>75</v>
      </c>
      <c r="I371" s="1" t="s">
        <v>31</v>
      </c>
      <c r="J371" s="4">
        <f>F352</f>
        <v>788046</v>
      </c>
      <c r="K371" s="4">
        <f>J371+6170</f>
        <v>794216</v>
      </c>
      <c r="L371" s="4">
        <f t="shared" si="13"/>
        <v>0</v>
      </c>
      <c r="M371" s="10" t="s">
        <v>81</v>
      </c>
      <c r="N371" s="11">
        <f>4500*(F365+F366+F367+F368)+3750*F364+9000*F372+7500*F371</f>
        <v>958500</v>
      </c>
      <c r="P371" s="10" t="s">
        <v>82</v>
      </c>
      <c r="Q371" s="11">
        <f>I373*C369</f>
        <v>21.705939243565108</v>
      </c>
    </row>
    <row r="372" spans="1:19" x14ac:dyDescent="0.25">
      <c r="A372" s="46"/>
      <c r="E372" s="1" t="s">
        <v>133</v>
      </c>
      <c r="F372" s="34">
        <f>F329+SUM(F322:F325)</f>
        <v>44</v>
      </c>
      <c r="I372" s="1" t="s">
        <v>35</v>
      </c>
      <c r="J372" s="1" t="s">
        <v>36</v>
      </c>
      <c r="K372" s="1" t="s">
        <v>37</v>
      </c>
      <c r="L372" s="1" t="s">
        <v>38</v>
      </c>
      <c r="M372" s="10" t="s">
        <v>83</v>
      </c>
      <c r="N372" s="11">
        <f>(G365+G366+G367+G368)*6000+G364*5000</f>
        <v>0</v>
      </c>
      <c r="P372" s="10" t="s">
        <v>84</v>
      </c>
      <c r="Q372" s="11">
        <f>4*L373</f>
        <v>0</v>
      </c>
    </row>
    <row r="373" spans="1:19" x14ac:dyDescent="0.25">
      <c r="A373" s="46"/>
      <c r="E373" s="1" t="s">
        <v>135</v>
      </c>
      <c r="F373" s="31">
        <f>C361/4</f>
        <v>821505.56687031547</v>
      </c>
      <c r="I373" s="31">
        <f>C349+C350-C357*1.35+I330</f>
        <v>16.699999998323619</v>
      </c>
      <c r="J373" s="4">
        <f>SUM(J368:J371)</f>
        <v>3370275</v>
      </c>
      <c r="K373" s="4">
        <f>SUM(K368:K371)</f>
        <v>3652196</v>
      </c>
      <c r="L373" s="4">
        <f>SUM(L368:L371)</f>
        <v>0</v>
      </c>
      <c r="M373" s="10" t="s">
        <v>85</v>
      </c>
      <c r="N373" s="11">
        <f>Q328*0.1</f>
        <v>591374.79890803981</v>
      </c>
      <c r="P373" s="10" t="s">
        <v>86</v>
      </c>
      <c r="Q373" s="11">
        <f>Q330*0.975+C348*500000</f>
        <v>10953407.558270874</v>
      </c>
    </row>
    <row r="374" spans="1:19" x14ac:dyDescent="0.25">
      <c r="A374" s="46"/>
      <c r="M374" s="10" t="s">
        <v>87</v>
      </c>
      <c r="N374" s="11">
        <f>L373*0.5</f>
        <v>0</v>
      </c>
      <c r="P374" s="10" t="s">
        <v>88</v>
      </c>
      <c r="Q374" s="11">
        <f>SUM(Q370:Q373)</f>
        <v>32703205.927003413</v>
      </c>
    </row>
    <row r="375" spans="1:19" x14ac:dyDescent="0.25">
      <c r="A375" s="46"/>
      <c r="M375" s="10" t="s">
        <v>89</v>
      </c>
      <c r="N375" s="2"/>
      <c r="P375" s="9"/>
      <c r="Q375" s="11">
        <v>0</v>
      </c>
    </row>
    <row r="376" spans="1:19" x14ac:dyDescent="0.25">
      <c r="A376" s="46"/>
      <c r="M376" s="10" t="s">
        <v>90</v>
      </c>
      <c r="N376" s="11">
        <f>(J358+Q334-J359)*$F$2/4+Q335*$F$2</f>
        <v>229313.60133933378</v>
      </c>
      <c r="P376" s="9" t="s">
        <v>91</v>
      </c>
      <c r="Q376" s="11"/>
    </row>
    <row r="377" spans="1:19" x14ac:dyDescent="0.25">
      <c r="A377" s="46"/>
      <c r="M377" s="10" t="s">
        <v>92</v>
      </c>
      <c r="N377" s="11"/>
      <c r="P377" s="10" t="s">
        <v>93</v>
      </c>
      <c r="Q377" s="11">
        <f>J358+Q337-J359</f>
        <v>15287573.422622252</v>
      </c>
    </row>
    <row r="378" spans="1:19" x14ac:dyDescent="0.25">
      <c r="A378" s="46"/>
      <c r="M378" s="10" t="s">
        <v>1</v>
      </c>
      <c r="N378" s="11">
        <f>N350/(1+$B$2)*$B$2</f>
        <v>1323059.6830188676</v>
      </c>
      <c r="P378" s="10" t="s">
        <v>136</v>
      </c>
      <c r="Q378" s="14" t="str">
        <f>IF(Q379&lt;0,"0",Q379)</f>
        <v>0</v>
      </c>
    </row>
    <row r="379" spans="1:19" x14ac:dyDescent="0.25">
      <c r="A379" s="46"/>
      <c r="M379" s="10" t="s">
        <v>2</v>
      </c>
      <c r="N379" s="11">
        <f>N378*$C$2</f>
        <v>105844.77464150942</v>
      </c>
      <c r="P379" s="10" t="s">
        <v>137</v>
      </c>
      <c r="Q379" s="11">
        <f>Q361-(Q322+N350/2)-J358</f>
        <v>-10062749.462793296</v>
      </c>
      <c r="S379" s="1">
        <f>Q380/Q374</f>
        <v>0.46746406015194758</v>
      </c>
    </row>
    <row r="380" spans="1:19" x14ac:dyDescent="0.25">
      <c r="A380" s="46"/>
      <c r="M380" s="10" t="s">
        <v>138</v>
      </c>
      <c r="N380" s="14">
        <f>IF(N381&lt;0,"0",N381)</f>
        <v>656248.86291076615</v>
      </c>
      <c r="P380" s="10" t="s">
        <v>95</v>
      </c>
      <c r="Q380" s="11">
        <f>Q377+Q378</f>
        <v>15287573.422622252</v>
      </c>
    </row>
    <row r="381" spans="1:19" x14ac:dyDescent="0.25">
      <c r="A381" s="46"/>
      <c r="M381" s="10" t="s">
        <v>139</v>
      </c>
      <c r="N381" s="11">
        <f>(N350/(1+$B$2)-SUM(N365:N367,N354:N363,N369:N374,N376,N379))*$E$2</f>
        <v>656248.86291076615</v>
      </c>
      <c r="P381" s="10"/>
      <c r="Q381" s="11">
        <v>0</v>
      </c>
    </row>
    <row r="382" spans="1:19" x14ac:dyDescent="0.25">
      <c r="A382" s="46"/>
      <c r="M382" s="10"/>
      <c r="N382" s="15"/>
      <c r="P382" s="9" t="s">
        <v>97</v>
      </c>
      <c r="Q382" s="11">
        <f>SUM(Q370:Q373)-Q378-Q377</f>
        <v>17415632.504381161</v>
      </c>
    </row>
    <row r="383" spans="1:19" x14ac:dyDescent="0.25">
      <c r="A383" s="46"/>
      <c r="M383" s="10" t="s">
        <v>98</v>
      </c>
      <c r="N383" s="11">
        <f>SUM(N365:N367,N354:N363,N369:N374,N376,N378:N380)</f>
        <v>21405307.811267696</v>
      </c>
    </row>
    <row r="384" spans="1:19" x14ac:dyDescent="0.25">
      <c r="A384" s="46"/>
      <c r="M384" s="9" t="s">
        <v>99</v>
      </c>
      <c r="N384" s="11">
        <f>N350-N383</f>
        <v>1968746.5887323022</v>
      </c>
    </row>
  </sheetData>
  <protectedRanges>
    <protectedRange sqref="E76:F81 E33:F38 E119:F124 E89:F94 E162:F167 I208 E248:F253 E291:F296 E334:F339 E304:F309 E377:F382 E46:F51 E175:F180 E347:F352 K67:K70 E132:F137 F205:F210 E205:E206 E208:E210 E218:F223 E261:F266" name="区域1"/>
    <protectedRange sqref="I77:K83 I34:K41 I47:K54 I120:K126 I90:K97 I163:K169 I133:K140 I348:K355 I176:K183 I249:K255 I219:K226 I292:K298 I262:K269 I335:K341 I305:K312 I378:K384 J206:K212 I206:I207 I209:I212" name="区域1_1"/>
  </protectedRanges>
  <mergeCells count="55">
    <mergeCell ref="I366:L366"/>
    <mergeCell ref="P367:Q367"/>
    <mergeCell ref="A1:A2"/>
    <mergeCell ref="A3:A40"/>
    <mergeCell ref="A46:A83"/>
    <mergeCell ref="A89:A126"/>
    <mergeCell ref="A132:A169"/>
    <mergeCell ref="A175:A212"/>
    <mergeCell ref="A218:A255"/>
    <mergeCell ref="A261:A298"/>
    <mergeCell ref="A304:A341"/>
    <mergeCell ref="A347:A384"/>
    <mergeCell ref="I1:P2"/>
    <mergeCell ref="I323:L323"/>
    <mergeCell ref="P324:Q324"/>
    <mergeCell ref="F347:H347"/>
    <mergeCell ref="M347:N347"/>
    <mergeCell ref="P347:Q347"/>
    <mergeCell ref="I280:L280"/>
    <mergeCell ref="P281:Q281"/>
    <mergeCell ref="F304:H304"/>
    <mergeCell ref="M304:N304"/>
    <mergeCell ref="P304:Q304"/>
    <mergeCell ref="I237:L237"/>
    <mergeCell ref="P238:Q238"/>
    <mergeCell ref="F261:H261"/>
    <mergeCell ref="M261:N261"/>
    <mergeCell ref="P261:Q261"/>
    <mergeCell ref="I194:L194"/>
    <mergeCell ref="P195:Q195"/>
    <mergeCell ref="F218:H218"/>
    <mergeCell ref="M218:N218"/>
    <mergeCell ref="P218:Q218"/>
    <mergeCell ref="I151:L151"/>
    <mergeCell ref="P152:Q152"/>
    <mergeCell ref="F175:H175"/>
    <mergeCell ref="M175:N175"/>
    <mergeCell ref="P175:Q175"/>
    <mergeCell ref="I108:L108"/>
    <mergeCell ref="P109:Q109"/>
    <mergeCell ref="F132:H132"/>
    <mergeCell ref="M132:N132"/>
    <mergeCell ref="P132:Q132"/>
    <mergeCell ref="I65:L65"/>
    <mergeCell ref="P66:Q66"/>
    <mergeCell ref="F89:H89"/>
    <mergeCell ref="M89:N89"/>
    <mergeCell ref="P89:Q89"/>
    <mergeCell ref="I3:L3"/>
    <mergeCell ref="M3:N3"/>
    <mergeCell ref="P3:Q3"/>
    <mergeCell ref="P23:Q23"/>
    <mergeCell ref="F46:H46"/>
    <mergeCell ref="M46:N46"/>
    <mergeCell ref="P46:Q4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 Roronoa_</cp:lastModifiedBy>
  <dcterms:created xsi:type="dcterms:W3CDTF">2021-03-18T14:12:00Z</dcterms:created>
  <dcterms:modified xsi:type="dcterms:W3CDTF">2022-08-05T10:21:30Z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