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13_ncr:1_{9C865E2B-C7CA-4643-8883-DDA891ECEF9B}" xr6:coauthVersionLast="47" xr6:coauthVersionMax="47" xr10:uidLastSave="{00000000-0000-0000-0000-000000000000}"/>
  <bookViews>
    <workbookView xWindow="6132" yWindow="624" windowWidth="15684" windowHeight="10968" activeTab="1" xr2:uid="{00000000-000D-0000-FFFF-FFFF00000000}"/>
  </bookViews>
  <sheets>
    <sheet name="×× .××计算表" sheetId="2" r:id="rId1"/>
    <sheet name="Sheet1" sheetId="3" r:id="rId2"/>
  </sheets>
  <definedNames>
    <definedName name="_xlnm.Print_Area" localSheetId="0">'×× .××计算表'!$A$1:$D$325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表" name="表" connection="连接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3" l="1"/>
  <c r="F17" i="3" s="1"/>
  <c r="F15" i="3"/>
  <c r="E17" i="3"/>
  <c r="F8" i="3"/>
  <c r="B2" i="3"/>
  <c r="A8" i="3"/>
  <c r="B6" i="3" s="1"/>
  <c r="N40" i="2"/>
  <c r="N41" i="2"/>
  <c r="N42" i="2"/>
  <c r="N43" i="2"/>
  <c r="M40" i="2"/>
  <c r="O40" i="2"/>
  <c r="M41" i="2"/>
  <c r="O41" i="2"/>
  <c r="M42" i="2"/>
  <c r="O42" i="2"/>
  <c r="M43" i="2"/>
  <c r="O43" i="2"/>
  <c r="J84" i="2"/>
  <c r="B4" i="3" l="1"/>
  <c r="C4" i="3" s="1"/>
  <c r="B7" i="3"/>
  <c r="C7" i="3" s="1"/>
  <c r="E7" i="3" s="1"/>
  <c r="B5" i="3"/>
  <c r="C5" i="3" s="1"/>
  <c r="E5" i="3" s="1"/>
  <c r="C6" i="3"/>
  <c r="E6" i="3" s="1"/>
  <c r="S296" i="2"/>
  <c r="S260" i="2"/>
  <c r="S224" i="2"/>
  <c r="S188" i="2"/>
  <c r="S116" i="2"/>
  <c r="S80" i="2"/>
  <c r="S44" i="2"/>
  <c r="E4" i="3" l="1"/>
  <c r="C9" i="3"/>
  <c r="R14" i="2"/>
  <c r="H4" i="3" l="1"/>
  <c r="H6" i="3"/>
  <c r="M114" i="2"/>
  <c r="R156" i="2"/>
  <c r="R5" i="2" l="1"/>
  <c r="S297" i="2" l="1"/>
  <c r="S261" i="2"/>
  <c r="S225" i="2"/>
  <c r="S189" i="2"/>
  <c r="S117" i="2"/>
  <c r="R117" i="2"/>
  <c r="R116" i="2"/>
  <c r="S81" i="2"/>
  <c r="R81" i="2"/>
  <c r="R80" i="2"/>
  <c r="S45" i="2"/>
  <c r="R45" i="2"/>
  <c r="S47" i="2"/>
  <c r="R47" i="2"/>
  <c r="R44" i="2"/>
  <c r="J167" i="2"/>
  <c r="K167" i="2"/>
  <c r="M220" i="2"/>
  <c r="L167" i="2"/>
  <c r="L203" i="2"/>
  <c r="C191" i="2"/>
  <c r="R189" i="2" s="1"/>
  <c r="S153" i="2" l="1"/>
  <c r="S152" i="2"/>
  <c r="R188" i="2"/>
  <c r="V297" i="2"/>
  <c r="L275" i="2"/>
  <c r="S263" i="2"/>
  <c r="R263" i="2"/>
  <c r="S299" i="2"/>
  <c r="R299" i="2"/>
  <c r="R300" i="2"/>
  <c r="J228" i="2"/>
  <c r="K228" i="2" s="1"/>
  <c r="N54" i="2"/>
  <c r="N90" i="2" s="1"/>
  <c r="N55" i="2"/>
  <c r="N91" i="2" s="1"/>
  <c r="N127" i="2" s="1"/>
  <c r="N163" i="2" s="1"/>
  <c r="N126" i="2" l="1"/>
  <c r="N199" i="2"/>
  <c r="N235" i="2" s="1"/>
  <c r="N271" i="2" s="1"/>
  <c r="S77" i="2"/>
  <c r="R41" i="2"/>
  <c r="C299" i="2"/>
  <c r="C263" i="2"/>
  <c r="C227" i="2"/>
  <c r="C155" i="2"/>
  <c r="R152" i="2" s="1"/>
  <c r="R297" i="2" l="1"/>
  <c r="R296" i="2"/>
  <c r="R153" i="2"/>
  <c r="R261" i="2"/>
  <c r="R260" i="2"/>
  <c r="R225" i="2"/>
  <c r="R224" i="2"/>
  <c r="N162" i="2"/>
  <c r="M184" i="2"/>
  <c r="S166" i="2"/>
  <c r="S227" i="2"/>
  <c r="R227" i="2"/>
  <c r="R228" i="2"/>
  <c r="S155" i="2"/>
  <c r="R155" i="2"/>
  <c r="S119" i="2"/>
  <c r="R119" i="2"/>
  <c r="S83" i="2"/>
  <c r="R83" i="2"/>
  <c r="L95" i="2"/>
  <c r="N198" i="2" l="1"/>
  <c r="N234" i="2" s="1"/>
  <c r="N270" i="2" s="1"/>
  <c r="K154" i="2"/>
  <c r="K82" i="2"/>
  <c r="V45" i="2" l="1"/>
  <c r="W297" i="2"/>
  <c r="R20" i="2"/>
  <c r="R11" i="2" l="1"/>
  <c r="J120" i="2"/>
  <c r="K120" i="2" s="1"/>
  <c r="L59" i="2"/>
  <c r="L5" i="2" l="1"/>
  <c r="K118" i="2" l="1"/>
  <c r="J131" i="2"/>
  <c r="C324" i="2" l="1"/>
  <c r="R310" i="2" s="1"/>
  <c r="S313" i="2"/>
  <c r="R313" i="2"/>
  <c r="O311" i="2"/>
  <c r="L311" i="2"/>
  <c r="J311" i="2"/>
  <c r="N308" i="2"/>
  <c r="S308" i="2"/>
  <c r="R308" i="2"/>
  <c r="S307" i="2"/>
  <c r="R307" i="2"/>
  <c r="S306" i="2"/>
  <c r="R306" i="2"/>
  <c r="D304" i="2"/>
  <c r="S302" i="2"/>
  <c r="R302" i="2"/>
  <c r="J300" i="2"/>
  <c r="K300" i="2" s="1"/>
  <c r="W300" i="2"/>
  <c r="V300" i="2"/>
  <c r="S300" i="2"/>
  <c r="W299" i="2"/>
  <c r="V299" i="2"/>
  <c r="O298" i="2"/>
  <c r="K298" i="2"/>
  <c r="J298" i="2"/>
  <c r="W298" i="2"/>
  <c r="V298" i="2"/>
  <c r="M295" i="2"/>
  <c r="N295" i="2" s="1"/>
  <c r="S295" i="2"/>
  <c r="R295" i="2"/>
  <c r="M294" i="2"/>
  <c r="M293" i="2"/>
  <c r="N293" i="2" s="1"/>
  <c r="W293" i="2"/>
  <c r="V293" i="2"/>
  <c r="S293" i="2"/>
  <c r="S319" i="2" s="1"/>
  <c r="S320" i="2" s="1"/>
  <c r="M292" i="2"/>
  <c r="N292" i="2" s="1"/>
  <c r="R275" i="2"/>
  <c r="S277" i="2"/>
  <c r="R277" i="2"/>
  <c r="O275" i="2"/>
  <c r="J275" i="2"/>
  <c r="R274" i="2"/>
  <c r="S272" i="2"/>
  <c r="R272" i="2"/>
  <c r="S271" i="2"/>
  <c r="R271" i="2"/>
  <c r="S270" i="2"/>
  <c r="R270" i="2"/>
  <c r="D268" i="2"/>
  <c r="S266" i="2"/>
  <c r="R266" i="2"/>
  <c r="J264" i="2"/>
  <c r="K264" i="2" s="1"/>
  <c r="W264" i="2"/>
  <c r="V264" i="2"/>
  <c r="S264" i="2"/>
  <c r="R264" i="2"/>
  <c r="W263" i="2"/>
  <c r="V263" i="2"/>
  <c r="O262" i="2"/>
  <c r="K262" i="2"/>
  <c r="J262" i="2"/>
  <c r="W262" i="2"/>
  <c r="V262" i="2"/>
  <c r="M259" i="2"/>
  <c r="S259" i="2"/>
  <c r="R259" i="2"/>
  <c r="M258" i="2"/>
  <c r="N258" i="2" s="1"/>
  <c r="M257" i="2"/>
  <c r="N257" i="2" s="1"/>
  <c r="W257" i="2"/>
  <c r="V257" i="2"/>
  <c r="S257" i="2"/>
  <c r="S283" i="2" s="1"/>
  <c r="S284" i="2" s="1"/>
  <c r="M256" i="2"/>
  <c r="N256" i="2" s="1"/>
  <c r="S239" i="2"/>
  <c r="S241" i="2"/>
  <c r="R241" i="2"/>
  <c r="O239" i="2"/>
  <c r="L239" i="2"/>
  <c r="J239" i="2"/>
  <c r="S238" i="2"/>
  <c r="S236" i="2"/>
  <c r="R236" i="2"/>
  <c r="S235" i="2"/>
  <c r="R235" i="2"/>
  <c r="S234" i="2"/>
  <c r="R234" i="2"/>
  <c r="D232" i="2"/>
  <c r="S230" i="2"/>
  <c r="R230" i="2"/>
  <c r="W228" i="2"/>
  <c r="V228" i="2"/>
  <c r="S228" i="2"/>
  <c r="W227" i="2"/>
  <c r="V227" i="2"/>
  <c r="O226" i="2"/>
  <c r="K226" i="2"/>
  <c r="J226" i="2"/>
  <c r="W226" i="2"/>
  <c r="V226" i="2"/>
  <c r="W225" i="2"/>
  <c r="V225" i="2"/>
  <c r="M223" i="2"/>
  <c r="N223" i="2" s="1"/>
  <c r="S223" i="2"/>
  <c r="R223" i="2"/>
  <c r="M222" i="2"/>
  <c r="N222" i="2" s="1"/>
  <c r="M221" i="2"/>
  <c r="N221" i="2" s="1"/>
  <c r="W221" i="2"/>
  <c r="V221" i="2"/>
  <c r="S221" i="2"/>
  <c r="S247" i="2" s="1"/>
  <c r="S248" i="2" s="1"/>
  <c r="S203" i="2"/>
  <c r="S205" i="2"/>
  <c r="R205" i="2"/>
  <c r="O203" i="2"/>
  <c r="J203" i="2"/>
  <c r="S200" i="2"/>
  <c r="R200" i="2"/>
  <c r="S199" i="2"/>
  <c r="R199" i="2"/>
  <c r="S198" i="2"/>
  <c r="R198" i="2"/>
  <c r="D196" i="2"/>
  <c r="S194" i="2"/>
  <c r="R194" i="2"/>
  <c r="J192" i="2"/>
  <c r="K192" i="2" s="1"/>
  <c r="W192" i="2"/>
  <c r="V192" i="2"/>
  <c r="S192" i="2"/>
  <c r="R192" i="2"/>
  <c r="W191" i="2"/>
  <c r="V191" i="2"/>
  <c r="O190" i="2"/>
  <c r="K190" i="2"/>
  <c r="J190" i="2"/>
  <c r="W190" i="2"/>
  <c r="V190" i="2"/>
  <c r="M187" i="2"/>
  <c r="N187" i="2" s="1"/>
  <c r="S187" i="2"/>
  <c r="R187" i="2"/>
  <c r="M186" i="2"/>
  <c r="N186" i="2" s="1"/>
  <c r="M185" i="2"/>
  <c r="N185" i="2" s="1"/>
  <c r="W185" i="2"/>
  <c r="V185" i="2"/>
  <c r="S185" i="2"/>
  <c r="S211" i="2" s="1"/>
  <c r="S212" i="2" s="1"/>
  <c r="R97" i="2"/>
  <c r="R133" i="2"/>
  <c r="S133" i="2"/>
  <c r="S169" i="2"/>
  <c r="R169" i="2"/>
  <c r="S97" i="2"/>
  <c r="S61" i="2"/>
  <c r="R61" i="2"/>
  <c r="S113" i="2"/>
  <c r="S139" i="2" s="1"/>
  <c r="S140" i="2" s="1"/>
  <c r="M112" i="2"/>
  <c r="N112" i="2" s="1"/>
  <c r="R131" i="2"/>
  <c r="O131" i="2"/>
  <c r="L131" i="2"/>
  <c r="S128" i="2"/>
  <c r="R128" i="2"/>
  <c r="S127" i="2"/>
  <c r="R127" i="2"/>
  <c r="S126" i="2"/>
  <c r="R126" i="2"/>
  <c r="D124" i="2"/>
  <c r="S122" i="2"/>
  <c r="R122" i="2"/>
  <c r="W120" i="2"/>
  <c r="V120" i="2"/>
  <c r="S120" i="2"/>
  <c r="R120" i="2"/>
  <c r="W119" i="2"/>
  <c r="V119" i="2"/>
  <c r="O118" i="2"/>
  <c r="J118" i="2"/>
  <c r="W118" i="2"/>
  <c r="V118" i="2"/>
  <c r="W117" i="2"/>
  <c r="V117" i="2"/>
  <c r="M115" i="2"/>
  <c r="N115" i="2" s="1"/>
  <c r="S115" i="2"/>
  <c r="R115" i="2"/>
  <c r="M113" i="2"/>
  <c r="N113" i="2" s="1"/>
  <c r="W113" i="2"/>
  <c r="V113" i="2"/>
  <c r="S167" i="2"/>
  <c r="O167" i="2"/>
  <c r="S164" i="2"/>
  <c r="R164" i="2"/>
  <c r="S163" i="2"/>
  <c r="R163" i="2"/>
  <c r="S162" i="2"/>
  <c r="R162" i="2"/>
  <c r="D160" i="2"/>
  <c r="S158" i="2"/>
  <c r="R158" i="2"/>
  <c r="J156" i="2"/>
  <c r="K156" i="2" s="1"/>
  <c r="W156" i="2"/>
  <c r="V156" i="2"/>
  <c r="S156" i="2"/>
  <c r="W155" i="2"/>
  <c r="V155" i="2"/>
  <c r="O154" i="2"/>
  <c r="J154" i="2"/>
  <c r="W154" i="2"/>
  <c r="V154" i="2"/>
  <c r="W153" i="2"/>
  <c r="V153" i="2"/>
  <c r="M151" i="2"/>
  <c r="N151" i="2" s="1"/>
  <c r="S151" i="2"/>
  <c r="R151" i="2"/>
  <c r="M150" i="2"/>
  <c r="N150" i="2" s="1"/>
  <c r="M149" i="2"/>
  <c r="N149" i="2" s="1"/>
  <c r="W149" i="2"/>
  <c r="V149" i="2"/>
  <c r="S149" i="2"/>
  <c r="W148" i="2" s="1"/>
  <c r="M148" i="2"/>
  <c r="V81" i="2"/>
  <c r="S48" i="2"/>
  <c r="R48" i="2"/>
  <c r="R7" i="2"/>
  <c r="R311" i="2" l="1"/>
  <c r="S310" i="2"/>
  <c r="W261" i="2"/>
  <c r="V261" i="2"/>
  <c r="S311" i="2"/>
  <c r="L298" i="2"/>
  <c r="S274" i="2"/>
  <c r="L262" i="2"/>
  <c r="W256" i="2"/>
  <c r="W258" i="2" s="1"/>
  <c r="R238" i="2"/>
  <c r="R239" i="2"/>
  <c r="S202" i="2"/>
  <c r="R202" i="2"/>
  <c r="W220" i="2"/>
  <c r="W222" i="2" s="1"/>
  <c r="L226" i="2"/>
  <c r="N220" i="2"/>
  <c r="M226" i="2" s="1"/>
  <c r="R203" i="2"/>
  <c r="L190" i="2"/>
  <c r="N184" i="2"/>
  <c r="M190" i="2" s="1"/>
  <c r="R166" i="2"/>
  <c r="S175" i="2"/>
  <c r="S176" i="2" s="1"/>
  <c r="R130" i="2"/>
  <c r="S130" i="2"/>
  <c r="N294" i="2"/>
  <c r="M298" i="2" s="1"/>
  <c r="W292" i="2"/>
  <c r="W294" i="2" s="1"/>
  <c r="S275" i="2"/>
  <c r="N259" i="2"/>
  <c r="M262" i="2" s="1"/>
  <c r="W184" i="2"/>
  <c r="W186" i="2" s="1"/>
  <c r="R167" i="2"/>
  <c r="L154" i="2"/>
  <c r="W150" i="2"/>
  <c r="S131" i="2"/>
  <c r="L118" i="2"/>
  <c r="N114" i="2"/>
  <c r="M118" i="2" s="1"/>
  <c r="W112" i="2"/>
  <c r="W114" i="2" s="1"/>
  <c r="N148" i="2"/>
  <c r="M154" i="2" s="1"/>
  <c r="R171" i="2" s="1"/>
  <c r="V60" i="2"/>
  <c r="R191" i="2" l="1"/>
  <c r="S191" i="2"/>
  <c r="W189" i="2"/>
  <c r="V189" i="2"/>
  <c r="V273" i="2"/>
  <c r="R279" i="2"/>
  <c r="V309" i="2"/>
  <c r="R315" i="2"/>
  <c r="V201" i="2"/>
  <c r="R207" i="2"/>
  <c r="V237" i="2"/>
  <c r="R243" i="2"/>
  <c r="R135" i="2"/>
  <c r="V129" i="2"/>
  <c r="V165" i="2"/>
  <c r="J12" i="2" l="1"/>
  <c r="N10" i="2"/>
  <c r="R84" i="2"/>
  <c r="N59" i="2" l="1"/>
  <c r="J48" i="2"/>
  <c r="K48" i="2" s="1"/>
  <c r="R56" i="2"/>
  <c r="R54" i="2"/>
  <c r="R50" i="2"/>
  <c r="S41" i="2"/>
  <c r="R67" i="2"/>
  <c r="R68" i="2" s="1"/>
  <c r="K12" i="2"/>
  <c r="D47" i="2" s="1"/>
  <c r="L4" i="2"/>
  <c r="V22" i="2"/>
  <c r="R51" i="2" s="1"/>
  <c r="V20" i="2"/>
  <c r="V10" i="2"/>
  <c r="V9" i="2"/>
  <c r="K84" i="2"/>
  <c r="M79" i="2"/>
  <c r="N79" i="2" s="1"/>
  <c r="M78" i="2"/>
  <c r="N78" i="2" s="1"/>
  <c r="M77" i="2"/>
  <c r="N77" i="2" s="1"/>
  <c r="M76" i="2"/>
  <c r="N76" i="2" s="1"/>
  <c r="R95" i="2"/>
  <c r="O95" i="2"/>
  <c r="J95" i="2"/>
  <c r="S92" i="2"/>
  <c r="R92" i="2"/>
  <c r="S91" i="2"/>
  <c r="R91" i="2"/>
  <c r="S90" i="2"/>
  <c r="R90" i="2"/>
  <c r="D88" i="2"/>
  <c r="S86" i="2"/>
  <c r="R86" i="2"/>
  <c r="W84" i="2"/>
  <c r="V84" i="2"/>
  <c r="S84" i="2"/>
  <c r="W83" i="2"/>
  <c r="V83" i="2"/>
  <c r="O82" i="2"/>
  <c r="J82" i="2"/>
  <c r="W82" i="2"/>
  <c r="V82" i="2"/>
  <c r="W81" i="2"/>
  <c r="S79" i="2"/>
  <c r="R79" i="2"/>
  <c r="W77" i="2"/>
  <c r="V77" i="2"/>
  <c r="R55" i="2"/>
  <c r="N95" i="2" l="1"/>
  <c r="N82" i="2"/>
  <c r="J103" i="2"/>
  <c r="S62" i="2"/>
  <c r="R46" i="2"/>
  <c r="J67" i="2"/>
  <c r="W76" i="2"/>
  <c r="W78" i="2" s="1"/>
  <c r="S103" i="2"/>
  <c r="S104" i="2" s="1"/>
  <c r="R94" i="2"/>
  <c r="S95" i="2"/>
  <c r="L82" i="2"/>
  <c r="S94" i="2"/>
  <c r="R62" i="2"/>
  <c r="D52" i="2"/>
  <c r="M82" i="2"/>
  <c r="V93" i="2" s="1"/>
  <c r="W48" i="2"/>
  <c r="V48" i="2"/>
  <c r="W47" i="2"/>
  <c r="V47" i="2"/>
  <c r="W46" i="2"/>
  <c r="V46" i="2"/>
  <c r="W45" i="2"/>
  <c r="W56" i="2" s="1"/>
  <c r="R98" i="2" s="1"/>
  <c r="S56" i="2"/>
  <c r="S55" i="2"/>
  <c r="S54" i="2"/>
  <c r="S51" i="2"/>
  <c r="S50" i="2"/>
  <c r="S67" i="2"/>
  <c r="S68" i="2" s="1"/>
  <c r="W40" i="2"/>
  <c r="V40" i="2"/>
  <c r="S43" i="2"/>
  <c r="N56" i="2"/>
  <c r="N306" i="2"/>
  <c r="N53" i="2"/>
  <c r="N89" i="2" s="1"/>
  <c r="N125" i="2" s="1"/>
  <c r="N161" i="2" s="1"/>
  <c r="N197" i="2" s="1"/>
  <c r="N307" i="2"/>
  <c r="O59" i="2"/>
  <c r="J59" i="2"/>
  <c r="L7" i="2"/>
  <c r="L6" i="2"/>
  <c r="O10" i="2" s="1"/>
  <c r="L46" i="2"/>
  <c r="S59" i="2"/>
  <c r="D16" i="2"/>
  <c r="O46" i="2"/>
  <c r="J46" i="2"/>
  <c r="R43" i="2"/>
  <c r="N118" i="2" l="1"/>
  <c r="N131" i="2"/>
  <c r="N167" i="2" s="1"/>
  <c r="N203" i="2" s="1"/>
  <c r="N239" i="2" s="1"/>
  <c r="N233" i="2"/>
  <c r="R77" i="2"/>
  <c r="R103" i="2" s="1"/>
  <c r="R104" i="2" s="1"/>
  <c r="N92" i="2"/>
  <c r="R113" i="2" s="1"/>
  <c r="S82" i="2"/>
  <c r="S98" i="2"/>
  <c r="S46" i="2"/>
  <c r="S58" i="2"/>
  <c r="R59" i="2"/>
  <c r="R58" i="2"/>
  <c r="N46" i="2"/>
  <c r="D83" i="2" s="1"/>
  <c r="R99" i="2"/>
  <c r="K46" i="2"/>
  <c r="R23" i="2"/>
  <c r="R22" i="2"/>
  <c r="R24" i="2"/>
  <c r="M59" i="2"/>
  <c r="S63" i="2" s="1"/>
  <c r="M46" i="2"/>
  <c r="R63" i="2" s="1"/>
  <c r="N269" i="2" l="1"/>
  <c r="V76" i="2"/>
  <c r="V78" i="2" s="1"/>
  <c r="N128" i="2"/>
  <c r="M131" i="2" s="1"/>
  <c r="W129" i="2" s="1"/>
  <c r="N154" i="2"/>
  <c r="M95" i="2"/>
  <c r="W93" i="2" s="1"/>
  <c r="R124" i="2" s="1"/>
  <c r="R82" i="2"/>
  <c r="W57" i="2"/>
  <c r="V56" i="2"/>
  <c r="V57" i="2"/>
  <c r="R52" i="2" s="1"/>
  <c r="N12" i="2"/>
  <c r="L12" i="2"/>
  <c r="M10" i="2"/>
  <c r="L10" i="2"/>
  <c r="J10" i="2"/>
  <c r="O7" i="2"/>
  <c r="O6" i="2"/>
  <c r="O5" i="2"/>
  <c r="O4" i="2"/>
  <c r="R19" i="2"/>
  <c r="R18" i="2"/>
  <c r="O55" i="2" l="1"/>
  <c r="O78" i="2"/>
  <c r="O114" i="2" s="1"/>
  <c r="O127" i="2" s="1"/>
  <c r="O79" i="2"/>
  <c r="O115" i="2" s="1"/>
  <c r="O56" i="2"/>
  <c r="R60" i="2"/>
  <c r="N164" i="2"/>
  <c r="M167" i="2" s="1"/>
  <c r="W165" i="2" s="1"/>
  <c r="S160" i="2" s="1"/>
  <c r="R149" i="2"/>
  <c r="V112" i="2"/>
  <c r="V114" i="2" s="1"/>
  <c r="R139" i="2"/>
  <c r="R140" i="2" s="1"/>
  <c r="S99" i="2"/>
  <c r="S135" i="2"/>
  <c r="S52" i="2"/>
  <c r="S88" i="2"/>
  <c r="R88" i="2"/>
  <c r="R160" i="2"/>
  <c r="S124" i="2"/>
  <c r="W92" i="2"/>
  <c r="W128" i="2" s="1"/>
  <c r="J139" i="2"/>
  <c r="V92" i="2"/>
  <c r="D119" i="2"/>
  <c r="N190" i="2"/>
  <c r="W58" i="2"/>
  <c r="V58" i="2"/>
  <c r="N48" i="2"/>
  <c r="R49" i="2"/>
  <c r="S49" i="2"/>
  <c r="L48" i="2"/>
  <c r="S60" i="2"/>
  <c r="O12" i="2"/>
  <c r="M12" i="2"/>
  <c r="O91" i="2" l="1"/>
  <c r="O77" i="2"/>
  <c r="O54" i="2"/>
  <c r="O76" i="2"/>
  <c r="O112" i="2" s="1"/>
  <c r="O53" i="2"/>
  <c r="O48" i="2"/>
  <c r="N226" i="2"/>
  <c r="R175" i="2"/>
  <c r="R176" i="2" s="1"/>
  <c r="V148" i="2"/>
  <c r="V150" i="2" s="1"/>
  <c r="N200" i="2"/>
  <c r="R185" i="2"/>
  <c r="S171" i="2"/>
  <c r="R196" i="2"/>
  <c r="J175" i="2"/>
  <c r="D155" i="2"/>
  <c r="V128" i="2"/>
  <c r="S134" i="2"/>
  <c r="S118" i="2"/>
  <c r="R134" i="2"/>
  <c r="R118" i="2"/>
  <c r="N61" i="2"/>
  <c r="S96" i="2"/>
  <c r="R96" i="2"/>
  <c r="N84" i="2"/>
  <c r="O151" i="2"/>
  <c r="O187" i="2" s="1"/>
  <c r="O128" i="2"/>
  <c r="O150" i="2"/>
  <c r="O186" i="2" s="1"/>
  <c r="O92" i="2"/>
  <c r="S85" i="2"/>
  <c r="R85" i="2"/>
  <c r="L84" i="2"/>
  <c r="L61" i="2"/>
  <c r="S87" i="2"/>
  <c r="R87" i="2"/>
  <c r="V94" i="2" s="1"/>
  <c r="M48" i="2"/>
  <c r="S69" i="2"/>
  <c r="S70" i="2" s="1"/>
  <c r="O89" i="2" l="1"/>
  <c r="O84" i="2"/>
  <c r="N262" i="2"/>
  <c r="N275" i="2"/>
  <c r="O61" i="2"/>
  <c r="R211" i="2"/>
  <c r="R212" i="2" s="1"/>
  <c r="V184" i="2"/>
  <c r="V186" i="2" s="1"/>
  <c r="M203" i="2"/>
  <c r="N236" i="2"/>
  <c r="M239" i="2" s="1"/>
  <c r="W237" i="2" s="1"/>
  <c r="R221" i="2"/>
  <c r="O90" i="2"/>
  <c r="O97" i="2" s="1"/>
  <c r="O113" i="2"/>
  <c r="O120" i="2" s="1"/>
  <c r="M61" i="2"/>
  <c r="O199" i="2"/>
  <c r="O222" i="2"/>
  <c r="O200" i="2"/>
  <c r="O223" i="2"/>
  <c r="N305" i="2"/>
  <c r="M311" i="2" s="1"/>
  <c r="J211" i="2"/>
  <c r="W164" i="2"/>
  <c r="D191" i="2"/>
  <c r="V164" i="2"/>
  <c r="R170" i="2"/>
  <c r="S170" i="2"/>
  <c r="S154" i="2"/>
  <c r="R154" i="2"/>
  <c r="S123" i="2"/>
  <c r="R123" i="2"/>
  <c r="V130" i="2" s="1"/>
  <c r="W94" i="2"/>
  <c r="N120" i="2"/>
  <c r="R132" i="2"/>
  <c r="S132" i="2"/>
  <c r="S121" i="2"/>
  <c r="R121" i="2"/>
  <c r="L120" i="2"/>
  <c r="O163" i="2"/>
  <c r="O164" i="2"/>
  <c r="O148" i="2"/>
  <c r="O184" i="2" s="1"/>
  <c r="O125" i="2"/>
  <c r="N97" i="2"/>
  <c r="M84" i="2"/>
  <c r="L97" i="2"/>
  <c r="N311" i="2" l="1"/>
  <c r="N298" i="2"/>
  <c r="M97" i="2"/>
  <c r="M120" i="2"/>
  <c r="R247" i="2"/>
  <c r="R248" i="2" s="1"/>
  <c r="V220" i="2"/>
  <c r="V222" i="2" s="1"/>
  <c r="N272" i="2"/>
  <c r="R257" i="2"/>
  <c r="S207" i="2"/>
  <c r="W201" i="2"/>
  <c r="R232" i="2" s="1"/>
  <c r="O126" i="2"/>
  <c r="O133" i="2" s="1"/>
  <c r="O149" i="2"/>
  <c r="O156" i="2" s="1"/>
  <c r="W130" i="2"/>
  <c r="S243" i="2"/>
  <c r="R268" i="2"/>
  <c r="O259" i="2"/>
  <c r="O236" i="2"/>
  <c r="O258" i="2"/>
  <c r="O235" i="2"/>
  <c r="O220" i="2"/>
  <c r="O197" i="2"/>
  <c r="W309" i="2"/>
  <c r="S315" i="2"/>
  <c r="D227" i="2"/>
  <c r="V200" i="2"/>
  <c r="J247" i="2"/>
  <c r="W200" i="2"/>
  <c r="S226" i="2" s="1"/>
  <c r="R206" i="2"/>
  <c r="S206" i="2"/>
  <c r="R190" i="2"/>
  <c r="S190" i="2"/>
  <c r="R168" i="2"/>
  <c r="S168" i="2"/>
  <c r="N133" i="2"/>
  <c r="N156" i="2"/>
  <c r="R159" i="2"/>
  <c r="V166" i="2" s="1"/>
  <c r="S159" i="2"/>
  <c r="L156" i="2"/>
  <c r="S157" i="2"/>
  <c r="R157" i="2"/>
  <c r="L133" i="2"/>
  <c r="O161" i="2"/>
  <c r="M156" i="2" l="1"/>
  <c r="S196" i="2"/>
  <c r="V256" i="2"/>
  <c r="V258" i="2" s="1"/>
  <c r="R283" i="2"/>
  <c r="R284" i="2" s="1"/>
  <c r="R293" i="2"/>
  <c r="M275" i="2"/>
  <c r="S232" i="2"/>
  <c r="M133" i="2"/>
  <c r="O185" i="2"/>
  <c r="O162" i="2"/>
  <c r="O169" i="2" s="1"/>
  <c r="O271" i="2"/>
  <c r="O294" i="2"/>
  <c r="O307" i="2" s="1"/>
  <c r="O272" i="2"/>
  <c r="O295" i="2"/>
  <c r="O308" i="2" s="1"/>
  <c r="O256" i="2"/>
  <c r="O233" i="2"/>
  <c r="S242" i="2"/>
  <c r="R242" i="2"/>
  <c r="R226" i="2"/>
  <c r="D263" i="2"/>
  <c r="V236" i="2"/>
  <c r="J283" i="2"/>
  <c r="W236" i="2"/>
  <c r="L169" i="2"/>
  <c r="S193" i="2"/>
  <c r="R193" i="2"/>
  <c r="L192" i="2"/>
  <c r="L228" i="2" s="1"/>
  <c r="R195" i="2"/>
  <c r="S195" i="2"/>
  <c r="W166" i="2"/>
  <c r="S204" i="2"/>
  <c r="R204" i="2"/>
  <c r="N192" i="2"/>
  <c r="N228" i="2" s="1"/>
  <c r="N169" i="2"/>
  <c r="R35" i="2"/>
  <c r="V292" i="2" l="1"/>
  <c r="V294" i="2" s="1"/>
  <c r="R319" i="2"/>
  <c r="R320" i="2" s="1"/>
  <c r="W273" i="2"/>
  <c r="S279" i="2"/>
  <c r="M169" i="2"/>
  <c r="O198" i="2"/>
  <c r="O205" i="2" s="1"/>
  <c r="O221" i="2"/>
  <c r="O192" i="2"/>
  <c r="W202" i="2"/>
  <c r="V202" i="2"/>
  <c r="S231" i="2" s="1"/>
  <c r="O292" i="2"/>
  <c r="O269" i="2"/>
  <c r="D299" i="2"/>
  <c r="V272" i="2"/>
  <c r="S278" i="2"/>
  <c r="R278" i="2"/>
  <c r="S262" i="2"/>
  <c r="R262" i="2"/>
  <c r="J319" i="2"/>
  <c r="W272" i="2"/>
  <c r="R314" i="2" s="1"/>
  <c r="L205" i="2"/>
  <c r="R229" i="2"/>
  <c r="S229" i="2"/>
  <c r="N205" i="2"/>
  <c r="S240" i="2"/>
  <c r="R240" i="2"/>
  <c r="M192" i="2"/>
  <c r="V8" i="2"/>
  <c r="V13" i="2" s="1"/>
  <c r="V14" i="2" s="1"/>
  <c r="V15" i="2" s="1"/>
  <c r="R37" i="2"/>
  <c r="M205" i="2" l="1"/>
  <c r="S304" i="2"/>
  <c r="R304" i="2"/>
  <c r="S268" i="2"/>
  <c r="R231" i="2"/>
  <c r="V238" i="2" s="1"/>
  <c r="R267" i="2" s="1"/>
  <c r="O234" i="2"/>
  <c r="O241" i="2" s="1"/>
  <c r="O257" i="2"/>
  <c r="O228" i="2"/>
  <c r="W308" i="2"/>
  <c r="O305" i="2"/>
  <c r="V308" i="2"/>
  <c r="S314" i="2"/>
  <c r="R298" i="2"/>
  <c r="S298" i="2"/>
  <c r="S276" i="2"/>
  <c r="M228" i="2"/>
  <c r="N241" i="2"/>
  <c r="N264" i="2"/>
  <c r="R276" i="2"/>
  <c r="S265" i="2"/>
  <c r="R265" i="2"/>
  <c r="L264" i="2"/>
  <c r="L241" i="2"/>
  <c r="V19" i="2"/>
  <c r="W238" i="2" l="1"/>
  <c r="W274" i="2" s="1"/>
  <c r="M241" i="2"/>
  <c r="S267" i="2"/>
  <c r="O270" i="2"/>
  <c r="O277" i="2" s="1"/>
  <c r="O293" i="2"/>
  <c r="O264" i="2"/>
  <c r="V274" i="2"/>
  <c r="R312" i="2"/>
  <c r="S312" i="2"/>
  <c r="N300" i="2"/>
  <c r="N277" i="2"/>
  <c r="M264" i="2"/>
  <c r="L300" i="2"/>
  <c r="L313" i="2" s="1"/>
  <c r="R301" i="2"/>
  <c r="S301" i="2"/>
  <c r="L277" i="2"/>
  <c r="V27" i="2"/>
  <c r="V23" i="2"/>
  <c r="V41" i="2"/>
  <c r="V42" i="2" s="1"/>
  <c r="S65" i="2"/>
  <c r="S71" i="2" s="1"/>
  <c r="S73" i="2" s="1"/>
  <c r="R65" i="2"/>
  <c r="R69" i="2" s="1"/>
  <c r="W60" i="2"/>
  <c r="W41" i="2"/>
  <c r="W42" i="2" s="1"/>
  <c r="O306" i="2" l="1"/>
  <c r="O313" i="2" s="1"/>
  <c r="O300" i="2"/>
  <c r="M277" i="2"/>
  <c r="W44" i="2"/>
  <c r="W49" i="2" s="1"/>
  <c r="W50" i="2" s="1"/>
  <c r="W61" i="2" s="1"/>
  <c r="M300" i="2"/>
  <c r="N313" i="2"/>
  <c r="R303" i="2"/>
  <c r="S303" i="2"/>
  <c r="R70" i="2"/>
  <c r="V44" i="2" s="1"/>
  <c r="M313" i="2" l="1"/>
  <c r="V310" i="2"/>
  <c r="W310" i="2"/>
  <c r="V49" i="2"/>
  <c r="V50" i="2" s="1"/>
  <c r="J65" i="2" s="1"/>
  <c r="V61" i="2" s="1"/>
  <c r="K65" i="2"/>
  <c r="W51" i="2" s="1"/>
  <c r="W62" i="2"/>
  <c r="R71" i="2"/>
  <c r="R73" i="2" s="1"/>
  <c r="V51" i="2" l="1"/>
  <c r="V96" i="2"/>
  <c r="R101" i="2" s="1"/>
  <c r="W96" i="2"/>
  <c r="S101" i="2" l="1"/>
  <c r="S105" i="2" s="1"/>
  <c r="S106" i="2" s="1"/>
  <c r="S107" i="2" s="1"/>
  <c r="S109" i="2" s="1"/>
  <c r="V62" i="2"/>
  <c r="V55" i="2"/>
  <c r="V59" i="2" s="1"/>
  <c r="V63" i="2" l="1"/>
  <c r="W80" i="2"/>
  <c r="W85" i="2" s="1"/>
  <c r="W86" i="2" s="1"/>
  <c r="K101" i="2" s="1"/>
  <c r="W87" i="2" s="1"/>
  <c r="W97" i="2" l="1"/>
  <c r="W98" i="2" s="1"/>
  <c r="W91" i="2"/>
  <c r="W95" i="2" s="1"/>
  <c r="W55" i="2"/>
  <c r="W59" i="2" s="1"/>
  <c r="W63" i="2" s="1"/>
  <c r="W99" i="2" l="1"/>
  <c r="V132" i="2"/>
  <c r="R137" i="2" s="1"/>
  <c r="W132" i="2"/>
  <c r="S137" i="2" l="1"/>
  <c r="S141" i="2" s="1"/>
  <c r="S142" i="2" s="1"/>
  <c r="S143" i="2" s="1"/>
  <c r="S145" i="2" s="1"/>
  <c r="R141" i="2" l="1"/>
  <c r="R142" i="2" s="1"/>
  <c r="V116" i="2" s="1"/>
  <c r="V121" i="2" s="1"/>
  <c r="V122" i="2" s="1"/>
  <c r="J137" i="2" s="1"/>
  <c r="V123" i="2" s="1"/>
  <c r="W116" i="2"/>
  <c r="W121" i="2" s="1"/>
  <c r="W122" i="2" s="1"/>
  <c r="K137" i="2" s="1"/>
  <c r="W133" i="2" l="1"/>
  <c r="W134" i="2" s="1"/>
  <c r="W123" i="2"/>
  <c r="W127" i="2" s="1"/>
  <c r="W131" i="2" s="1"/>
  <c r="R143" i="2"/>
  <c r="R145" i="2" s="1"/>
  <c r="V168" i="2" l="1"/>
  <c r="R173" i="2" s="1"/>
  <c r="W168" i="2"/>
  <c r="S173" i="2" s="1"/>
  <c r="W135" i="2"/>
  <c r="R177" i="2" l="1"/>
  <c r="R178" i="2" s="1"/>
  <c r="V152" i="2" s="1"/>
  <c r="V157" i="2" s="1"/>
  <c r="V158" i="2" s="1"/>
  <c r="J173" i="2" s="1"/>
  <c r="S177" i="2"/>
  <c r="S178" i="2" s="1"/>
  <c r="W152" i="2" s="1"/>
  <c r="W157" i="2" s="1"/>
  <c r="W158" i="2" s="1"/>
  <c r="R179" i="2" l="1"/>
  <c r="R181" i="2" s="1"/>
  <c r="K173" i="2"/>
  <c r="S179" i="2"/>
  <c r="S181" i="2" s="1"/>
  <c r="W159" i="2" l="1"/>
  <c r="W169" i="2"/>
  <c r="W170" i="2" l="1"/>
  <c r="W163" i="2"/>
  <c r="W167" i="2" s="1"/>
  <c r="W171" i="2" l="1"/>
  <c r="V204" i="2"/>
  <c r="R209" i="2" s="1"/>
  <c r="W204" i="2"/>
  <c r="S209" i="2" s="1"/>
  <c r="S213" i="2" l="1"/>
  <c r="S214" i="2" s="1"/>
  <c r="W188" i="2" s="1"/>
  <c r="W193" i="2" s="1"/>
  <c r="W194" i="2" s="1"/>
  <c r="K209" i="2" s="1"/>
  <c r="W195" i="2" s="1"/>
  <c r="R213" i="2"/>
  <c r="R214" i="2" s="1"/>
  <c r="V188" i="2" s="1"/>
  <c r="V193" i="2" s="1"/>
  <c r="V194" i="2" s="1"/>
  <c r="J209" i="2" s="1"/>
  <c r="V205" i="2" s="1"/>
  <c r="W199" i="2" l="1"/>
  <c r="W203" i="2" s="1"/>
  <c r="W205" i="2"/>
  <c r="W206" i="2" s="1"/>
  <c r="R215" i="2"/>
  <c r="R217" i="2" s="1"/>
  <c r="S215" i="2"/>
  <c r="S217" i="2" s="1"/>
  <c r="W240" i="2" l="1"/>
  <c r="S245" i="2" s="1"/>
  <c r="V240" i="2"/>
  <c r="R245" i="2" s="1"/>
  <c r="W207" i="2"/>
  <c r="R249" i="2" l="1"/>
  <c r="R250" i="2" s="1"/>
  <c r="R251" i="2" s="1"/>
  <c r="R253" i="2" s="1"/>
  <c r="S249" i="2"/>
  <c r="S250" i="2" s="1"/>
  <c r="S251" i="2" s="1"/>
  <c r="S253" i="2" s="1"/>
  <c r="W224" i="2" l="1"/>
  <c r="W229" i="2" s="1"/>
  <c r="W230" i="2" s="1"/>
  <c r="K245" i="2" s="1"/>
  <c r="W241" i="2" s="1"/>
  <c r="V224" i="2"/>
  <c r="V229" i="2" s="1"/>
  <c r="V230" i="2" s="1"/>
  <c r="J245" i="2" s="1"/>
  <c r="V241" i="2" s="1"/>
  <c r="W231" i="2" l="1"/>
  <c r="W242" i="2"/>
  <c r="W235" i="2" l="1"/>
  <c r="W239" i="2" s="1"/>
  <c r="W243" i="2" s="1"/>
  <c r="V276" i="2"/>
  <c r="R281" i="2" s="1"/>
  <c r="W276" i="2"/>
  <c r="S281" i="2" s="1"/>
  <c r="S285" i="2" l="1"/>
  <c r="S286" i="2" s="1"/>
  <c r="W260" i="2" s="1"/>
  <c r="W265" i="2" s="1"/>
  <c r="W266" i="2" s="1"/>
  <c r="K281" i="2" s="1"/>
  <c r="R285" i="2"/>
  <c r="R286" i="2" s="1"/>
  <c r="V260" i="2" s="1"/>
  <c r="V265" i="2" s="1"/>
  <c r="V266" i="2" s="1"/>
  <c r="J281" i="2" s="1"/>
  <c r="W267" i="2" l="1"/>
  <c r="W277" i="2"/>
  <c r="W278" i="2" s="1"/>
  <c r="R287" i="2"/>
  <c r="R289" i="2" s="1"/>
  <c r="S287" i="2"/>
  <c r="S289" i="2" s="1"/>
  <c r="W271" i="2" l="1"/>
  <c r="W275" i="2" s="1"/>
  <c r="W279" i="2" s="1"/>
  <c r="W312" i="2"/>
  <c r="S317" i="2" s="1"/>
  <c r="V312" i="2"/>
  <c r="R317" i="2" s="1"/>
  <c r="R321" i="2" l="1"/>
  <c r="R322" i="2" s="1"/>
  <c r="V296" i="2" s="1"/>
  <c r="V301" i="2" s="1"/>
  <c r="V302" i="2" s="1"/>
  <c r="J317" i="2" s="1"/>
  <c r="S321" i="2"/>
  <c r="S322" i="2" s="1"/>
  <c r="S323" i="2" s="1"/>
  <c r="S325" i="2" s="1"/>
  <c r="W296" i="2" l="1"/>
  <c r="W301" i="2" s="1"/>
  <c r="W302" i="2" s="1"/>
  <c r="K317" i="2" s="1"/>
  <c r="R323" i="2"/>
  <c r="R325" i="2" s="1"/>
  <c r="W303" i="2" l="1"/>
  <c r="W307" i="2" s="1"/>
  <c r="W311" i="2" s="1"/>
  <c r="W313" i="2"/>
  <c r="W314" i="2" s="1"/>
  <c r="W315" i="2" l="1"/>
  <c r="R105" i="2"/>
  <c r="R106" i="2" s="1"/>
  <c r="R107" i="2" l="1"/>
  <c r="R109" i="2" s="1"/>
  <c r="V80" i="2"/>
  <c r="V85" i="2" s="1"/>
  <c r="V86" i="2" s="1"/>
  <c r="J101" i="2" s="1"/>
  <c r="V87" i="2" s="1"/>
  <c r="V97" i="2" l="1"/>
  <c r="V98" i="2" s="1"/>
  <c r="V91" i="2" l="1"/>
  <c r="V95" i="2" s="1"/>
  <c r="V99" i="2" s="1"/>
  <c r="V133" i="2" l="1"/>
  <c r="V134" i="2" s="1"/>
  <c r="V159" i="2" l="1"/>
  <c r="V127" i="2"/>
  <c r="V131" i="2" s="1"/>
  <c r="V135" i="2" s="1"/>
  <c r="V169" i="2" l="1"/>
  <c r="V170" i="2" s="1"/>
  <c r="V195" i="2" l="1"/>
  <c r="V163" i="2"/>
  <c r="V167" i="2" s="1"/>
  <c r="V171" i="2" s="1"/>
  <c r="V206" i="2" l="1"/>
  <c r="V231" i="2" l="1"/>
  <c r="V199" i="2"/>
  <c r="V203" i="2" s="1"/>
  <c r="V207" i="2" s="1"/>
  <c r="V242" i="2" l="1"/>
  <c r="V235" i="2" l="1"/>
  <c r="V239" i="2" s="1"/>
  <c r="V243" i="2" s="1"/>
  <c r="V267" i="2"/>
  <c r="V277" i="2" l="1"/>
  <c r="V278" i="2" s="1"/>
  <c r="V271" i="2" l="1"/>
  <c r="V275" i="2" s="1"/>
  <c r="V279" i="2" s="1"/>
  <c r="V303" i="2"/>
  <c r="V307" i="2" l="1"/>
  <c r="V311" i="2" s="1"/>
  <c r="V313" i="2"/>
  <c r="V314" i="2" s="1"/>
  <c r="V3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38CFD-CB31-458F-9EED-8C39DD62F8D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361471-B3BF-4B0A-A6D5-A9EE4F95011F}" name="连接" type="104" refreshedVersion="0" background="1">
    <extLst>
      <ext xmlns:x15="http://schemas.microsoft.com/office/spreadsheetml/2010/11/main" uri="{DE250136-89BD-433C-8126-D09CA5730AF9}">
        <x15:connection id="表"/>
      </ext>
    </extLst>
  </connection>
</connections>
</file>

<file path=xl/sharedStrings.xml><?xml version="1.0" encoding="utf-8"?>
<sst xmlns="http://schemas.openxmlformats.org/spreadsheetml/2006/main" count="1362" uniqueCount="131">
  <si>
    <t>筹建阶段</t>
  </si>
  <si>
    <t>利润表</t>
  </si>
  <si>
    <t>现金流</t>
  </si>
  <si>
    <t>决策</t>
  </si>
  <si>
    <t>运营状况表</t>
  </si>
  <si>
    <t>项目</t>
  </si>
  <si>
    <t>费用</t>
  </si>
  <si>
    <t>市场需求量</t>
  </si>
  <si>
    <t>市场占有率</t>
  </si>
  <si>
    <t>销售量</t>
  </si>
  <si>
    <t>产品库存</t>
  </si>
  <si>
    <t>客服人员</t>
  </si>
  <si>
    <t>销售收入</t>
  </si>
  <si>
    <t>单价</t>
  </si>
  <si>
    <t>营销投入</t>
  </si>
  <si>
    <t>原材料正常采购</t>
  </si>
  <si>
    <t>华北市场</t>
  </si>
  <si>
    <t>借款</t>
  </si>
  <si>
    <t>原材料非正常采购</t>
  </si>
  <si>
    <t>华中市场</t>
  </si>
  <si>
    <t>流入现金合计</t>
  </si>
  <si>
    <t>生产线</t>
  </si>
  <si>
    <t>华南市场</t>
  </si>
  <si>
    <t>研发费用</t>
  </si>
  <si>
    <t>华东市场</t>
  </si>
  <si>
    <t>班次管理费</t>
  </si>
  <si>
    <t>现金费用支出</t>
  </si>
  <si>
    <t>人工费用</t>
  </si>
  <si>
    <t>购料支出</t>
  </si>
  <si>
    <t>原材料耗用</t>
  </si>
  <si>
    <t>生产线投资支出</t>
  </si>
  <si>
    <t>原材料订购成本</t>
  </si>
  <si>
    <t>还款</t>
  </si>
  <si>
    <t>生产计划量</t>
  </si>
  <si>
    <t>原材料非正常采购成本</t>
  </si>
  <si>
    <t>发放红利</t>
  </si>
  <si>
    <t>研发投入</t>
  </si>
  <si>
    <t>生产线维护费用</t>
  </si>
  <si>
    <t>流出现金合计</t>
  </si>
  <si>
    <t>生产线订购成本</t>
  </si>
  <si>
    <t>本季末现金流量</t>
  </si>
  <si>
    <t>生产线折旧</t>
  </si>
  <si>
    <t>季末现金余额</t>
  </si>
  <si>
    <t>投放量</t>
  </si>
  <si>
    <t>产品库存价值修正</t>
  </si>
  <si>
    <t>营销费用</t>
  </si>
  <si>
    <t>资产负债表</t>
  </si>
  <si>
    <t>运输费用</t>
  </si>
  <si>
    <t>现金</t>
  </si>
  <si>
    <t>紧急调拨费用</t>
  </si>
  <si>
    <t>原材料存货价值</t>
  </si>
  <si>
    <t>紧急调拨</t>
  </si>
  <si>
    <t>产成品存货价值</t>
  </si>
  <si>
    <t>华北-华中</t>
  </si>
  <si>
    <t>华中-华南</t>
  </si>
  <si>
    <t>华北-华东</t>
  </si>
  <si>
    <t>招聘费</t>
  </si>
  <si>
    <t>市场设备价值</t>
  </si>
  <si>
    <t>培训费</t>
  </si>
  <si>
    <t>资产合计</t>
  </si>
  <si>
    <t>华中-华北</t>
  </si>
  <si>
    <t>华中-华东</t>
  </si>
  <si>
    <t>员工工资</t>
  </si>
  <si>
    <t>正常负债</t>
  </si>
  <si>
    <t>一次性生活安置费</t>
  </si>
  <si>
    <t>非正常负债</t>
  </si>
  <si>
    <t>华南-华北</t>
  </si>
  <si>
    <t>华南-华中</t>
  </si>
  <si>
    <t>华南-华东</t>
  </si>
  <si>
    <t>原材料仓储费用</t>
  </si>
  <si>
    <t>负债合计</t>
  </si>
  <si>
    <t>产品仓储费用</t>
  </si>
  <si>
    <t>所有者权益</t>
  </si>
  <si>
    <t>华东-华北</t>
  </si>
  <si>
    <t>华东-华中</t>
  </si>
  <si>
    <t>华北-华南</t>
  </si>
  <si>
    <t>银行利息</t>
  </si>
  <si>
    <t>增值税</t>
  </si>
  <si>
    <t>招聘员工数</t>
  </si>
  <si>
    <t>解聘员工数</t>
  </si>
  <si>
    <t>附加税</t>
  </si>
  <si>
    <t>企业所得税</t>
  </si>
  <si>
    <t>费用合计</t>
  </si>
  <si>
    <t>技术工人</t>
  </si>
  <si>
    <t>净利润</t>
  </si>
  <si>
    <t>第一季度</t>
  </si>
  <si>
    <t>第二季度</t>
  </si>
  <si>
    <t>第三季度</t>
  </si>
  <si>
    <t>第四季度</t>
  </si>
  <si>
    <t>第五季度</t>
  </si>
  <si>
    <t>第六季度</t>
  </si>
  <si>
    <t>第七季度</t>
  </si>
  <si>
    <t>第八季度</t>
  </si>
  <si>
    <t>公司总数</t>
    <phoneticPr fontId="5" type="noConversion"/>
  </si>
  <si>
    <t>本季市场需求量</t>
    <phoneticPr fontId="5" type="noConversion"/>
  </si>
  <si>
    <t>本季生产量</t>
    <phoneticPr fontId="5" type="noConversion"/>
  </si>
  <si>
    <t>本季销售量</t>
    <phoneticPr fontId="5" type="noConversion"/>
  </si>
  <si>
    <t>产品库存</t>
    <phoneticPr fontId="5" type="noConversion"/>
  </si>
  <si>
    <t>原料库存</t>
    <phoneticPr fontId="5" type="noConversion"/>
  </si>
  <si>
    <t>总市场占有率</t>
    <phoneticPr fontId="5" type="noConversion"/>
  </si>
  <si>
    <t>下季产能</t>
    <phoneticPr fontId="5" type="noConversion"/>
  </si>
  <si>
    <t>下季实际产能</t>
    <phoneticPr fontId="5" type="noConversion"/>
  </si>
  <si>
    <t>生产线数量</t>
    <phoneticPr fontId="5" type="noConversion"/>
  </si>
  <si>
    <t>员工总数</t>
    <phoneticPr fontId="5" type="noConversion"/>
  </si>
  <si>
    <t>技术工人</t>
    <phoneticPr fontId="5" type="noConversion"/>
  </si>
  <si>
    <t>客服人员</t>
    <phoneticPr fontId="5" type="noConversion"/>
  </si>
  <si>
    <t>增值税</t>
    <phoneticPr fontId="5" type="noConversion"/>
  </si>
  <si>
    <t>附加税</t>
    <phoneticPr fontId="5" type="noConversion"/>
  </si>
  <si>
    <t>贷款年利率</t>
    <phoneticPr fontId="5" type="noConversion"/>
  </si>
  <si>
    <t>折现率</t>
    <phoneticPr fontId="5" type="noConversion"/>
  </si>
  <si>
    <t>产品剩余量</t>
    <phoneticPr fontId="5" type="noConversion"/>
  </si>
  <si>
    <t>修正</t>
    <phoneticPr fontId="5" type="noConversion"/>
  </si>
  <si>
    <t>运营状况表</t>
    <phoneticPr fontId="5" type="noConversion"/>
  </si>
  <si>
    <t>原材料耗用</t>
    <phoneticPr fontId="5" type="noConversion"/>
  </si>
  <si>
    <t>负债判断:</t>
    <phoneticPr fontId="5" type="noConversion"/>
  </si>
  <si>
    <t>修正负债判断</t>
    <phoneticPr fontId="5" type="noConversion"/>
  </si>
  <si>
    <t>实际可产</t>
    <phoneticPr fontId="5" type="noConversion"/>
  </si>
  <si>
    <t>原料核对</t>
    <phoneticPr fontId="5" type="noConversion"/>
  </si>
  <si>
    <t>运营状况修正表</t>
    <phoneticPr fontId="5" type="noConversion"/>
  </si>
  <si>
    <t>销售收入</t>
    <phoneticPr fontId="5" type="noConversion"/>
  </si>
  <si>
    <t>下一季度原材料单价</t>
    <phoneticPr fontId="5" type="noConversion"/>
  </si>
  <si>
    <t>市场部决策</t>
    <phoneticPr fontId="5" type="noConversion"/>
  </si>
  <si>
    <t>采购部决策</t>
    <phoneticPr fontId="5" type="noConversion"/>
  </si>
  <si>
    <t>财务部决策</t>
    <phoneticPr fontId="5" type="noConversion"/>
  </si>
  <si>
    <t>生产研发部决策</t>
    <phoneticPr fontId="5" type="noConversion"/>
  </si>
  <si>
    <t>物流部决策</t>
    <phoneticPr fontId="5" type="noConversion"/>
  </si>
  <si>
    <t>人力资源决策部</t>
    <phoneticPr fontId="5" type="noConversion"/>
  </si>
  <si>
    <t>库存</t>
    <phoneticPr fontId="5" type="noConversion"/>
  </si>
  <si>
    <t>分配</t>
    <phoneticPr fontId="5" type="noConversion"/>
  </si>
  <si>
    <t>产量</t>
    <phoneticPr fontId="5" type="noConversion"/>
  </si>
  <si>
    <t>实际投放量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</si>
</sst>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2" fillId="2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3" borderId="4" xfId="0" applyFill="1" applyBorder="1"/>
    <xf numFmtId="0" fontId="0" fillId="0" borderId="5" xfId="0" applyBorder="1"/>
    <xf numFmtId="0" fontId="0" fillId="4" borderId="5" xfId="0" applyFill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0" fillId="0" borderId="7" xfId="0" applyFill="1" applyBorder="1"/>
    <xf numFmtId="0" fontId="0" fillId="6" borderId="5" xfId="0" applyFill="1" applyBorder="1"/>
    <xf numFmtId="0" fontId="3" fillId="6" borderId="9" xfId="2" applyFill="1" applyAlignment="1"/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horizontal="center"/>
    </xf>
    <xf numFmtId="0" fontId="6" fillId="6" borderId="5" xfId="0" applyFont="1" applyFill="1" applyBorder="1" applyAlignment="1">
      <alignment vertical="center"/>
    </xf>
    <xf numFmtId="0" fontId="0" fillId="0" borderId="0" xfId="0" applyFill="1"/>
    <xf numFmtId="0" fontId="10" fillId="0" borderId="0" xfId="0" applyFont="1"/>
    <xf numFmtId="9" fontId="10" fillId="0" borderId="0" xfId="0" applyNumberFormat="1" applyFont="1"/>
    <xf numFmtId="0" fontId="0" fillId="0" borderId="7" xfId="0" applyBorder="1"/>
    <xf numFmtId="0" fontId="6" fillId="6" borderId="5" xfId="0" applyFont="1" applyFill="1" applyBorder="1"/>
    <xf numFmtId="0" fontId="7" fillId="7" borderId="5" xfId="4" applyBorder="1" applyAlignment="1"/>
    <xf numFmtId="0" fontId="2" fillId="2" borderId="4" xfId="3" applyBorder="1" applyAlignment="1">
      <alignment horizontal="center"/>
    </xf>
    <xf numFmtId="0" fontId="0" fillId="4" borderId="4" xfId="0" applyFill="1" applyBorder="1"/>
    <xf numFmtId="0" fontId="9" fillId="2" borderId="4" xfId="3" applyFont="1" applyBorder="1" applyAlignment="1">
      <alignment horizontal="center"/>
    </xf>
    <xf numFmtId="0" fontId="0" fillId="9" borderId="0" xfId="0" applyFill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4" fillId="0" borderId="5" xfId="0" applyFont="1" applyFill="1" applyBorder="1"/>
    <xf numFmtId="0" fontId="0" fillId="0" borderId="5" xfId="0" applyFill="1" applyBorder="1"/>
    <xf numFmtId="0" fontId="4" fillId="3" borderId="5" xfId="0" applyFont="1" applyFill="1" applyBorder="1"/>
    <xf numFmtId="0" fontId="0" fillId="6" borderId="4" xfId="0" applyFill="1" applyBorder="1"/>
    <xf numFmtId="0" fontId="0" fillId="0" borderId="5" xfId="0" applyFill="1" applyBorder="1" applyAlignment="1">
      <alignment horizontal="right"/>
    </xf>
    <xf numFmtId="0" fontId="8" fillId="8" borderId="12" xfId="5" applyBorder="1" applyAlignment="1"/>
    <xf numFmtId="0" fontId="0" fillId="6" borderId="6" xfId="0" applyFill="1" applyBorder="1"/>
    <xf numFmtId="0" fontId="0" fillId="0" borderId="0" xfId="0" applyBorder="1"/>
    <xf numFmtId="0" fontId="0" fillId="4" borderId="1" xfId="0" applyFill="1" applyBorder="1"/>
    <xf numFmtId="0" fontId="3" fillId="3" borderId="3" xfId="2" applyFill="1" applyBorder="1" applyAlignment="1">
      <alignment horizontal="center"/>
    </xf>
    <xf numFmtId="0" fontId="4" fillId="0" borderId="0" xfId="0" applyFont="1"/>
    <xf numFmtId="0" fontId="3" fillId="6" borderId="9" xfId="2" applyFill="1" applyAlignment="1" applyProtection="1"/>
    <xf numFmtId="0" fontId="4" fillId="6" borderId="5" xfId="0" applyFont="1" applyFill="1" applyBorder="1"/>
    <xf numFmtId="0" fontId="0" fillId="6" borderId="3" xfId="0" applyFill="1" applyBorder="1"/>
    <xf numFmtId="0" fontId="3" fillId="6" borderId="16" xfId="2" applyFill="1" applyBorder="1" applyAlignment="1"/>
    <xf numFmtId="0" fontId="0" fillId="6" borderId="11" xfId="0" applyFill="1" applyBorder="1"/>
    <xf numFmtId="0" fontId="0" fillId="6" borderId="5" xfId="0" applyFill="1" applyBorder="1" applyAlignment="1"/>
    <xf numFmtId="0" fontId="3" fillId="6" borderId="3" xfId="2" applyFill="1" applyBorder="1" applyAlignment="1"/>
    <xf numFmtId="0" fontId="0" fillId="6" borderId="3" xfId="0" applyFill="1" applyBorder="1" applyAlignment="1"/>
    <xf numFmtId="0" fontId="7" fillId="6" borderId="4" xfId="4" applyFill="1" applyBorder="1" applyAlignment="1"/>
    <xf numFmtId="0" fontId="3" fillId="6" borderId="4" xfId="2" applyFill="1" applyBorder="1" applyAlignment="1"/>
    <xf numFmtId="0" fontId="0" fillId="6" borderId="4" xfId="0" applyFill="1" applyBorder="1" applyAlignment="1"/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8" fillId="8" borderId="1" xfId="5" applyBorder="1" applyAlignment="1"/>
    <xf numFmtId="0" fontId="4" fillId="4" borderId="5" xfId="0" applyFont="1" applyFill="1" applyBorder="1"/>
    <xf numFmtId="0" fontId="3" fillId="6" borderId="5" xfId="2" applyFill="1" applyBorder="1" applyAlignment="1"/>
    <xf numFmtId="0" fontId="0" fillId="3" borderId="5" xfId="0" applyFill="1" applyBorder="1"/>
    <xf numFmtId="0" fontId="0" fillId="4" borderId="6" xfId="0" applyFill="1" applyBorder="1"/>
    <xf numFmtId="0" fontId="0" fillId="3" borderId="10" xfId="0" applyFill="1" applyBorder="1"/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5" borderId="3" xfId="2" applyBorder="1" applyAlignment="1">
      <alignment horizontal="center"/>
    </xf>
    <xf numFmtId="0" fontId="3" fillId="3" borderId="7" xfId="2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0" xfId="2" applyFill="1" applyBorder="1" applyAlignment="1">
      <alignment horizontal="center"/>
    </xf>
    <xf numFmtId="0" fontId="3" fillId="5" borderId="6" xfId="2" applyBorder="1" applyAlignment="1">
      <alignment horizontal="center"/>
    </xf>
    <xf numFmtId="0" fontId="3" fillId="5" borderId="5" xfId="2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5" borderId="6" xfId="2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5" borderId="3" xfId="2" applyNumberFormat="1" applyBorder="1" applyAlignment="1">
      <alignment horizontal="center"/>
    </xf>
    <xf numFmtId="0" fontId="3" fillId="5" borderId="15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4" xfId="2" applyFill="1" applyBorder="1" applyAlignment="1">
      <alignment horizontal="center"/>
    </xf>
    <xf numFmtId="0" fontId="3" fillId="5" borderId="5" xfId="2" applyNumberFormat="1" applyBorder="1" applyAlignment="1">
      <alignment horizontal="center"/>
    </xf>
    <xf numFmtId="0" fontId="3" fillId="3" borderId="17" xfId="2" applyFill="1" applyBorder="1" applyAlignment="1">
      <alignment horizontal="center"/>
    </xf>
    <xf numFmtId="0" fontId="3" fillId="3" borderId="0" xfId="2" applyFill="1" applyBorder="1" applyAlignment="1">
      <alignment horizontal="center"/>
    </xf>
    <xf numFmtId="0" fontId="0" fillId="3" borderId="15" xfId="0" applyFill="1" applyBorder="1"/>
    <xf numFmtId="0" fontId="3" fillId="5" borderId="1" xfId="2" applyBorder="1" applyAlignment="1">
      <alignment horizontal="center"/>
    </xf>
    <xf numFmtId="0" fontId="3" fillId="0" borderId="18" xfId="2" applyFill="1" applyBorder="1" applyAlignment="1">
      <alignment horizontal="center"/>
    </xf>
    <xf numFmtId="0" fontId="3" fillId="0" borderId="12" xfId="2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3" fillId="5" borderId="11" xfId="2" applyBorder="1" applyAlignment="1">
      <alignment horizontal="center"/>
    </xf>
    <xf numFmtId="0" fontId="0" fillId="3" borderId="3" xfId="0" applyFill="1" applyBorder="1"/>
    <xf numFmtId="0" fontId="6" fillId="4" borderId="5" xfId="0" applyFont="1" applyFill="1" applyBorder="1"/>
    <xf numFmtId="1" fontId="3" fillId="0" borderId="18" xfId="2" applyNumberFormat="1" applyFill="1" applyBorder="1" applyAlignment="1">
      <alignment horizontal="center"/>
    </xf>
    <xf numFmtId="1" fontId="3" fillId="0" borderId="12" xfId="2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3" fillId="0" borderId="2" xfId="2" applyNumberFormat="1" applyFill="1" applyBorder="1" applyAlignment="1">
      <alignment horizontal="center"/>
    </xf>
    <xf numFmtId="0" fontId="3" fillId="3" borderId="12" xfId="2" applyFill="1" applyBorder="1" applyAlignment="1">
      <alignment horizontal="center"/>
    </xf>
    <xf numFmtId="0" fontId="3" fillId="3" borderId="2" xfId="2" applyFill="1" applyBorder="1" applyAlignment="1">
      <alignment horizontal="center"/>
    </xf>
    <xf numFmtId="1" fontId="3" fillId="3" borderId="2" xfId="2" applyNumberFormat="1" applyFill="1" applyBorder="1" applyAlignment="1">
      <alignment horizontal="center"/>
    </xf>
    <xf numFmtId="0" fontId="2" fillId="2" borderId="6" xfId="3" applyBorder="1" applyAlignment="1">
      <alignment horizontal="center"/>
    </xf>
    <xf numFmtId="0" fontId="2" fillId="2" borderId="5" xfId="3" applyBorder="1" applyAlignment="1">
      <alignment horizontal="center"/>
    </xf>
    <xf numFmtId="0" fontId="3" fillId="5" borderId="7" xfId="2" applyBorder="1" applyAlignment="1">
      <alignment horizontal="center"/>
    </xf>
    <xf numFmtId="0" fontId="0" fillId="3" borderId="14" xfId="0" applyFill="1" applyBorder="1"/>
    <xf numFmtId="0" fontId="0" fillId="4" borderId="6" xfId="0" applyFill="1" applyBorder="1" applyAlignment="1">
      <alignment horizontal="center"/>
    </xf>
    <xf numFmtId="0" fontId="3" fillId="3" borderId="4" xfId="2" applyFill="1" applyBorder="1" applyAlignment="1">
      <alignment horizontal="center"/>
    </xf>
    <xf numFmtId="1" fontId="3" fillId="0" borderId="4" xfId="2" applyNumberFormat="1" applyFill="1" applyBorder="1" applyAlignment="1">
      <alignment horizontal="center"/>
    </xf>
    <xf numFmtId="0" fontId="2" fillId="2" borderId="19" xfId="3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3" fillId="6" borderId="20" xfId="2" applyFill="1" applyBorder="1" applyAlignment="1"/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0" borderId="5" xfId="1" applyNumberFormat="1" applyFont="1" applyBorder="1" applyAlignment="1"/>
    <xf numFmtId="0" fontId="0" fillId="0" borderId="5" xfId="0" applyFont="1" applyFill="1" applyBorder="1"/>
    <xf numFmtId="0" fontId="6" fillId="0" borderId="5" xfId="0" applyFont="1" applyBorder="1"/>
    <xf numFmtId="10" fontId="6" fillId="0" borderId="5" xfId="1" applyNumberFormat="1" applyFont="1" applyBorder="1" applyAlignment="1"/>
    <xf numFmtId="0" fontId="6" fillId="0" borderId="5" xfId="0" applyFont="1" applyFill="1" applyBorder="1"/>
    <xf numFmtId="0" fontId="0" fillId="0" borderId="5" xfId="1" applyNumberFormat="1" applyFont="1" applyBorder="1" applyAlignment="1"/>
    <xf numFmtId="0" fontId="0" fillId="4" borderId="5" xfId="0" applyFill="1" applyBorder="1" applyAlignment="1">
      <alignment horizontal="center"/>
    </xf>
    <xf numFmtId="0" fontId="3" fillId="10" borderId="5" xfId="2" applyFill="1" applyBorder="1" applyAlignment="1"/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7" borderId="5" xfId="4" applyBorder="1" applyAlignment="1">
      <alignment horizontal="center"/>
    </xf>
    <xf numFmtId="0" fontId="1" fillId="0" borderId="1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0" borderId="6" xfId="0" applyFont="1" applyBorder="1" applyAlignment="1">
      <alignment horizontal="center" vertical="center" textRotation="255"/>
    </xf>
    <xf numFmtId="0" fontId="8" fillId="8" borderId="3" xfId="5" applyBorder="1" applyAlignment="1">
      <alignment horizontal="center"/>
    </xf>
    <xf numFmtId="0" fontId="8" fillId="8" borderId="10" xfId="5" applyBorder="1" applyAlignment="1">
      <alignment horizontal="center"/>
    </xf>
    <xf numFmtId="0" fontId="8" fillId="8" borderId="2" xfId="5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8" fillId="8" borderId="12" xfId="5" applyBorder="1" applyAlignment="1">
      <alignment horizontal="center"/>
    </xf>
    <xf numFmtId="0" fontId="8" fillId="8" borderId="4" xfId="5" applyBorder="1" applyAlignment="1">
      <alignment horizontal="center"/>
    </xf>
    <xf numFmtId="0" fontId="2" fillId="2" borderId="3" xfId="3" applyBorder="1" applyAlignment="1">
      <alignment horizontal="center"/>
    </xf>
    <xf numFmtId="0" fontId="2" fillId="2" borderId="2" xfId="3" applyBorder="1" applyAlignment="1">
      <alignment horizontal="center"/>
    </xf>
    <xf numFmtId="0" fontId="2" fillId="2" borderId="5" xfId="3" applyBorder="1" applyAlignment="1">
      <alignment horizontal="center"/>
    </xf>
    <xf numFmtId="0" fontId="2" fillId="2" borderId="4" xfId="3" applyFont="1" applyBorder="1" applyAlignment="1">
      <alignment horizontal="center" wrapText="1"/>
    </xf>
    <xf numFmtId="0" fontId="2" fillId="2" borderId="6" xfId="3" applyFont="1" applyBorder="1" applyAlignment="1">
      <alignment horizontal="center" wrapText="1"/>
    </xf>
    <xf numFmtId="0" fontId="2" fillId="2" borderId="6" xfId="3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2" borderId="13" xfId="3" applyBorder="1" applyAlignment="1">
      <alignment horizontal="center"/>
    </xf>
    <xf numFmtId="1" fontId="0" fillId="0" borderId="0" xfId="0" applyNumberFormat="1"/>
    <xf numFmtId="0" fontId="1" fillId="4" borderId="1" xfId="0" applyFont="1" applyFill="1" applyBorder="1" applyAlignment="1">
      <alignment horizontal="center" vertical="center" textRotation="255"/>
    </xf>
    <xf numFmtId="0" fontId="1" fillId="4" borderId="4" xfId="0" applyFont="1" applyFill="1" applyBorder="1" applyAlignment="1">
      <alignment horizontal="center" vertical="center" textRotation="255"/>
    </xf>
    <xf numFmtId="0" fontId="1" fillId="4" borderId="6" xfId="0" applyFont="1" applyFill="1" applyBorder="1" applyAlignment="1">
      <alignment horizontal="center" vertical="center" textRotation="255"/>
    </xf>
    <xf numFmtId="0" fontId="12" fillId="11" borderId="5" xfId="3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</cellXfs>
  <cellStyles count="6">
    <cellStyle name="百分比" xfId="1" builtinId="5"/>
    <cellStyle name="差" xfId="5" builtinId="27"/>
    <cellStyle name="常规" xfId="0" builtinId="0"/>
    <cellStyle name="好" xfId="4" builtinId="26"/>
    <cellStyle name="计算" xfId="2" builtinId="2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BV1nZ4y1P7x3?share_source=copy_we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155760</xdr:colOff>
      <xdr:row>12</xdr:row>
      <xdr:rowOff>134470</xdr:rowOff>
    </xdr:from>
    <xdr:to>
      <xdr:col>15</xdr:col>
      <xdr:colOff>145675</xdr:colOff>
      <xdr:row>36</xdr:row>
      <xdr:rowOff>22412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41BBE-5DAD-4095-824A-E6B4978EC019}"/>
            </a:ext>
          </a:extLst>
        </xdr:cNvPr>
        <xdr:cNvSpPr txBox="1"/>
      </xdr:nvSpPr>
      <xdr:spPr>
        <a:xfrm>
          <a:off x="6901701" y="2398058"/>
          <a:ext cx="6354856" cy="41910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使用说明：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①筹建阶段根据市场环境填写本表第一行的内容。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②决策环节：每季初填写</a:t>
          </a:r>
          <a:r>
            <a:rPr lang="zh-CN" altLang="en-US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列</a:t>
          </a:r>
          <a:r>
            <a:rPr lang="en-US" altLang="zh-CN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B-G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的决策表，该决策所得到的结果在</a:t>
          </a:r>
          <a:r>
            <a:rPr lang="zh-CN" altLang="en-US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本表右侧输出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（不包括修正一栏）。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③修正环节：每季度结束后填写运营状况修正表，以及填写上一季度利润表中的原料单价对应本表列</a:t>
          </a:r>
          <a:r>
            <a:rPr lang="en-US" altLang="zh-CN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T,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输出为</a:t>
          </a:r>
          <a:r>
            <a:rPr lang="zh-CN" altLang="en-US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表</a:t>
          </a:r>
          <a:r>
            <a:rPr lang="en-US" altLang="zh-CN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S/W</a:t>
          </a:r>
          <a:r>
            <a:rPr lang="zh-CN" altLang="en-US" sz="1600" b="1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列修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正一栏即实际公司情况。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④预测对应决策环节，核对对应修正环节，每一季度决策与修正以此循环。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注：运营状况修正表标</a:t>
          </a:r>
          <a:r>
            <a:rPr lang="zh-CN" altLang="en-US" sz="1600">
              <a:solidFill>
                <a:srgbClr val="00B0F0"/>
              </a:solidFill>
              <a:latin typeface="仿宋" panose="02010609060101010101" pitchFamily="49" charset="-122"/>
              <a:ea typeface="仿宋" panose="02010609060101010101" pitchFamily="49" charset="-122"/>
              <a:sym typeface="Wingdings" panose="05000000000000000000" pitchFamily="2" charset="2"/>
            </a:rPr>
            <a:t>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sym typeface="Wingdings" panose="05000000000000000000" pitchFamily="2" charset="2"/>
            </a:rPr>
            <a:t>的地方为必须填写处，请各位同学核对实际运营中的数据进行填写，不然会影响最终决策数据。</a:t>
          </a:r>
          <a:endParaRPr lang="en-US" altLang="zh-CN" sz="1600">
            <a:solidFill>
              <a:sysClr val="windowText" lastClr="000000"/>
            </a:solidFill>
            <a:latin typeface="仿宋" panose="02010609060101010101" pitchFamily="49" charset="-122"/>
            <a:ea typeface="仿宋" panose="02010609060101010101" pitchFamily="49" charset="-122"/>
            <a:sym typeface="Wingdings" panose="05000000000000000000" pitchFamily="2" charset="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</a:rPr>
            <a:t>该表最终解释权归中北大学赵彦有所。请勿使用该表进行商业盈利活动，违者必究！</a:t>
          </a:r>
          <a:endParaRPr lang="en-US" altLang="zh-CN" sz="105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zh-CN" altLang="zh-CN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+mn-cs"/>
            </a:rPr>
            <a:t>计算表</a:t>
          </a:r>
          <a:r>
            <a:rPr lang="zh-CN" altLang="en-US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+mn-cs"/>
            </a:rPr>
            <a:t>使用演示：</a:t>
          </a:r>
          <a:r>
            <a:rPr lang="en-US" altLang="zh-CN" sz="160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+mn-cs"/>
            </a:rPr>
            <a:t>https://www.bilibili.com/video/BV1nZ4y1P7x3?share_source=copy_web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0"/>
  <sheetViews>
    <sheetView topLeftCell="A59" zoomScale="85" zoomScaleNormal="85" workbookViewId="0">
      <selection activeCell="Q66" sqref="Q66"/>
    </sheetView>
  </sheetViews>
  <sheetFormatPr defaultColWidth="9" defaultRowHeight="13.8" x14ac:dyDescent="0.25"/>
  <cols>
    <col min="2" max="2" width="15.109375" customWidth="1"/>
    <col min="3" max="3" width="11" customWidth="1"/>
    <col min="4" max="4" width="12.6640625" customWidth="1"/>
    <col min="5" max="5" width="5.5546875" bestFit="1" customWidth="1"/>
    <col min="6" max="6" width="17.21875" customWidth="1"/>
    <col min="7" max="8" width="9.44140625" customWidth="1"/>
    <col min="9" max="9" width="3.33203125" customWidth="1"/>
    <col min="10" max="10" width="20" bestFit="1" customWidth="1"/>
    <col min="11" max="11" width="13" bestFit="1" customWidth="1"/>
    <col min="12" max="12" width="17.77734375" bestFit="1" customWidth="1"/>
    <col min="13" max="13" width="8.44140625" customWidth="1"/>
    <col min="14" max="14" width="12.77734375" bestFit="1" customWidth="1"/>
    <col min="15" max="15" width="13" bestFit="1" customWidth="1"/>
    <col min="16" max="16" width="3.77734375" customWidth="1"/>
    <col min="17" max="17" width="21.33203125" style="16" customWidth="1"/>
    <col min="18" max="18" width="12.33203125" style="69" customWidth="1"/>
    <col min="19" max="19" width="14.109375" style="79" customWidth="1"/>
    <col min="20" max="20" width="10.33203125" style="60" customWidth="1"/>
    <col min="21" max="21" width="15.109375" customWidth="1"/>
    <col min="22" max="22" width="12.77734375" style="60" bestFit="1" customWidth="1"/>
    <col min="23" max="23" width="13.88671875" style="104" bestFit="1" customWidth="1"/>
    <col min="24" max="25" width="9" style="13"/>
  </cols>
  <sheetData>
    <row r="1" spans="1:25" ht="22.8" x14ac:dyDescent="0.4">
      <c r="B1" s="14" t="s">
        <v>93</v>
      </c>
      <c r="C1" s="14">
        <v>9</v>
      </c>
      <c r="D1" s="14" t="s">
        <v>106</v>
      </c>
      <c r="E1" s="15">
        <v>0.06</v>
      </c>
      <c r="F1" s="14" t="s">
        <v>107</v>
      </c>
      <c r="G1" s="15">
        <v>7.0000000000000007E-2</v>
      </c>
      <c r="J1" s="14" t="s">
        <v>81</v>
      </c>
      <c r="K1" s="15">
        <v>0.25</v>
      </c>
      <c r="L1" s="14" t="s">
        <v>108</v>
      </c>
      <c r="M1" s="15">
        <v>0.04</v>
      </c>
      <c r="N1" s="14" t="s">
        <v>109</v>
      </c>
      <c r="O1" s="15">
        <v>0.02</v>
      </c>
      <c r="Q1" s="33"/>
      <c r="S1" s="57"/>
      <c r="T1" s="69"/>
      <c r="U1" s="33"/>
      <c r="V1" s="69"/>
      <c r="W1" s="102"/>
    </row>
    <row r="2" spans="1:25" x14ac:dyDescent="0.25">
      <c r="A2" s="119" t="s">
        <v>0</v>
      </c>
      <c r="B2" s="122" t="s">
        <v>3</v>
      </c>
      <c r="C2" s="123"/>
      <c r="D2" s="123"/>
      <c r="E2" s="123"/>
      <c r="F2" s="123"/>
      <c r="G2" s="124"/>
      <c r="H2" s="50"/>
      <c r="I2" s="1"/>
      <c r="J2" s="136" t="s">
        <v>4</v>
      </c>
      <c r="K2" s="136"/>
      <c r="L2" s="136"/>
      <c r="M2" s="136"/>
      <c r="N2" s="2"/>
      <c r="O2" s="2"/>
      <c r="P2" s="6"/>
      <c r="Q2" s="132" t="s">
        <v>1</v>
      </c>
      <c r="R2" s="132"/>
      <c r="S2" s="94" t="s">
        <v>111</v>
      </c>
      <c r="T2" s="105"/>
      <c r="U2" s="132" t="s">
        <v>2</v>
      </c>
      <c r="V2" s="132"/>
      <c r="W2" s="93"/>
    </row>
    <row r="3" spans="1:25" x14ac:dyDescent="0.25">
      <c r="A3" s="120"/>
      <c r="B3" s="18" t="s">
        <v>121</v>
      </c>
      <c r="C3" s="8"/>
      <c r="D3" s="8"/>
      <c r="E3" s="8"/>
      <c r="F3" s="18" t="s">
        <v>122</v>
      </c>
      <c r="G3" s="8"/>
      <c r="H3" s="31"/>
      <c r="I3" s="1"/>
      <c r="J3" s="2"/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6"/>
      <c r="Q3" s="20" t="s">
        <v>5</v>
      </c>
      <c r="R3" s="70" t="s">
        <v>6</v>
      </c>
      <c r="S3" s="97" t="s">
        <v>6</v>
      </c>
      <c r="T3" s="105"/>
      <c r="U3" s="3" t="s">
        <v>5</v>
      </c>
      <c r="V3" s="56" t="s">
        <v>6</v>
      </c>
      <c r="W3" s="56" t="s">
        <v>6</v>
      </c>
    </row>
    <row r="4" spans="1:25" x14ac:dyDescent="0.25">
      <c r="A4" s="120"/>
      <c r="B4" s="8"/>
      <c r="C4" s="8" t="s">
        <v>13</v>
      </c>
      <c r="D4" s="8" t="s">
        <v>14</v>
      </c>
      <c r="E4" s="8"/>
      <c r="F4" s="8" t="s">
        <v>15</v>
      </c>
      <c r="G4" s="52">
        <v>333333</v>
      </c>
      <c r="H4" s="31"/>
      <c r="I4" s="1"/>
      <c r="J4" s="2" t="s">
        <v>16</v>
      </c>
      <c r="K4" s="2">
        <v>0</v>
      </c>
      <c r="L4" s="108">
        <f>1/C1</f>
        <v>0.1111111111111111</v>
      </c>
      <c r="M4" s="2">
        <v>0</v>
      </c>
      <c r="N4" s="2">
        <v>0</v>
      </c>
      <c r="O4" s="2">
        <f>C32</f>
        <v>3</v>
      </c>
      <c r="P4" s="6"/>
      <c r="Q4" s="75"/>
      <c r="R4" s="73"/>
      <c r="S4" s="77"/>
      <c r="T4" s="105"/>
      <c r="U4" s="3" t="s">
        <v>12</v>
      </c>
      <c r="V4" s="58">
        <v>0</v>
      </c>
      <c r="W4" s="63"/>
    </row>
    <row r="5" spans="1:25" x14ac:dyDescent="0.25">
      <c r="A5" s="120"/>
      <c r="B5" s="8" t="s">
        <v>16</v>
      </c>
      <c r="C5" s="52">
        <v>0</v>
      </c>
      <c r="D5" s="52">
        <v>0</v>
      </c>
      <c r="E5" s="8"/>
      <c r="F5" s="8" t="s">
        <v>18</v>
      </c>
      <c r="G5" s="52">
        <v>0</v>
      </c>
      <c r="H5" s="31"/>
      <c r="I5" s="1"/>
      <c r="J5" s="2" t="s">
        <v>19</v>
      </c>
      <c r="K5" s="2">
        <v>0</v>
      </c>
      <c r="L5" s="108">
        <f>1/C1</f>
        <v>0.1111111111111111</v>
      </c>
      <c r="M5" s="2">
        <v>0</v>
      </c>
      <c r="N5" s="2">
        <v>0</v>
      </c>
      <c r="O5" s="2">
        <f>C33</f>
        <v>3</v>
      </c>
      <c r="P5" s="6"/>
      <c r="Q5" s="51" t="s">
        <v>119</v>
      </c>
      <c r="R5" s="63">
        <f>C5*M4+C6*M5+C7*M6+C8*M7</f>
        <v>0</v>
      </c>
      <c r="S5" s="63"/>
      <c r="T5" s="105"/>
      <c r="U5" s="3" t="s">
        <v>17</v>
      </c>
      <c r="V5" s="58">
        <v>0</v>
      </c>
      <c r="W5" s="63"/>
    </row>
    <row r="6" spans="1:25" x14ac:dyDescent="0.25">
      <c r="A6" s="120"/>
      <c r="B6" s="8" t="s">
        <v>19</v>
      </c>
      <c r="C6" s="52">
        <v>0</v>
      </c>
      <c r="D6" s="52">
        <v>0</v>
      </c>
      <c r="E6" s="8"/>
      <c r="F6" s="8" t="s">
        <v>21</v>
      </c>
      <c r="G6" s="52">
        <v>8</v>
      </c>
      <c r="H6" s="31"/>
      <c r="I6" s="1"/>
      <c r="J6" s="2" t="s">
        <v>22</v>
      </c>
      <c r="K6" s="2">
        <v>0</v>
      </c>
      <c r="L6" s="108">
        <f>1/C1</f>
        <v>0.1111111111111111</v>
      </c>
      <c r="M6" s="2">
        <v>0</v>
      </c>
      <c r="N6" s="2">
        <v>0</v>
      </c>
      <c r="O6" s="2">
        <f>C34</f>
        <v>3</v>
      </c>
      <c r="P6" s="6"/>
      <c r="Q6" s="6"/>
      <c r="R6" s="74"/>
      <c r="S6" s="78"/>
      <c r="T6" s="105"/>
      <c r="U6" s="3" t="s">
        <v>20</v>
      </c>
      <c r="V6" s="58">
        <v>0</v>
      </c>
      <c r="W6" s="63"/>
    </row>
    <row r="7" spans="1:25" x14ac:dyDescent="0.25">
      <c r="A7" s="120"/>
      <c r="B7" s="8" t="s">
        <v>22</v>
      </c>
      <c r="C7" s="52">
        <v>0</v>
      </c>
      <c r="D7" s="52">
        <v>0</v>
      </c>
      <c r="E7" s="8"/>
      <c r="F7" s="8"/>
      <c r="G7" s="8"/>
      <c r="H7" s="31"/>
      <c r="I7" s="1"/>
      <c r="J7" s="2" t="s">
        <v>24</v>
      </c>
      <c r="K7" s="2">
        <v>0</v>
      </c>
      <c r="L7" s="108">
        <f>1/C1</f>
        <v>0.1111111111111111</v>
      </c>
      <c r="M7" s="2">
        <v>0</v>
      </c>
      <c r="N7" s="2">
        <v>0</v>
      </c>
      <c r="O7" s="2">
        <f>C35</f>
        <v>3</v>
      </c>
      <c r="P7" s="6"/>
      <c r="Q7" s="3" t="s">
        <v>23</v>
      </c>
      <c r="R7" s="63">
        <f>C12</f>
        <v>962000</v>
      </c>
      <c r="S7" s="63"/>
      <c r="T7" s="105"/>
      <c r="U7" s="3"/>
      <c r="V7" s="58"/>
      <c r="W7" s="63"/>
    </row>
    <row r="8" spans="1:25" x14ac:dyDescent="0.25">
      <c r="A8" s="120"/>
      <c r="B8" s="8" t="s">
        <v>24</v>
      </c>
      <c r="C8" s="52">
        <v>0</v>
      </c>
      <c r="D8" s="52">
        <v>0</v>
      </c>
      <c r="E8" s="8"/>
      <c r="F8" s="8"/>
      <c r="G8" s="8"/>
      <c r="H8" s="31"/>
      <c r="I8" s="1"/>
      <c r="J8" s="27"/>
      <c r="K8" s="2"/>
      <c r="L8" s="108"/>
      <c r="M8" s="2"/>
      <c r="N8" s="2"/>
      <c r="O8" s="2"/>
      <c r="P8" s="6"/>
      <c r="Q8" s="3" t="s">
        <v>25</v>
      </c>
      <c r="R8" s="63">
        <v>0</v>
      </c>
      <c r="S8" s="63"/>
      <c r="T8" s="105"/>
      <c r="U8" s="3" t="s">
        <v>26</v>
      </c>
      <c r="V8" s="58">
        <f>R35</f>
        <v>2000000</v>
      </c>
      <c r="W8" s="63"/>
    </row>
    <row r="9" spans="1:25" x14ac:dyDescent="0.25">
      <c r="A9" s="120"/>
      <c r="B9" s="8"/>
      <c r="C9" s="8"/>
      <c r="D9" s="8"/>
      <c r="E9" s="8"/>
      <c r="F9" s="8"/>
      <c r="G9" s="8"/>
      <c r="H9" s="31"/>
      <c r="I9" s="1"/>
      <c r="J9" s="109" t="s">
        <v>94</v>
      </c>
      <c r="K9" s="110" t="s">
        <v>95</v>
      </c>
      <c r="L9" s="111" t="s">
        <v>96</v>
      </c>
      <c r="M9" s="112" t="s">
        <v>97</v>
      </c>
      <c r="N9" s="112" t="s">
        <v>98</v>
      </c>
      <c r="O9" s="112" t="s">
        <v>99</v>
      </c>
      <c r="P9" s="6"/>
      <c r="Q9" s="3" t="s">
        <v>27</v>
      </c>
      <c r="R9" s="63">
        <v>0</v>
      </c>
      <c r="S9" s="63"/>
      <c r="T9" s="133" t="s">
        <v>120</v>
      </c>
      <c r="U9" s="3" t="s">
        <v>28</v>
      </c>
      <c r="V9" s="58">
        <f>G4*1.5</f>
        <v>499999.5</v>
      </c>
      <c r="W9" s="63"/>
    </row>
    <row r="10" spans="1:25" x14ac:dyDescent="0.25">
      <c r="A10" s="120"/>
      <c r="B10" s="18" t="s">
        <v>124</v>
      </c>
      <c r="C10" s="8"/>
      <c r="D10" s="8"/>
      <c r="E10" s="8"/>
      <c r="F10" s="18" t="s">
        <v>123</v>
      </c>
      <c r="G10" s="52"/>
      <c r="H10" s="31"/>
      <c r="I10" s="1"/>
      <c r="J10" s="2">
        <f>K4+K5+K6+K7</f>
        <v>0</v>
      </c>
      <c r="K10" s="112">
        <v>0</v>
      </c>
      <c r="L10" s="113">
        <f>M4+M5+M6+M7</f>
        <v>0</v>
      </c>
      <c r="M10" s="2">
        <f>N4+N5+N6+N7</f>
        <v>0</v>
      </c>
      <c r="N10" s="2">
        <f>G4</f>
        <v>333333</v>
      </c>
      <c r="O10" s="108">
        <f>(L4+L5+L6+L7)/4</f>
        <v>0.1111111111111111</v>
      </c>
      <c r="P10" s="6"/>
      <c r="Q10" s="3" t="s">
        <v>29</v>
      </c>
      <c r="R10" s="63">
        <v>0</v>
      </c>
      <c r="S10" s="63"/>
      <c r="T10" s="134"/>
      <c r="U10" s="3" t="s">
        <v>30</v>
      </c>
      <c r="V10" s="58">
        <f>G6*500000</f>
        <v>4000000</v>
      </c>
      <c r="W10" s="63"/>
    </row>
    <row r="11" spans="1:25" x14ac:dyDescent="0.25">
      <c r="A11" s="120"/>
      <c r="B11" s="8" t="s">
        <v>33</v>
      </c>
      <c r="C11" s="52">
        <v>0</v>
      </c>
      <c r="D11" s="8"/>
      <c r="E11" s="8"/>
      <c r="F11" s="8" t="s">
        <v>17</v>
      </c>
      <c r="G11" s="52">
        <v>0</v>
      </c>
      <c r="H11" s="31"/>
      <c r="I11" s="1"/>
      <c r="J11" s="110" t="s">
        <v>100</v>
      </c>
      <c r="K11" s="110" t="s">
        <v>101</v>
      </c>
      <c r="L11" s="112" t="s">
        <v>102</v>
      </c>
      <c r="M11" s="112" t="s">
        <v>103</v>
      </c>
      <c r="N11" s="112" t="s">
        <v>104</v>
      </c>
      <c r="O11" s="112" t="s">
        <v>105</v>
      </c>
      <c r="P11" s="6"/>
      <c r="Q11" s="3" t="s">
        <v>31</v>
      </c>
      <c r="R11" s="63" t="str">
        <f>IF(G4=0,"0",IF(G4&lt;=500000,"40000",IF(G4&lt;=1000000,"80000",IF(G4&lt;=1500000,"120000",IF(G4&lt;=2000000,"160000","200000")))))</f>
        <v>40000</v>
      </c>
      <c r="S11" s="63"/>
      <c r="T11" s="114">
        <v>1.27</v>
      </c>
      <c r="U11" s="3" t="s">
        <v>32</v>
      </c>
      <c r="V11" s="58">
        <v>0</v>
      </c>
      <c r="W11" s="63"/>
    </row>
    <row r="12" spans="1:25" x14ac:dyDescent="0.25">
      <c r="A12" s="120"/>
      <c r="B12" s="8" t="s">
        <v>36</v>
      </c>
      <c r="C12" s="52">
        <v>962000</v>
      </c>
      <c r="D12" s="8"/>
      <c r="E12" s="8"/>
      <c r="F12" s="8" t="s">
        <v>32</v>
      </c>
      <c r="G12" s="52">
        <v>0</v>
      </c>
      <c r="H12" s="31"/>
      <c r="I12" s="1"/>
      <c r="J12" s="2">
        <f>G6*50000</f>
        <v>400000</v>
      </c>
      <c r="K12" s="2">
        <f>G6*50000</f>
        <v>400000</v>
      </c>
      <c r="L12" s="2">
        <f>G6</f>
        <v>8</v>
      </c>
      <c r="M12" s="2">
        <f>N12+O4+O5+O6+O7</f>
        <v>36</v>
      </c>
      <c r="N12" s="2">
        <f>C36</f>
        <v>24</v>
      </c>
      <c r="O12" s="2">
        <f>O7+O6+O5+O4</f>
        <v>12</v>
      </c>
      <c r="P12" s="6"/>
      <c r="Q12" s="3" t="s">
        <v>34</v>
      </c>
      <c r="R12" s="63">
        <v>0</v>
      </c>
      <c r="S12" s="63"/>
      <c r="T12" s="105"/>
      <c r="U12" s="3" t="s">
        <v>35</v>
      </c>
      <c r="V12" s="58">
        <v>0</v>
      </c>
      <c r="W12" s="63"/>
      <c r="Y12" s="57"/>
    </row>
    <row r="13" spans="1:25" x14ac:dyDescent="0.25">
      <c r="A13" s="120"/>
      <c r="B13" s="8"/>
      <c r="C13" s="8"/>
      <c r="D13" s="8"/>
      <c r="E13" s="8"/>
      <c r="F13" s="8" t="s">
        <v>35</v>
      </c>
      <c r="G13" s="52">
        <v>0</v>
      </c>
      <c r="H13" s="31"/>
      <c r="I13" s="1"/>
      <c r="P13" s="6"/>
      <c r="Q13" s="3" t="s">
        <v>37</v>
      </c>
      <c r="R13" s="63">
        <v>0</v>
      </c>
      <c r="S13" s="63"/>
      <c r="T13" s="105"/>
      <c r="U13" s="3" t="s">
        <v>38</v>
      </c>
      <c r="V13" s="58">
        <f>V8+V9+V10</f>
        <v>6499999.5</v>
      </c>
      <c r="W13" s="63"/>
    </row>
    <row r="14" spans="1:25" x14ac:dyDescent="0.25">
      <c r="A14" s="120"/>
      <c r="B14" s="18" t="s">
        <v>125</v>
      </c>
      <c r="C14" s="8"/>
      <c r="D14" s="8"/>
      <c r="E14" s="8"/>
      <c r="F14" s="8"/>
      <c r="G14" s="8"/>
      <c r="H14" s="31"/>
      <c r="I14" s="1"/>
      <c r="P14" s="6"/>
      <c r="Q14" s="3" t="s">
        <v>39</v>
      </c>
      <c r="R14" s="63">
        <f>G6*100000</f>
        <v>800000</v>
      </c>
      <c r="S14" s="63"/>
      <c r="T14" s="105"/>
      <c r="U14" s="3" t="s">
        <v>40</v>
      </c>
      <c r="V14" s="58">
        <f>V6-V13</f>
        <v>-6499999.5</v>
      </c>
      <c r="W14" s="63"/>
    </row>
    <row r="15" spans="1:25" x14ac:dyDescent="0.25">
      <c r="A15" s="120"/>
      <c r="B15" s="8"/>
      <c r="C15" s="8" t="s">
        <v>43</v>
      </c>
      <c r="D15" s="12" t="s">
        <v>110</v>
      </c>
      <c r="E15" s="8"/>
      <c r="F15" s="8"/>
      <c r="G15" s="8"/>
      <c r="H15" s="31"/>
      <c r="I15" s="1"/>
      <c r="J15" s="7"/>
      <c r="K15" s="5"/>
      <c r="L15" s="5"/>
      <c r="M15" s="5"/>
      <c r="P15" s="6"/>
      <c r="Q15" s="3" t="s">
        <v>41</v>
      </c>
      <c r="R15" s="63">
        <v>0</v>
      </c>
      <c r="S15" s="63"/>
      <c r="T15" s="105"/>
      <c r="U15" s="3" t="s">
        <v>42</v>
      </c>
      <c r="V15" s="58">
        <f>6500000+V14</f>
        <v>0.5</v>
      </c>
      <c r="W15" s="63"/>
    </row>
    <row r="16" spans="1:25" x14ac:dyDescent="0.25">
      <c r="A16" s="120"/>
      <c r="B16" s="8" t="s">
        <v>16</v>
      </c>
      <c r="C16" s="52">
        <v>0</v>
      </c>
      <c r="D16" s="52">
        <f>C11-C16-C17-C18-C19</f>
        <v>0</v>
      </c>
      <c r="E16" s="8"/>
      <c r="F16" s="8"/>
      <c r="G16" s="8"/>
      <c r="H16" s="31"/>
      <c r="I16" s="1"/>
      <c r="J16" s="7"/>
      <c r="K16" s="5"/>
      <c r="L16" s="5"/>
      <c r="M16" s="5"/>
      <c r="P16" s="6"/>
      <c r="Q16" s="3" t="s">
        <v>44</v>
      </c>
      <c r="R16" s="63">
        <v>0</v>
      </c>
      <c r="S16" s="63"/>
      <c r="T16" s="105"/>
      <c r="U16" s="34"/>
      <c r="V16" s="68"/>
      <c r="W16" s="63"/>
    </row>
    <row r="17" spans="1:24" x14ac:dyDescent="0.25">
      <c r="A17" s="120"/>
      <c r="B17" s="8" t="s">
        <v>19</v>
      </c>
      <c r="C17" s="52">
        <v>0</v>
      </c>
      <c r="D17" s="52"/>
      <c r="E17" s="8"/>
      <c r="F17" s="8"/>
      <c r="G17" s="8"/>
      <c r="H17" s="31"/>
      <c r="I17" s="1"/>
      <c r="J17" s="7"/>
      <c r="K17" s="5"/>
      <c r="L17" s="5"/>
      <c r="M17" s="5"/>
      <c r="P17" s="6"/>
      <c r="Q17" s="6"/>
      <c r="R17" s="64"/>
      <c r="T17" s="64"/>
      <c r="U17" s="55"/>
      <c r="V17" s="87"/>
      <c r="W17" s="105"/>
      <c r="X17" s="5"/>
    </row>
    <row r="18" spans="1:24" x14ac:dyDescent="0.25">
      <c r="A18" s="120"/>
      <c r="B18" s="8" t="s">
        <v>22</v>
      </c>
      <c r="C18" s="52">
        <v>0</v>
      </c>
      <c r="D18" s="52"/>
      <c r="E18" s="8"/>
      <c r="F18" s="8"/>
      <c r="G18" s="8"/>
      <c r="H18" s="31"/>
      <c r="I18" s="1"/>
      <c r="J18" s="7"/>
      <c r="K18" s="5"/>
      <c r="L18" s="5"/>
      <c r="M18" s="5"/>
      <c r="P18" s="6"/>
      <c r="Q18" s="3" t="s">
        <v>45</v>
      </c>
      <c r="R18" s="63">
        <f>D5+D6+D7+D8</f>
        <v>0</v>
      </c>
      <c r="S18" s="63"/>
      <c r="T18" s="105"/>
      <c r="U18" s="135" t="s">
        <v>46</v>
      </c>
      <c r="V18" s="135"/>
      <c r="W18" s="19"/>
    </row>
    <row r="19" spans="1:24" x14ac:dyDescent="0.25">
      <c r="A19" s="120"/>
      <c r="B19" s="8" t="s">
        <v>24</v>
      </c>
      <c r="C19" s="52">
        <v>0</v>
      </c>
      <c r="D19" s="52"/>
      <c r="E19" s="8"/>
      <c r="F19" s="8"/>
      <c r="G19" s="8"/>
      <c r="H19" s="31"/>
      <c r="I19" s="1"/>
      <c r="J19" s="7"/>
      <c r="K19" s="5"/>
      <c r="L19" s="5"/>
      <c r="M19" s="5"/>
      <c r="P19" s="6"/>
      <c r="Q19" s="3" t="s">
        <v>47</v>
      </c>
      <c r="R19" s="63">
        <f>C16*0.4+C17*0.1+C18*0.4+C19*0.5</f>
        <v>0</v>
      </c>
      <c r="S19" s="63"/>
      <c r="T19" s="105"/>
      <c r="U19" s="3" t="s">
        <v>48</v>
      </c>
      <c r="V19" s="58">
        <f>V15</f>
        <v>0.5</v>
      </c>
      <c r="W19" s="63"/>
    </row>
    <row r="20" spans="1:24" x14ac:dyDescent="0.25">
      <c r="A20" s="120"/>
      <c r="B20" s="11" t="s">
        <v>51</v>
      </c>
      <c r="C20" s="8"/>
      <c r="D20" s="8"/>
      <c r="E20" s="8"/>
      <c r="F20" s="8"/>
      <c r="G20" s="8"/>
      <c r="H20" s="31"/>
      <c r="I20" s="1"/>
      <c r="J20" s="7"/>
      <c r="K20" s="5"/>
      <c r="L20" s="5"/>
      <c r="M20" s="5"/>
      <c r="N20" s="5"/>
      <c r="O20" s="5"/>
      <c r="P20" s="6"/>
      <c r="Q20" s="3" t="s">
        <v>49</v>
      </c>
      <c r="R20" s="63">
        <f>B22*0.4+C22*0.7+D22*0.8+B24*0.4+C24*0.4+D24*0.5+B26*0.7+C26*0.4+D26*0.4+B28*0.8+C28*0.5+D28*0.4</f>
        <v>0</v>
      </c>
      <c r="S20" s="76"/>
      <c r="T20" s="105"/>
      <c r="U20" s="3" t="s">
        <v>50</v>
      </c>
      <c r="V20" s="63">
        <f>G4*1.5</f>
        <v>499999.5</v>
      </c>
      <c r="W20" s="63"/>
    </row>
    <row r="21" spans="1:24" ht="14.25" customHeight="1" x14ac:dyDescent="0.25">
      <c r="A21" s="120"/>
      <c r="B21" s="8" t="s">
        <v>53</v>
      </c>
      <c r="C21" s="8" t="s">
        <v>54</v>
      </c>
      <c r="D21" s="8" t="s">
        <v>55</v>
      </c>
      <c r="E21" s="8"/>
      <c r="F21" s="52"/>
      <c r="G21" s="8"/>
      <c r="H21" s="31"/>
      <c r="I21" s="1"/>
      <c r="J21" s="48"/>
      <c r="P21" s="6"/>
      <c r="Q21" s="6"/>
      <c r="R21" s="64"/>
      <c r="S21" s="80"/>
      <c r="T21" s="105"/>
      <c r="U21" s="3" t="s">
        <v>52</v>
      </c>
      <c r="V21" s="63">
        <v>0</v>
      </c>
      <c r="W21" s="63"/>
    </row>
    <row r="22" spans="1:24" ht="14.25" customHeight="1" x14ac:dyDescent="0.25">
      <c r="A22" s="120"/>
      <c r="B22" s="52">
        <v>0</v>
      </c>
      <c r="C22" s="52">
        <v>0</v>
      </c>
      <c r="D22" s="52">
        <v>0</v>
      </c>
      <c r="E22" s="8"/>
      <c r="F22" s="8"/>
      <c r="G22" s="8"/>
      <c r="H22" s="31"/>
      <c r="I22" s="1"/>
      <c r="J22" s="48"/>
      <c r="P22" s="6"/>
      <c r="Q22" s="3" t="s">
        <v>56</v>
      </c>
      <c r="R22" s="63">
        <f>(C32+C33+C34+C36+C35)*500</f>
        <v>18000</v>
      </c>
      <c r="S22" s="62"/>
      <c r="T22" s="105"/>
      <c r="U22" s="3" t="s">
        <v>57</v>
      </c>
      <c r="V22" s="63">
        <f>G6*500000</f>
        <v>4000000</v>
      </c>
      <c r="W22" s="63"/>
    </row>
    <row r="23" spans="1:24" x14ac:dyDescent="0.25">
      <c r="A23" s="120"/>
      <c r="B23" s="8" t="s">
        <v>60</v>
      </c>
      <c r="C23" s="8" t="s">
        <v>54</v>
      </c>
      <c r="D23" s="8" t="s">
        <v>61</v>
      </c>
      <c r="E23" s="8"/>
      <c r="F23" s="8"/>
      <c r="G23" s="8"/>
      <c r="H23" s="31"/>
      <c r="I23" s="1"/>
      <c r="J23" s="48"/>
      <c r="P23" s="6"/>
      <c r="Q23" s="3" t="s">
        <v>58</v>
      </c>
      <c r="R23" s="63">
        <f>(C32+C33+C34+C35+C36)*1000</f>
        <v>36000</v>
      </c>
      <c r="S23" s="63"/>
      <c r="T23" s="105"/>
      <c r="U23" s="3" t="s">
        <v>59</v>
      </c>
      <c r="V23" s="63">
        <f>V22+V21+V20+V19</f>
        <v>4500000</v>
      </c>
      <c r="W23" s="63"/>
    </row>
    <row r="24" spans="1:24" x14ac:dyDescent="0.25">
      <c r="A24" s="120"/>
      <c r="B24" s="52">
        <v>0</v>
      </c>
      <c r="C24" s="52">
        <v>0</v>
      </c>
      <c r="D24" s="52">
        <v>0</v>
      </c>
      <c r="E24" s="8"/>
      <c r="F24" s="8"/>
      <c r="G24" s="8"/>
      <c r="H24" s="128"/>
      <c r="I24" s="1"/>
      <c r="J24" s="48"/>
      <c r="K24" s="5"/>
      <c r="L24" s="5"/>
      <c r="M24" s="5"/>
      <c r="P24" s="6"/>
      <c r="Q24" s="3" t="s">
        <v>62</v>
      </c>
      <c r="R24" s="63">
        <f>(C32+C33+C34+C35)*4500+C36*3750</f>
        <v>144000</v>
      </c>
      <c r="S24" s="63"/>
      <c r="T24" s="105"/>
      <c r="U24" s="3" t="s">
        <v>63</v>
      </c>
      <c r="V24" s="63">
        <v>0</v>
      </c>
      <c r="W24" s="63"/>
    </row>
    <row r="25" spans="1:24" x14ac:dyDescent="0.25">
      <c r="A25" s="120"/>
      <c r="B25" s="8" t="s">
        <v>66</v>
      </c>
      <c r="C25" s="8" t="s">
        <v>67</v>
      </c>
      <c r="D25" s="8" t="s">
        <v>68</v>
      </c>
      <c r="E25" s="8"/>
      <c r="F25" s="8"/>
      <c r="G25" s="8"/>
      <c r="H25" s="128"/>
      <c r="I25" s="1"/>
      <c r="J25" s="49"/>
      <c r="K25" s="5"/>
      <c r="L25" s="5"/>
      <c r="M25" s="5"/>
      <c r="P25" s="6"/>
      <c r="Q25" s="3" t="s">
        <v>64</v>
      </c>
      <c r="R25" s="63">
        <v>0</v>
      </c>
      <c r="S25" s="63"/>
      <c r="T25" s="105"/>
      <c r="U25" s="3" t="s">
        <v>65</v>
      </c>
      <c r="V25" s="63">
        <v>0</v>
      </c>
      <c r="W25" s="63"/>
    </row>
    <row r="26" spans="1:24" x14ac:dyDescent="0.25">
      <c r="A26" s="120"/>
      <c r="B26" s="52">
        <v>0</v>
      </c>
      <c r="C26" s="52">
        <v>0</v>
      </c>
      <c r="D26" s="52">
        <v>0</v>
      </c>
      <c r="E26" s="8"/>
      <c r="F26" s="8"/>
      <c r="G26" s="8"/>
      <c r="H26" s="128"/>
      <c r="I26" s="1"/>
      <c r="J26" s="48"/>
      <c r="K26" s="5"/>
      <c r="L26" s="5"/>
      <c r="M26" s="5"/>
      <c r="P26" s="6"/>
      <c r="Q26" s="3" t="s">
        <v>69</v>
      </c>
      <c r="R26" s="63">
        <v>0</v>
      </c>
      <c r="S26" s="63"/>
      <c r="T26" s="105"/>
      <c r="U26" s="3" t="s">
        <v>70</v>
      </c>
      <c r="V26" s="63">
        <v>0</v>
      </c>
      <c r="W26" s="63"/>
    </row>
    <row r="27" spans="1:24" x14ac:dyDescent="0.25">
      <c r="A27" s="120"/>
      <c r="B27" s="8" t="s">
        <v>73</v>
      </c>
      <c r="C27" s="8" t="s">
        <v>74</v>
      </c>
      <c r="D27" s="8" t="s">
        <v>75</v>
      </c>
      <c r="E27" s="8"/>
      <c r="F27" s="8"/>
      <c r="G27" s="8"/>
      <c r="H27" s="128"/>
      <c r="I27" s="1"/>
      <c r="J27" s="48"/>
      <c r="P27" s="6"/>
      <c r="Q27" s="3" t="s">
        <v>71</v>
      </c>
      <c r="R27" s="63">
        <v>0</v>
      </c>
      <c r="S27" s="63"/>
      <c r="T27" s="105"/>
      <c r="U27" s="3" t="s">
        <v>72</v>
      </c>
      <c r="V27" s="63">
        <f>V22+V21+V20+V19</f>
        <v>4500000</v>
      </c>
      <c r="W27" s="63"/>
    </row>
    <row r="28" spans="1:24" x14ac:dyDescent="0.25">
      <c r="A28" s="120"/>
      <c r="B28" s="52">
        <v>0</v>
      </c>
      <c r="C28" s="52">
        <v>0</v>
      </c>
      <c r="D28" s="52">
        <v>0</v>
      </c>
      <c r="E28" s="8"/>
      <c r="F28" s="8"/>
      <c r="G28" s="8"/>
      <c r="H28" s="128"/>
      <c r="I28" s="24"/>
      <c r="J28" s="48"/>
      <c r="P28" s="6"/>
      <c r="Q28" s="6"/>
      <c r="R28" s="64"/>
      <c r="T28" s="64"/>
      <c r="U28" s="4"/>
      <c r="V28" s="64"/>
      <c r="W28" s="105"/>
    </row>
    <row r="29" spans="1:24" x14ac:dyDescent="0.25">
      <c r="A29" s="120"/>
      <c r="B29" s="8"/>
      <c r="C29" s="8"/>
      <c r="D29" s="8"/>
      <c r="E29" s="8"/>
      <c r="F29" s="8"/>
      <c r="G29" s="8"/>
      <c r="H29" s="128"/>
      <c r="I29" s="24"/>
      <c r="J29" s="48"/>
      <c r="P29" s="6"/>
      <c r="Q29" s="3" t="s">
        <v>76</v>
      </c>
      <c r="R29" s="63">
        <v>0</v>
      </c>
      <c r="S29" s="63"/>
      <c r="T29" s="64"/>
      <c r="U29" s="4"/>
      <c r="V29" s="64"/>
      <c r="W29" s="105"/>
    </row>
    <row r="30" spans="1:24" x14ac:dyDescent="0.25">
      <c r="A30" s="120"/>
      <c r="B30" s="18" t="s">
        <v>126</v>
      </c>
      <c r="C30" s="8"/>
      <c r="D30" s="8"/>
      <c r="E30" s="8"/>
      <c r="F30" s="8"/>
      <c r="G30" s="8"/>
      <c r="H30" s="128"/>
      <c r="I30" s="24"/>
      <c r="J30" s="48"/>
      <c r="P30" s="6"/>
      <c r="Q30" s="6"/>
      <c r="R30" s="64"/>
      <c r="T30" s="64"/>
      <c r="U30" s="4"/>
      <c r="V30" s="64"/>
      <c r="W30" s="105"/>
    </row>
    <row r="31" spans="1:24" x14ac:dyDescent="0.25">
      <c r="A31" s="120"/>
      <c r="B31" s="8"/>
      <c r="C31" s="8" t="s">
        <v>78</v>
      </c>
      <c r="D31" s="8" t="s">
        <v>79</v>
      </c>
      <c r="E31" s="8"/>
      <c r="F31" s="8"/>
      <c r="G31" s="8"/>
      <c r="H31" s="128"/>
      <c r="I31" s="24"/>
      <c r="J31" s="48"/>
      <c r="P31" s="6"/>
      <c r="Q31" s="3" t="s">
        <v>77</v>
      </c>
      <c r="R31" s="63">
        <v>0</v>
      </c>
      <c r="S31" s="63"/>
      <c r="T31" s="64"/>
      <c r="U31" s="4"/>
      <c r="V31" s="64"/>
      <c r="W31" s="105"/>
    </row>
    <row r="32" spans="1:24" x14ac:dyDescent="0.25">
      <c r="A32" s="120"/>
      <c r="B32" s="8" t="s">
        <v>16</v>
      </c>
      <c r="C32" s="52">
        <v>3</v>
      </c>
      <c r="D32" s="52">
        <v>0</v>
      </c>
      <c r="E32" s="8"/>
      <c r="F32" s="8"/>
      <c r="G32" s="8"/>
      <c r="H32" s="128"/>
      <c r="I32" s="24"/>
      <c r="J32" s="16"/>
      <c r="P32" s="6"/>
      <c r="Q32" s="3" t="s">
        <v>80</v>
      </c>
      <c r="R32" s="63">
        <v>0</v>
      </c>
      <c r="S32" s="63"/>
      <c r="T32" s="64"/>
      <c r="U32" s="4"/>
      <c r="V32" s="64"/>
      <c r="W32" s="105"/>
    </row>
    <row r="33" spans="1:23" x14ac:dyDescent="0.25">
      <c r="A33" s="120"/>
      <c r="B33" s="8" t="s">
        <v>19</v>
      </c>
      <c r="C33" s="52">
        <v>3</v>
      </c>
      <c r="D33" s="52">
        <v>0</v>
      </c>
      <c r="E33" s="8"/>
      <c r="F33" s="8"/>
      <c r="G33" s="8"/>
      <c r="H33" s="128"/>
      <c r="I33" s="24"/>
      <c r="P33" s="6"/>
      <c r="Q33" s="3" t="s">
        <v>81</v>
      </c>
      <c r="R33" s="63">
        <v>0</v>
      </c>
      <c r="S33" s="63"/>
      <c r="T33" s="64"/>
      <c r="U33" s="4"/>
      <c r="V33" s="64"/>
      <c r="W33" s="105"/>
    </row>
    <row r="34" spans="1:23" x14ac:dyDescent="0.25">
      <c r="A34" s="120"/>
      <c r="B34" s="8" t="s">
        <v>22</v>
      </c>
      <c r="C34" s="52">
        <v>3</v>
      </c>
      <c r="D34" s="52">
        <v>0</v>
      </c>
      <c r="E34" s="8"/>
      <c r="F34" s="8"/>
      <c r="G34" s="8"/>
      <c r="H34" s="128"/>
      <c r="I34" s="24"/>
      <c r="P34" s="6"/>
      <c r="Q34" s="3"/>
      <c r="R34" s="63">
        <v>0</v>
      </c>
      <c r="S34" s="63"/>
      <c r="T34" s="64"/>
      <c r="U34" s="4"/>
      <c r="V34" s="64"/>
      <c r="W34" s="105"/>
    </row>
    <row r="35" spans="1:23" x14ac:dyDescent="0.25">
      <c r="A35" s="120"/>
      <c r="B35" s="8" t="s">
        <v>24</v>
      </c>
      <c r="C35" s="52">
        <v>3</v>
      </c>
      <c r="D35" s="52">
        <v>0</v>
      </c>
      <c r="E35" s="8"/>
      <c r="F35" s="8"/>
      <c r="G35" s="8"/>
      <c r="H35" s="128"/>
      <c r="I35" s="24"/>
      <c r="P35" s="6"/>
      <c r="Q35" s="3" t="s">
        <v>82</v>
      </c>
      <c r="R35" s="72">
        <f>R7+R11+R14+R22+R23+R24</f>
        <v>2000000</v>
      </c>
      <c r="S35" s="63"/>
      <c r="T35" s="64"/>
      <c r="U35" s="4"/>
      <c r="V35" s="64"/>
      <c r="W35" s="105"/>
    </row>
    <row r="36" spans="1:23" x14ac:dyDescent="0.25">
      <c r="A36" s="120"/>
      <c r="B36" s="8" t="s">
        <v>83</v>
      </c>
      <c r="C36" s="52">
        <v>24</v>
      </c>
      <c r="D36" s="52">
        <v>0</v>
      </c>
      <c r="E36" s="8"/>
      <c r="F36" s="8"/>
      <c r="G36" s="8"/>
      <c r="H36" s="128"/>
      <c r="I36" s="24"/>
      <c r="P36" s="6"/>
      <c r="Q36" s="23"/>
      <c r="R36" s="71"/>
      <c r="S36" s="78"/>
      <c r="T36" s="64"/>
      <c r="U36" s="4"/>
      <c r="V36" s="64"/>
      <c r="W36" s="105"/>
    </row>
    <row r="37" spans="1:23" x14ac:dyDescent="0.25">
      <c r="A37" s="121"/>
      <c r="B37" s="125"/>
      <c r="C37" s="126"/>
      <c r="D37" s="126"/>
      <c r="E37" s="126"/>
      <c r="F37" s="126"/>
      <c r="G37" s="127"/>
      <c r="H37" s="129"/>
      <c r="I37" s="25"/>
      <c r="P37" s="6"/>
      <c r="Q37" s="54" t="s">
        <v>84</v>
      </c>
      <c r="R37" s="65">
        <f>R5-R35</f>
        <v>-2000000</v>
      </c>
      <c r="S37" s="63"/>
      <c r="T37" s="64"/>
      <c r="U37" s="4"/>
      <c r="V37" s="64"/>
      <c r="W37" s="105"/>
    </row>
    <row r="38" spans="1:23" x14ac:dyDescent="0.25">
      <c r="A38" s="119" t="s">
        <v>85</v>
      </c>
      <c r="B38" s="122" t="s">
        <v>3</v>
      </c>
      <c r="C38" s="123"/>
      <c r="D38" s="123"/>
      <c r="E38" s="123"/>
      <c r="F38" s="123"/>
      <c r="G38" s="124"/>
      <c r="H38" s="29"/>
      <c r="I38" s="1"/>
      <c r="J38" s="118" t="s">
        <v>112</v>
      </c>
      <c r="K38" s="118"/>
      <c r="L38" s="118"/>
      <c r="M38" s="118"/>
      <c r="N38" s="118"/>
      <c r="O38" s="118"/>
      <c r="P38" s="4"/>
      <c r="Q38" s="131" t="s">
        <v>1</v>
      </c>
      <c r="R38" s="130"/>
      <c r="S38" s="94" t="s">
        <v>111</v>
      </c>
      <c r="T38" s="105"/>
      <c r="U38" s="137" t="s">
        <v>2</v>
      </c>
      <c r="V38" s="135"/>
      <c r="W38" s="21" t="s">
        <v>111</v>
      </c>
    </row>
    <row r="39" spans="1:23" x14ac:dyDescent="0.25">
      <c r="A39" s="120"/>
      <c r="B39" s="18" t="s">
        <v>121</v>
      </c>
      <c r="C39" s="8"/>
      <c r="D39" s="8"/>
      <c r="E39" s="8"/>
      <c r="F39" s="18" t="s">
        <v>122</v>
      </c>
      <c r="G39" s="39"/>
      <c r="H39" s="45"/>
      <c r="I39" s="1"/>
      <c r="J39" s="2"/>
      <c r="K39" s="2" t="s">
        <v>7</v>
      </c>
      <c r="L39" s="2" t="s">
        <v>8</v>
      </c>
      <c r="M39" s="2" t="s">
        <v>9</v>
      </c>
      <c r="N39" s="2" t="s">
        <v>10</v>
      </c>
      <c r="O39" s="2" t="s">
        <v>11</v>
      </c>
      <c r="P39" s="4"/>
      <c r="Q39" s="34" t="s">
        <v>5</v>
      </c>
      <c r="R39" s="81" t="s">
        <v>6</v>
      </c>
      <c r="S39" s="97" t="s">
        <v>6</v>
      </c>
      <c r="T39" s="105"/>
      <c r="U39" s="3" t="s">
        <v>5</v>
      </c>
      <c r="V39" s="56" t="s">
        <v>6</v>
      </c>
      <c r="W39" s="56" t="s">
        <v>6</v>
      </c>
    </row>
    <row r="40" spans="1:23" x14ac:dyDescent="0.25">
      <c r="A40" s="120"/>
      <c r="B40" s="8"/>
      <c r="C40" s="8" t="s">
        <v>13</v>
      </c>
      <c r="D40" s="8" t="s">
        <v>14</v>
      </c>
      <c r="E40" s="8"/>
      <c r="F40" s="8" t="s">
        <v>15</v>
      </c>
      <c r="G40" s="43">
        <v>4521825</v>
      </c>
      <c r="H40" s="46"/>
      <c r="I40" s="1"/>
      <c r="J40" s="2" t="s">
        <v>16</v>
      </c>
      <c r="K40" s="2"/>
      <c r="L40" s="108"/>
      <c r="M40" s="2">
        <f>C52</f>
        <v>300000</v>
      </c>
      <c r="N40" s="2">
        <f>C52-M40</f>
        <v>0</v>
      </c>
      <c r="O40" s="2">
        <f>O4+C68-D68</f>
        <v>5</v>
      </c>
      <c r="P40" s="4"/>
      <c r="Q40" s="83"/>
      <c r="R40" s="61"/>
      <c r="S40" s="78"/>
      <c r="T40" s="105"/>
      <c r="U40" s="3" t="s">
        <v>12</v>
      </c>
      <c r="V40" s="58">
        <f>R41</f>
        <v>9240000</v>
      </c>
      <c r="W40" s="63">
        <f>S41</f>
        <v>7484205.7999999998</v>
      </c>
    </row>
    <row r="41" spans="1:23" x14ac:dyDescent="0.25">
      <c r="A41" s="120"/>
      <c r="B41" s="8" t="s">
        <v>16</v>
      </c>
      <c r="C41" s="9">
        <v>7.7</v>
      </c>
      <c r="D41" s="9">
        <v>700000</v>
      </c>
      <c r="E41" s="8"/>
      <c r="F41" s="8" t="s">
        <v>18</v>
      </c>
      <c r="G41" s="43">
        <v>1286667</v>
      </c>
      <c r="H41" s="46"/>
      <c r="I41" s="1"/>
      <c r="J41" s="2" t="s">
        <v>19</v>
      </c>
      <c r="K41" s="2"/>
      <c r="L41" s="108"/>
      <c r="M41" s="2">
        <f>C53</f>
        <v>300000</v>
      </c>
      <c r="N41" s="2">
        <f>C53-M41</f>
        <v>0</v>
      </c>
      <c r="O41" s="2">
        <f>O5+C69-D69</f>
        <v>5</v>
      </c>
      <c r="P41" s="4"/>
      <c r="Q41" s="20" t="s">
        <v>12</v>
      </c>
      <c r="R41" s="95">
        <f>C41*C52+C42*C53+C43*C54+C44*C55</f>
        <v>9240000</v>
      </c>
      <c r="S41" s="76">
        <f>C41*M53+M54*C42+C43*M55+M56*C44</f>
        <v>7484205.7999999998</v>
      </c>
      <c r="T41" s="105"/>
      <c r="U41" s="3" t="s">
        <v>17</v>
      </c>
      <c r="V41" s="58">
        <f>G47</f>
        <v>1400000</v>
      </c>
      <c r="W41" s="63">
        <f>G47</f>
        <v>1400000</v>
      </c>
    </row>
    <row r="42" spans="1:23" x14ac:dyDescent="0.25">
      <c r="A42" s="120"/>
      <c r="B42" s="8" t="s">
        <v>19</v>
      </c>
      <c r="C42" s="37">
        <v>7.6</v>
      </c>
      <c r="D42" s="9">
        <v>700000</v>
      </c>
      <c r="E42" s="8"/>
      <c r="F42" s="8" t="s">
        <v>21</v>
      </c>
      <c r="G42" s="43">
        <v>3</v>
      </c>
      <c r="H42" s="46"/>
      <c r="I42" s="1"/>
      <c r="J42" s="2" t="s">
        <v>22</v>
      </c>
      <c r="K42" s="2"/>
      <c r="L42" s="108"/>
      <c r="M42" s="2">
        <f>C54</f>
        <v>300000</v>
      </c>
      <c r="N42" s="2">
        <f>C54-M42</f>
        <v>0</v>
      </c>
      <c r="O42" s="2">
        <f>C70+O6-D70</f>
        <v>5</v>
      </c>
      <c r="P42" s="4"/>
      <c r="Q42" s="83"/>
      <c r="R42" s="83"/>
      <c r="S42" s="53"/>
      <c r="T42" s="105"/>
      <c r="U42" s="3" t="s">
        <v>20</v>
      </c>
      <c r="V42" s="58">
        <f>V41+V40</f>
        <v>10640000</v>
      </c>
      <c r="W42" s="63">
        <f>W41+W40</f>
        <v>8884205.8000000007</v>
      </c>
    </row>
    <row r="43" spans="1:23" x14ac:dyDescent="0.25">
      <c r="A43" s="120"/>
      <c r="B43" s="8" t="s">
        <v>22</v>
      </c>
      <c r="C43" s="37">
        <v>7.7</v>
      </c>
      <c r="D43" s="9">
        <v>700000</v>
      </c>
      <c r="E43" s="8"/>
      <c r="F43" s="42"/>
      <c r="G43" s="44"/>
      <c r="H43" s="47"/>
      <c r="I43" s="1"/>
      <c r="J43" s="2" t="s">
        <v>24</v>
      </c>
      <c r="K43" s="2"/>
      <c r="L43" s="108"/>
      <c r="M43" s="2">
        <f>C55</f>
        <v>300000</v>
      </c>
      <c r="N43" s="2">
        <f>C55-M43</f>
        <v>0</v>
      </c>
      <c r="O43" s="2">
        <f>O7+C71-D71</f>
        <v>5</v>
      </c>
      <c r="P43" s="4"/>
      <c r="Q43" s="54" t="s">
        <v>23</v>
      </c>
      <c r="R43" s="82">
        <f>C48</f>
        <v>1500000</v>
      </c>
      <c r="S43" s="62">
        <f>C48</f>
        <v>1500000</v>
      </c>
      <c r="T43" s="105"/>
      <c r="U43" s="3"/>
      <c r="V43" s="58"/>
      <c r="W43" s="63"/>
    </row>
    <row r="44" spans="1:23" x14ac:dyDescent="0.25">
      <c r="A44" s="120"/>
      <c r="B44" s="8" t="s">
        <v>24</v>
      </c>
      <c r="C44" s="37">
        <v>7.8</v>
      </c>
      <c r="D44" s="9">
        <v>600000</v>
      </c>
      <c r="E44" s="8"/>
      <c r="F44" s="42"/>
      <c r="G44" s="44"/>
      <c r="H44" s="47"/>
      <c r="I44" s="1"/>
      <c r="J44" s="27"/>
      <c r="K44" s="2"/>
      <c r="L44" s="108"/>
      <c r="M44" s="2"/>
      <c r="N44" s="2"/>
      <c r="O44" s="2"/>
      <c r="P44" s="4"/>
      <c r="Q44" s="3" t="s">
        <v>25</v>
      </c>
      <c r="R44" s="58" t="str">
        <f>IF(C47=0,"0",IF(C47/K12&lt;=1.5,"10000",IF(C47/K12&lt;=2.5,"15000","20000")))</f>
        <v>20000</v>
      </c>
      <c r="S44" s="63" t="str">
        <f>IF(K59=0,"0",IF(K59/K12&lt;=1.5,"10000",IF(K59/K12&lt;=2.5,"15000","20000")))</f>
        <v>20000</v>
      </c>
      <c r="T44" s="105"/>
      <c r="U44" s="3" t="s">
        <v>26</v>
      </c>
      <c r="V44" s="58">
        <f>R43+R44+R45+R47+R48+R49+R50+R54+R55+R56+R58+R59+R60+R61+R62+R63+R65+R67+R68+R70</f>
        <v>9209547.1386792436</v>
      </c>
      <c r="W44" s="63">
        <f>S43+S44+S45+S47+S48+S49+S50+S54+S55+S56+S58+S59+S60+S61+S62+S63+S65+S67+S68+S70</f>
        <v>9217377.6409056596</v>
      </c>
    </row>
    <row r="45" spans="1:23" x14ac:dyDescent="0.25">
      <c r="A45" s="120"/>
      <c r="B45" s="8"/>
      <c r="C45" s="8"/>
      <c r="D45" s="8"/>
      <c r="E45" s="8"/>
      <c r="F45" s="42"/>
      <c r="G45" s="44"/>
      <c r="H45" s="47"/>
      <c r="I45" s="1"/>
      <c r="J45" s="109" t="s">
        <v>94</v>
      </c>
      <c r="K45" s="110" t="s">
        <v>95</v>
      </c>
      <c r="L45" s="111" t="s">
        <v>96</v>
      </c>
      <c r="M45" s="112" t="s">
        <v>97</v>
      </c>
      <c r="N45" s="112" t="s">
        <v>98</v>
      </c>
      <c r="O45" s="112" t="s">
        <v>99</v>
      </c>
      <c r="P45" s="4"/>
      <c r="Q45" s="3" t="s">
        <v>27</v>
      </c>
      <c r="R45" s="58">
        <f>IF(C47=0,"0",IF(((C47/K12)*8)&lt;=8,C47*1.2,IF(((C47/K12)*8)&lt;=12,K12*1.2+(C47-K12)*1.3,IF(((C47/K12)*8)&lt;=16,K12*1.2+(C47-K12)*1.4,IF(((C47/K12)*8)&lt;=20,K12*1.2+K12*1.4+(C47-2*K12)*1.5,K12*1.2+K12*1.4+(C47-2*K12)*1.6)))))</f>
        <v>1680000</v>
      </c>
      <c r="S45" s="63">
        <f>IF(K59=0,"0",IF(((K59/K12)*8)&lt;=8,K59*1.2,IF(((K59/K12)*8)&lt;=12,K12*1.2+(K59-K12)*1.3,IF(((K59/K12)*8)&lt;=16,L12*1.2+(K59-K12)*1.4,IF(((K59/K12)*8)&lt;=20,K12*1.2+K12*1.4+(K59-2*K12)*1.5,K12*1.2+K12*1.4+(K59-2*K12)*1.6)))))</f>
        <v>1680000</v>
      </c>
      <c r="T45" s="133" t="s">
        <v>120</v>
      </c>
      <c r="U45" s="3" t="s">
        <v>28</v>
      </c>
      <c r="V45" s="58">
        <f>G40*T11+G41*T11</f>
        <v>7376784.8399999999</v>
      </c>
      <c r="W45" s="63">
        <f>G40*T11+G41*T11</f>
        <v>7376784.8399999999</v>
      </c>
    </row>
    <row r="46" spans="1:23" x14ac:dyDescent="0.25">
      <c r="A46" s="120"/>
      <c r="B46" s="18" t="s">
        <v>124</v>
      </c>
      <c r="C46" s="8"/>
      <c r="D46" s="18" t="s">
        <v>116</v>
      </c>
      <c r="E46" s="8"/>
      <c r="F46" s="18" t="s">
        <v>123</v>
      </c>
      <c r="G46" s="43"/>
      <c r="H46" s="46"/>
      <c r="I46" s="1"/>
      <c r="J46" s="2">
        <f>K40+K41+K42+K43</f>
        <v>0</v>
      </c>
      <c r="K46" s="112">
        <f>C47</f>
        <v>1200000</v>
      </c>
      <c r="L46" s="113">
        <f>M40+M41+M42+M43</f>
        <v>1200000</v>
      </c>
      <c r="M46" s="2">
        <f>N40+N41+N42+N43</f>
        <v>0</v>
      </c>
      <c r="N46" s="2">
        <f>G40+G41+N10-C47*1.35</f>
        <v>4521825</v>
      </c>
      <c r="O46" s="108">
        <f>(L40+L41+L42+L43)/4</f>
        <v>0</v>
      </c>
      <c r="P46" s="4"/>
      <c r="Q46" s="84" t="s">
        <v>113</v>
      </c>
      <c r="R46" s="58">
        <f>((V45+V20)/(G40+G41+N10))*C47*1.35</f>
        <v>2077621.9821958458</v>
      </c>
      <c r="S46" s="63">
        <f>((V45+V20)/(G40+G41+N10))*K59*1.35</f>
        <v>2077621.9821958458</v>
      </c>
      <c r="T46" s="134"/>
      <c r="U46" s="3" t="s">
        <v>30</v>
      </c>
      <c r="V46" s="58">
        <f>G42*500000</f>
        <v>1500000</v>
      </c>
      <c r="W46" s="63">
        <f>G42*500000</f>
        <v>1500000</v>
      </c>
    </row>
    <row r="47" spans="1:23" x14ac:dyDescent="0.25">
      <c r="A47" s="120"/>
      <c r="B47" s="8" t="s">
        <v>33</v>
      </c>
      <c r="C47" s="9">
        <v>1200000</v>
      </c>
      <c r="D47" s="9">
        <f>K12*3</f>
        <v>1200000</v>
      </c>
      <c r="E47" s="8"/>
      <c r="F47" s="8" t="s">
        <v>17</v>
      </c>
      <c r="G47" s="43">
        <v>1400000</v>
      </c>
      <c r="H47" s="46"/>
      <c r="I47" s="1"/>
      <c r="J47" s="110" t="s">
        <v>100</v>
      </c>
      <c r="K47" s="110" t="s">
        <v>101</v>
      </c>
      <c r="L47" s="112" t="s">
        <v>102</v>
      </c>
      <c r="M47" s="112" t="s">
        <v>103</v>
      </c>
      <c r="N47" s="112" t="s">
        <v>104</v>
      </c>
      <c r="O47" s="112" t="s">
        <v>105</v>
      </c>
      <c r="P47" s="4"/>
      <c r="Q47" s="3" t="s">
        <v>31</v>
      </c>
      <c r="R47" s="58" t="str">
        <f>IF(G40=0,"0",IF(G40&lt;=500000,"40000",IF(G40&lt;=1000000,"80000",IF(G40&lt;=1500000,"120000",IF(G40&lt;=2000000,"160000","200000")))))</f>
        <v>200000</v>
      </c>
      <c r="S47" s="63" t="str">
        <f>IF(G40=0,"0",IF(G40&lt;=500000,"40000",IF(G40&lt;=1000000,"80000",IF(G40&lt;=1500000,"120000",IF(G40&lt;=2000000,"160000","200000")))))</f>
        <v>200000</v>
      </c>
      <c r="T47" s="114">
        <v>2.25</v>
      </c>
      <c r="U47" s="3" t="s">
        <v>32</v>
      </c>
      <c r="V47" s="58">
        <f>G48</f>
        <v>0</v>
      </c>
      <c r="W47" s="63">
        <f>G48</f>
        <v>0</v>
      </c>
    </row>
    <row r="48" spans="1:23" x14ac:dyDescent="0.25">
      <c r="A48" s="120"/>
      <c r="B48" s="8" t="s">
        <v>36</v>
      </c>
      <c r="C48" s="9">
        <v>1500000</v>
      </c>
      <c r="D48" s="8"/>
      <c r="E48" s="8"/>
      <c r="F48" s="8" t="s">
        <v>32</v>
      </c>
      <c r="G48" s="43">
        <v>0</v>
      </c>
      <c r="H48" s="46"/>
      <c r="I48" s="1"/>
      <c r="J48" s="2">
        <f>J12*0.975+G42*50000</f>
        <v>540000</v>
      </c>
      <c r="K48" s="2">
        <f>J48</f>
        <v>540000</v>
      </c>
      <c r="L48" s="2">
        <f>L12+G42</f>
        <v>11</v>
      </c>
      <c r="M48" s="2">
        <f>N48+O40+O41+O42+O43</f>
        <v>53</v>
      </c>
      <c r="N48" s="2">
        <f>C72+N12-D72</f>
        <v>33</v>
      </c>
      <c r="O48" s="2">
        <f>O43+O42+O41+O40</f>
        <v>20</v>
      </c>
      <c r="P48" s="4"/>
      <c r="Q48" s="3" t="s">
        <v>34</v>
      </c>
      <c r="R48" s="58">
        <f>G41*1</f>
        <v>1286667</v>
      </c>
      <c r="S48" s="63">
        <f>G41*1</f>
        <v>1286667</v>
      </c>
      <c r="T48" s="105"/>
      <c r="U48" s="3" t="s">
        <v>35</v>
      </c>
      <c r="V48" s="58">
        <f>G49</f>
        <v>0</v>
      </c>
      <c r="W48" s="63">
        <f>G49</f>
        <v>0</v>
      </c>
    </row>
    <row r="49" spans="1:24" x14ac:dyDescent="0.25">
      <c r="A49" s="120"/>
      <c r="B49" s="8"/>
      <c r="C49" s="8"/>
      <c r="D49" s="8"/>
      <c r="E49" s="8"/>
      <c r="F49" s="8" t="s">
        <v>35</v>
      </c>
      <c r="G49" s="43">
        <v>0</v>
      </c>
      <c r="H49" s="46"/>
      <c r="I49" s="1"/>
      <c r="P49" s="4"/>
      <c r="Q49" s="3" t="s">
        <v>37</v>
      </c>
      <c r="R49" s="58">
        <f>L12*12000</f>
        <v>96000</v>
      </c>
      <c r="S49" s="63">
        <f>L12*12000</f>
        <v>96000</v>
      </c>
      <c r="T49" s="105"/>
      <c r="U49" s="3" t="s">
        <v>38</v>
      </c>
      <c r="V49" s="58">
        <f>V44+V45+V46+V47+V48</f>
        <v>18086331.978679243</v>
      </c>
      <c r="W49" s="63">
        <f>W48+W47+W46+W45+W44</f>
        <v>18094162.480905659</v>
      </c>
    </row>
    <row r="50" spans="1:24" x14ac:dyDescent="0.25">
      <c r="A50" s="120"/>
      <c r="B50" s="18" t="s">
        <v>125</v>
      </c>
      <c r="C50" s="8"/>
      <c r="D50" s="8"/>
      <c r="E50" s="8"/>
      <c r="F50" s="32"/>
      <c r="G50" s="41"/>
      <c r="H50" s="29"/>
      <c r="I50" s="1"/>
      <c r="P50" s="4"/>
      <c r="Q50" s="3" t="s">
        <v>39</v>
      </c>
      <c r="R50" s="58">
        <f>G42*100000</f>
        <v>300000</v>
      </c>
      <c r="S50" s="63">
        <f>G42*100000</f>
        <v>300000</v>
      </c>
      <c r="T50" s="105"/>
      <c r="U50" s="3" t="s">
        <v>40</v>
      </c>
      <c r="V50" s="58">
        <f>V42-V49</f>
        <v>-7446331.9786792435</v>
      </c>
      <c r="W50" s="63">
        <f>W42-W49</f>
        <v>-9209956.6809056588</v>
      </c>
    </row>
    <row r="51" spans="1:24" x14ac:dyDescent="0.25">
      <c r="A51" s="120"/>
      <c r="B51" s="8"/>
      <c r="C51" s="8" t="s">
        <v>43</v>
      </c>
      <c r="D51" s="10"/>
      <c r="E51" s="8"/>
      <c r="F51" s="8"/>
      <c r="G51" s="39"/>
      <c r="H51" s="29"/>
      <c r="I51" s="1"/>
      <c r="J51" s="118" t="s">
        <v>118</v>
      </c>
      <c r="K51" s="118"/>
      <c r="L51" s="118"/>
      <c r="M51" s="118"/>
      <c r="N51" s="118"/>
      <c r="O51" s="118"/>
      <c r="P51" s="4"/>
      <c r="Q51" s="3" t="s">
        <v>41</v>
      </c>
      <c r="R51" s="58">
        <f>V22*2.5%</f>
        <v>100000</v>
      </c>
      <c r="S51" s="63">
        <f>V22*2.5%</f>
        <v>100000</v>
      </c>
      <c r="T51" s="105"/>
      <c r="U51" s="3" t="s">
        <v>42</v>
      </c>
      <c r="V51" s="58">
        <f>IF(2*J65=2*1,(V40/2),(V50+V15))</f>
        <v>4620000</v>
      </c>
      <c r="W51" s="63">
        <f>IF(2*K65=2*1,(W40/2),(W50+V15))</f>
        <v>3742102.9</v>
      </c>
    </row>
    <row r="52" spans="1:24" x14ac:dyDescent="0.25">
      <c r="A52" s="120"/>
      <c r="B52" s="8" t="s">
        <v>16</v>
      </c>
      <c r="C52" s="9">
        <v>300000</v>
      </c>
      <c r="D52" s="9">
        <f>C47-C52-C53-C54-C55</f>
        <v>0</v>
      </c>
      <c r="E52" s="8"/>
      <c r="F52" s="17"/>
      <c r="G52" s="39"/>
      <c r="H52" s="29"/>
      <c r="I52" s="1"/>
      <c r="J52" s="2"/>
      <c r="K52" s="2" t="s">
        <v>7</v>
      </c>
      <c r="L52" s="2" t="s">
        <v>8</v>
      </c>
      <c r="M52" s="2" t="s">
        <v>9</v>
      </c>
      <c r="N52" s="2" t="s">
        <v>10</v>
      </c>
      <c r="O52" s="2" t="s">
        <v>11</v>
      </c>
      <c r="P52" s="4"/>
      <c r="Q52" s="3" t="s">
        <v>44</v>
      </c>
      <c r="R52" s="68">
        <f>V21-V57</f>
        <v>0</v>
      </c>
      <c r="S52" s="63">
        <f>V21-W57</f>
        <v>-913376</v>
      </c>
      <c r="T52" s="105"/>
      <c r="U52" s="3"/>
      <c r="V52" s="63"/>
      <c r="W52" s="63"/>
    </row>
    <row r="53" spans="1:24" x14ac:dyDescent="0.25">
      <c r="A53" s="120"/>
      <c r="B53" s="8" t="s">
        <v>19</v>
      </c>
      <c r="C53" s="9">
        <v>300000</v>
      </c>
      <c r="D53" s="9"/>
      <c r="E53" s="8"/>
      <c r="F53" s="8"/>
      <c r="G53" s="39"/>
      <c r="H53" s="29"/>
      <c r="I53" s="1"/>
      <c r="J53" s="2" t="s">
        <v>16</v>
      </c>
      <c r="K53" s="2">
        <v>226864</v>
      </c>
      <c r="L53" s="108">
        <v>9.2200000000000004E-2</v>
      </c>
      <c r="M53" s="115">
        <v>226864</v>
      </c>
      <c r="N53" s="2">
        <f>C52-M53</f>
        <v>73136</v>
      </c>
      <c r="O53" s="2">
        <f>O40</f>
        <v>5</v>
      </c>
      <c r="P53" s="4"/>
      <c r="Q53" s="6"/>
      <c r="R53" s="87"/>
      <c r="S53" s="85"/>
      <c r="T53" s="64"/>
      <c r="U53" s="55"/>
      <c r="V53" s="88"/>
      <c r="W53" s="106"/>
      <c r="X53" s="5"/>
    </row>
    <row r="54" spans="1:24" x14ac:dyDescent="0.25">
      <c r="A54" s="120"/>
      <c r="B54" s="8" t="s">
        <v>22</v>
      </c>
      <c r="C54" s="9">
        <v>300000</v>
      </c>
      <c r="D54" s="9"/>
      <c r="E54" s="8"/>
      <c r="F54" s="8"/>
      <c r="G54" s="39"/>
      <c r="H54" s="29"/>
      <c r="I54" s="1"/>
      <c r="J54" s="2" t="s">
        <v>19</v>
      </c>
      <c r="K54" s="2">
        <v>242470</v>
      </c>
      <c r="L54" s="108">
        <v>9.74E-2</v>
      </c>
      <c r="M54" s="115">
        <v>242470</v>
      </c>
      <c r="N54" s="2">
        <f>C53-M54</f>
        <v>57530</v>
      </c>
      <c r="O54" s="2">
        <f>O41</f>
        <v>5</v>
      </c>
      <c r="P54" s="4"/>
      <c r="Q54" s="3" t="s">
        <v>45</v>
      </c>
      <c r="R54" s="82">
        <f>D41+D42+D43+D44</f>
        <v>2700000</v>
      </c>
      <c r="S54" s="63">
        <f>D41+D42+D43+D44</f>
        <v>2700000</v>
      </c>
      <c r="T54" s="105"/>
      <c r="U54" s="132" t="s">
        <v>46</v>
      </c>
      <c r="V54" s="135"/>
      <c r="W54" s="63"/>
    </row>
    <row r="55" spans="1:24" x14ac:dyDescent="0.25">
      <c r="A55" s="120"/>
      <c r="B55" s="8" t="s">
        <v>24</v>
      </c>
      <c r="C55" s="9">
        <v>300000</v>
      </c>
      <c r="D55" s="9"/>
      <c r="E55" s="8"/>
      <c r="F55" s="8"/>
      <c r="G55" s="39"/>
      <c r="H55" s="29"/>
      <c r="I55" s="1"/>
      <c r="J55" s="2" t="s">
        <v>22</v>
      </c>
      <c r="K55" s="2">
        <v>235306</v>
      </c>
      <c r="L55" s="108">
        <v>9.3399999999999997E-2</v>
      </c>
      <c r="M55" s="115">
        <v>235306</v>
      </c>
      <c r="N55" s="2">
        <f>C54-M55</f>
        <v>64694</v>
      </c>
      <c r="O55" s="2">
        <f>O42</f>
        <v>5</v>
      </c>
      <c r="P55" s="4"/>
      <c r="Q55" s="3" t="s">
        <v>47</v>
      </c>
      <c r="R55" s="58">
        <f>C52*0.4+C53*0.1+C54*0.4+C55*0.5</f>
        <v>420000</v>
      </c>
      <c r="S55" s="63">
        <f>C52*0.4+C53*0.1+C54*0.4+C55*0.5</f>
        <v>420000</v>
      </c>
      <c r="T55" s="105"/>
      <c r="U55" s="3" t="s">
        <v>48</v>
      </c>
      <c r="V55" s="58">
        <f>V51</f>
        <v>4620000</v>
      </c>
      <c r="W55" s="63">
        <f>W51</f>
        <v>3742102.9</v>
      </c>
    </row>
    <row r="56" spans="1:24" x14ac:dyDescent="0.25">
      <c r="A56" s="120"/>
      <c r="B56" s="11" t="s">
        <v>51</v>
      </c>
      <c r="C56" s="8"/>
      <c r="D56" s="8"/>
      <c r="E56" s="8"/>
      <c r="F56" s="8"/>
      <c r="G56" s="39"/>
      <c r="H56" s="29"/>
      <c r="I56" s="1"/>
      <c r="J56" s="2" t="s">
        <v>24</v>
      </c>
      <c r="K56" s="2">
        <v>267016</v>
      </c>
      <c r="L56" s="108">
        <v>0.13109999999999999</v>
      </c>
      <c r="M56" s="115">
        <v>267016</v>
      </c>
      <c r="N56" s="2">
        <f>C55-M56</f>
        <v>32984</v>
      </c>
      <c r="O56" s="2">
        <f>O43</f>
        <v>5</v>
      </c>
      <c r="P56" s="4"/>
      <c r="Q56" s="3" t="s">
        <v>49</v>
      </c>
      <c r="R56" s="58">
        <f>B58*0.4+C58*0.7+D58*0.8+B60*0.4+C60*0.4+D60*0.5+B62*0.7+C62*0.4+D62*0.4+B64*0.8+C64*0.5+D64*0.4</f>
        <v>0</v>
      </c>
      <c r="S56" s="63">
        <f>B58*0.4+C58*0.7+D58*0.8+B60*0.4+C60*0.4+D60*0.5+B62*0.7+C62*0.4+D62*0.4+B64*0.8+C64*0.5+D64*0.4</f>
        <v>0</v>
      </c>
      <c r="T56" s="105"/>
      <c r="U56" s="3" t="s">
        <v>50</v>
      </c>
      <c r="V56" s="58">
        <f>N46*T11</f>
        <v>5742717.75</v>
      </c>
      <c r="W56" s="63">
        <f>N59*((W45+V20)/(G40+G41+N10))</f>
        <v>5799162.357804155</v>
      </c>
    </row>
    <row r="57" spans="1:24" x14ac:dyDescent="0.25">
      <c r="A57" s="120"/>
      <c r="B57" s="8" t="s">
        <v>53</v>
      </c>
      <c r="C57" s="8" t="s">
        <v>54</v>
      </c>
      <c r="D57" s="8" t="s">
        <v>55</v>
      </c>
      <c r="E57" s="8"/>
      <c r="F57" s="9"/>
      <c r="G57" s="39"/>
      <c r="H57" s="29"/>
      <c r="I57" s="1"/>
      <c r="J57" s="27"/>
      <c r="K57" s="2"/>
      <c r="L57" s="108"/>
      <c r="M57" s="2"/>
      <c r="N57" s="2"/>
      <c r="O57" s="2"/>
      <c r="P57" s="4"/>
      <c r="Q57" s="6"/>
      <c r="R57" s="64"/>
      <c r="S57" s="89"/>
      <c r="T57" s="105"/>
      <c r="U57" s="3" t="s">
        <v>52</v>
      </c>
      <c r="V57" s="58">
        <f>4*M46</f>
        <v>0</v>
      </c>
      <c r="W57" s="63">
        <f>4*M59</f>
        <v>913376</v>
      </c>
    </row>
    <row r="58" spans="1:24" x14ac:dyDescent="0.25">
      <c r="A58" s="120"/>
      <c r="B58" s="9">
        <v>0</v>
      </c>
      <c r="C58" s="9">
        <v>0</v>
      </c>
      <c r="D58" s="9">
        <v>0</v>
      </c>
      <c r="E58" s="8"/>
      <c r="F58" s="8"/>
      <c r="G58" s="39"/>
      <c r="H58" s="29"/>
      <c r="I58" s="1"/>
      <c r="J58" s="109" t="s">
        <v>94</v>
      </c>
      <c r="K58" s="110" t="s">
        <v>95</v>
      </c>
      <c r="L58" s="111" t="s">
        <v>96</v>
      </c>
      <c r="M58" s="112" t="s">
        <v>97</v>
      </c>
      <c r="N58" s="112" t="s">
        <v>98</v>
      </c>
      <c r="O58" s="112" t="s">
        <v>99</v>
      </c>
      <c r="P58" s="4"/>
      <c r="Q58" s="3" t="s">
        <v>56</v>
      </c>
      <c r="R58" s="58">
        <f>(C68+C69+C70+C72+C71)*500</f>
        <v>8500</v>
      </c>
      <c r="S58" s="63">
        <f>(C68+C69+C70+C72+C71)*500</f>
        <v>8500</v>
      </c>
      <c r="T58" s="105"/>
      <c r="U58" s="3" t="s">
        <v>57</v>
      </c>
      <c r="V58" s="58">
        <f>G42*500000+L12*500000-R51</f>
        <v>5400000</v>
      </c>
      <c r="W58" s="63">
        <f>G42*500000+L12*500000-R51</f>
        <v>5400000</v>
      </c>
    </row>
    <row r="59" spans="1:24" x14ac:dyDescent="0.25">
      <c r="A59" s="120"/>
      <c r="B59" s="8" t="s">
        <v>60</v>
      </c>
      <c r="C59" s="8" t="s">
        <v>54</v>
      </c>
      <c r="D59" s="8" t="s">
        <v>61</v>
      </c>
      <c r="E59" s="8"/>
      <c r="F59" s="8"/>
      <c r="G59" s="39"/>
      <c r="H59" s="29"/>
      <c r="I59" s="1"/>
      <c r="J59" s="2">
        <f>K53+K54+K55+K56</f>
        <v>971656</v>
      </c>
      <c r="K59" s="115">
        <v>1200000</v>
      </c>
      <c r="L59" s="113">
        <f>M53+M54+M55+M56</f>
        <v>971656</v>
      </c>
      <c r="M59" s="2">
        <f>N53+N54+N55+N56</f>
        <v>228344</v>
      </c>
      <c r="N59" s="2">
        <f>G40+G41+N10-K59*1.35</f>
        <v>4521825</v>
      </c>
      <c r="O59" s="108">
        <f>(L53+L54+L55+L56)/4</f>
        <v>0.10352499999999999</v>
      </c>
      <c r="P59" s="4"/>
      <c r="Q59" s="3" t="s">
        <v>58</v>
      </c>
      <c r="R59" s="58">
        <f>(C68+C69+C70+C71+C72)*1000</f>
        <v>17000</v>
      </c>
      <c r="S59" s="63">
        <f>(C68+C69+C70+C71+C72)*1000</f>
        <v>17000</v>
      </c>
      <c r="T59" s="105"/>
      <c r="U59" s="3" t="s">
        <v>59</v>
      </c>
      <c r="V59" s="58">
        <f>V58+V57+V56+V55</f>
        <v>15762717.75</v>
      </c>
      <c r="W59" s="63">
        <f>W58+W57+W56+W55</f>
        <v>15854641.257804155</v>
      </c>
    </row>
    <row r="60" spans="1:24" x14ac:dyDescent="0.25">
      <c r="A60" s="120"/>
      <c r="B60" s="9">
        <v>0</v>
      </c>
      <c r="C60" s="9">
        <v>0</v>
      </c>
      <c r="D60" s="9">
        <v>0</v>
      </c>
      <c r="E60" s="8"/>
      <c r="F60" s="8"/>
      <c r="G60" s="39"/>
      <c r="H60" s="29"/>
      <c r="I60" s="1"/>
      <c r="J60" s="110" t="s">
        <v>100</v>
      </c>
      <c r="K60" s="110" t="s">
        <v>101</v>
      </c>
      <c r="L60" s="112" t="s">
        <v>102</v>
      </c>
      <c r="M60" s="112" t="s">
        <v>103</v>
      </c>
      <c r="N60" s="112" t="s">
        <v>104</v>
      </c>
      <c r="O60" s="112" t="s">
        <v>105</v>
      </c>
      <c r="P60" s="4"/>
      <c r="Q60" s="3" t="s">
        <v>62</v>
      </c>
      <c r="R60" s="58">
        <f>(C68+C69+C70+C71)*4500+C72*3750+(O4+O5+O6+O7)*9000+N12*7500</f>
        <v>357750</v>
      </c>
      <c r="S60" s="63">
        <f>(C68+C69+C70+C71)*4500+C72*3750+(O4+O5+O6+O7)*9000+N12*7500</f>
        <v>357750</v>
      </c>
      <c r="T60" s="105"/>
      <c r="U60" s="3" t="s">
        <v>63</v>
      </c>
      <c r="V60" s="58">
        <f>G47</f>
        <v>1400000</v>
      </c>
      <c r="W60" s="63">
        <f>G47+V26</f>
        <v>1400000</v>
      </c>
    </row>
    <row r="61" spans="1:24" x14ac:dyDescent="0.25">
      <c r="A61" s="120"/>
      <c r="B61" s="8" t="s">
        <v>66</v>
      </c>
      <c r="C61" s="8" t="s">
        <v>67</v>
      </c>
      <c r="D61" s="8" t="s">
        <v>68</v>
      </c>
      <c r="E61" s="8"/>
      <c r="F61" s="8"/>
      <c r="G61" s="39"/>
      <c r="H61" s="29"/>
      <c r="I61" s="1"/>
      <c r="J61" s="115">
        <v>540000</v>
      </c>
      <c r="K61" s="115">
        <v>540000</v>
      </c>
      <c r="L61" s="2">
        <f>L48</f>
        <v>11</v>
      </c>
      <c r="M61" s="2">
        <f>N61+O53+O54+O55+O56</f>
        <v>53</v>
      </c>
      <c r="N61" s="2">
        <f>N48</f>
        <v>33</v>
      </c>
      <c r="O61" s="2">
        <f>O56+O55+O54+O53</f>
        <v>20</v>
      </c>
      <c r="P61" s="4"/>
      <c r="Q61" s="3" t="s">
        <v>64</v>
      </c>
      <c r="R61" s="58">
        <f>(D68+D69+D70+D71)*6000+D72*5000</f>
        <v>0</v>
      </c>
      <c r="S61" s="63">
        <f>(D68+D69+D70+D71)*6000+D72*5000</f>
        <v>0</v>
      </c>
      <c r="T61" s="105"/>
      <c r="U61" s="3" t="s">
        <v>65</v>
      </c>
      <c r="V61" s="58">
        <f>IF(2*J65=2*1,V40/2-(V50+V15),"0")</f>
        <v>12066331.478679243</v>
      </c>
      <c r="W61" s="63">
        <f>IF((W40/2-(W50+W15))&gt;0,(W40/2-(W50+W15)),"0")</f>
        <v>12952059.580905659</v>
      </c>
    </row>
    <row r="62" spans="1:24" x14ac:dyDescent="0.25">
      <c r="A62" s="120"/>
      <c r="B62" s="9">
        <v>0</v>
      </c>
      <c r="C62" s="9">
        <v>0</v>
      </c>
      <c r="D62" s="9">
        <v>0</v>
      </c>
      <c r="E62" s="8"/>
      <c r="F62" s="8"/>
      <c r="G62" s="39"/>
      <c r="H62" s="29"/>
      <c r="I62" s="1"/>
      <c r="J62" s="7"/>
      <c r="K62" s="5"/>
      <c r="L62" s="5"/>
      <c r="M62" s="5"/>
      <c r="P62" s="4"/>
      <c r="Q62" s="3" t="s">
        <v>69</v>
      </c>
      <c r="R62" s="58">
        <f>V20*10%</f>
        <v>49999.950000000004</v>
      </c>
      <c r="S62" s="63">
        <f>V20*10%</f>
        <v>49999.950000000004</v>
      </c>
      <c r="T62" s="105"/>
      <c r="U62" s="3" t="s">
        <v>70</v>
      </c>
      <c r="V62" s="58">
        <f>V60+V61+V26</f>
        <v>13466331.478679243</v>
      </c>
      <c r="W62" s="63">
        <f>W61+W60</f>
        <v>14352059.580905659</v>
      </c>
    </row>
    <row r="63" spans="1:24" x14ac:dyDescent="0.25">
      <c r="A63" s="120"/>
      <c r="B63" s="8" t="s">
        <v>73</v>
      </c>
      <c r="C63" s="8" t="s">
        <v>74</v>
      </c>
      <c r="D63" s="8" t="s">
        <v>75</v>
      </c>
      <c r="E63" s="8"/>
      <c r="F63" s="8"/>
      <c r="G63" s="39"/>
      <c r="H63" s="29"/>
      <c r="I63" s="1"/>
      <c r="J63" s="22"/>
      <c r="K63" s="22"/>
      <c r="P63" s="4"/>
      <c r="Q63" s="3" t="s">
        <v>71</v>
      </c>
      <c r="R63" s="58">
        <f>0.5*M46</f>
        <v>0</v>
      </c>
      <c r="S63" s="63">
        <f>0.5*M59</f>
        <v>114172</v>
      </c>
      <c r="T63" s="105"/>
      <c r="U63" s="3" t="s">
        <v>72</v>
      </c>
      <c r="V63" s="58">
        <f>V59-V62</f>
        <v>2296386.2713207565</v>
      </c>
      <c r="W63" s="63">
        <f>W59-W62</f>
        <v>1502581.6768984962</v>
      </c>
    </row>
    <row r="64" spans="1:24" x14ac:dyDescent="0.25">
      <c r="A64" s="120"/>
      <c r="B64" s="9">
        <v>0</v>
      </c>
      <c r="C64" s="9">
        <v>0</v>
      </c>
      <c r="D64" s="9">
        <v>0</v>
      </c>
      <c r="E64" s="8"/>
      <c r="F64" s="8"/>
      <c r="G64" s="39"/>
      <c r="H64" s="29"/>
      <c r="I64" s="24"/>
      <c r="J64" s="28" t="s">
        <v>114</v>
      </c>
      <c r="K64" s="28" t="s">
        <v>115</v>
      </c>
      <c r="P64" s="4"/>
      <c r="Q64" s="6"/>
      <c r="R64" s="64"/>
      <c r="S64" s="86"/>
      <c r="T64" s="64"/>
      <c r="U64" s="4"/>
      <c r="V64" s="64"/>
      <c r="W64" s="105"/>
    </row>
    <row r="65" spans="1:23" x14ac:dyDescent="0.25">
      <c r="A65" s="120"/>
      <c r="B65" s="8"/>
      <c r="C65" s="8"/>
      <c r="D65" s="8"/>
      <c r="E65" s="8"/>
      <c r="F65" s="8"/>
      <c r="G65" s="39"/>
      <c r="H65" s="29"/>
      <c r="I65" s="24"/>
      <c r="J65" s="30" t="str">
        <f>IF((V15+V50)&lt;=V40/2,"1","0")</f>
        <v>1</v>
      </c>
      <c r="K65" s="30" t="str">
        <f>IF((V15+W50)&lt;=W40/2,"1","0")</f>
        <v>1</v>
      </c>
      <c r="P65" s="4"/>
      <c r="Q65" s="3" t="s">
        <v>76</v>
      </c>
      <c r="R65" s="58">
        <f>G47*M1/4</f>
        <v>14000</v>
      </c>
      <c r="S65" s="63">
        <f>G47*M1/4</f>
        <v>14000</v>
      </c>
      <c r="T65" s="64"/>
      <c r="U65" s="4"/>
      <c r="V65" s="64"/>
      <c r="W65" s="105"/>
    </row>
    <row r="66" spans="1:23" x14ac:dyDescent="0.25">
      <c r="A66" s="120"/>
      <c r="B66" s="18" t="s">
        <v>126</v>
      </c>
      <c r="C66" s="8"/>
      <c r="D66" s="8"/>
      <c r="E66" s="8"/>
      <c r="F66" s="8"/>
      <c r="G66" s="39"/>
      <c r="H66" s="29"/>
      <c r="I66" s="24"/>
      <c r="J66" s="26" t="s">
        <v>117</v>
      </c>
      <c r="K66" s="27"/>
      <c r="P66" s="4"/>
      <c r="Q66" s="6"/>
      <c r="R66" s="64"/>
      <c r="S66" s="86"/>
      <c r="T66" s="64"/>
      <c r="U66" s="4"/>
      <c r="V66" s="64"/>
      <c r="W66" s="105"/>
    </row>
    <row r="67" spans="1:23" x14ac:dyDescent="0.25">
      <c r="A67" s="120"/>
      <c r="B67" s="8"/>
      <c r="C67" s="8" t="s">
        <v>78</v>
      </c>
      <c r="D67" s="8" t="s">
        <v>79</v>
      </c>
      <c r="E67" s="8"/>
      <c r="F67" s="8"/>
      <c r="G67" s="39"/>
      <c r="H67" s="29"/>
      <c r="I67" s="24"/>
      <c r="J67" s="27">
        <f>N10+G41-K12*3*1.35</f>
        <v>0</v>
      </c>
      <c r="K67" s="27"/>
      <c r="P67" s="4"/>
      <c r="Q67" s="3" t="s">
        <v>77</v>
      </c>
      <c r="R67" s="67">
        <f>(R41/(1+E1))*E1</f>
        <v>523018.86792452831</v>
      </c>
      <c r="S67" s="63">
        <f>S41/(1+E1)*E1</f>
        <v>423634.2905660377</v>
      </c>
      <c r="T67" s="64"/>
      <c r="U67" s="4"/>
      <c r="V67" s="64"/>
      <c r="W67" s="105"/>
    </row>
    <row r="68" spans="1:23" x14ac:dyDescent="0.25">
      <c r="A68" s="120"/>
      <c r="B68" s="8" t="s">
        <v>16</v>
      </c>
      <c r="C68" s="9">
        <v>2</v>
      </c>
      <c r="D68" s="9">
        <v>0</v>
      </c>
      <c r="E68" s="8"/>
      <c r="F68" s="8"/>
      <c r="G68" s="39"/>
      <c r="H68" s="29"/>
      <c r="I68" s="24"/>
      <c r="P68" s="4"/>
      <c r="Q68" s="3" t="s">
        <v>80</v>
      </c>
      <c r="R68" s="58">
        <f>R67*G1</f>
        <v>36611.320754716988</v>
      </c>
      <c r="S68" s="63">
        <f>S67*G1</f>
        <v>29654.400339622644</v>
      </c>
      <c r="T68" s="64"/>
      <c r="U68" s="4"/>
      <c r="V68" s="64"/>
      <c r="W68" s="105"/>
    </row>
    <row r="69" spans="1:23" x14ac:dyDescent="0.25">
      <c r="A69" s="120"/>
      <c r="B69" s="8" t="s">
        <v>19</v>
      </c>
      <c r="C69" s="9">
        <v>2</v>
      </c>
      <c r="D69" s="9">
        <v>0</v>
      </c>
      <c r="E69" s="8"/>
      <c r="F69" s="8"/>
      <c r="G69" s="39"/>
      <c r="H69" s="29"/>
      <c r="I69" s="24"/>
      <c r="J69" s="36"/>
      <c r="P69" s="4"/>
      <c r="Q69" s="3" t="s">
        <v>81</v>
      </c>
      <c r="R69" s="58">
        <f>(R41/(1+E1)-(R54+R55+R65+R63+R62+R61+R60+R59+R43+R45+R44+R46+R47+R48+R49+R50+R51+R52)-R68)*K1</f>
        <v>-534667.28021877282</v>
      </c>
      <c r="S69" s="63">
        <f>(S41/(1+E1)-(S43+S44+S45+S46+S47+S48+S49+S50+S51+S52+S54+S55+S56+S58+S59+S60+S61+S62+S63)-S68)*K1</f>
        <v>-745854.45577537676</v>
      </c>
      <c r="T69" s="64"/>
      <c r="U69" s="4"/>
      <c r="V69" s="64"/>
      <c r="W69" s="105"/>
    </row>
    <row r="70" spans="1:23" x14ac:dyDescent="0.25">
      <c r="A70" s="120"/>
      <c r="B70" s="8" t="s">
        <v>22</v>
      </c>
      <c r="C70" s="9">
        <v>2</v>
      </c>
      <c r="D70" s="9">
        <v>0</v>
      </c>
      <c r="E70" s="8"/>
      <c r="F70" s="8"/>
      <c r="G70" s="39"/>
      <c r="H70" s="29"/>
      <c r="I70" s="24"/>
      <c r="P70" s="4"/>
      <c r="Q70" s="3"/>
      <c r="R70" s="58" t="str">
        <f>IF(R69&lt;=0,"0",R69)</f>
        <v>0</v>
      </c>
      <c r="S70" s="63" t="str">
        <f>IF(S69&lt;=0,"0",S69)</f>
        <v>0</v>
      </c>
      <c r="T70" s="64"/>
      <c r="U70" s="4"/>
      <c r="V70" s="64"/>
      <c r="W70" s="105"/>
    </row>
    <row r="71" spans="1:23" x14ac:dyDescent="0.25">
      <c r="A71" s="120"/>
      <c r="B71" s="8" t="s">
        <v>24</v>
      </c>
      <c r="C71" s="9">
        <v>2</v>
      </c>
      <c r="D71" s="9">
        <v>0</v>
      </c>
      <c r="E71" s="8"/>
      <c r="F71" s="8"/>
      <c r="G71" s="39"/>
      <c r="H71" s="29"/>
      <c r="I71" s="24"/>
      <c r="P71" s="4"/>
      <c r="Q71" s="34" t="s">
        <v>82</v>
      </c>
      <c r="R71" s="68">
        <f>R43+R47+R50+R58+R59+R60+R44+R45+R46+R48+R49+R51+R52+R54+R55+R56+R61+R62+R63+R65+R67+R68+R70</f>
        <v>11387169.12087509</v>
      </c>
      <c r="S71" s="76">
        <f>S43+S47+S50+S58+S59+S60+S44+S45+S46+S48+S49+S51+S52+S54+S55+S56+S61+S62+S63+S65+S67+S68+S70</f>
        <v>10481623.623101506</v>
      </c>
      <c r="T71" s="64"/>
      <c r="U71" s="4"/>
      <c r="V71" s="64"/>
      <c r="W71" s="105"/>
    </row>
    <row r="72" spans="1:23" x14ac:dyDescent="0.25">
      <c r="A72" s="120"/>
      <c r="B72" s="8" t="s">
        <v>83</v>
      </c>
      <c r="C72" s="9">
        <v>9</v>
      </c>
      <c r="D72" s="9">
        <v>0</v>
      </c>
      <c r="E72" s="8"/>
      <c r="F72" s="8"/>
      <c r="G72" s="39"/>
      <c r="H72" s="29"/>
      <c r="I72" s="24"/>
      <c r="P72" s="4"/>
      <c r="Q72" s="83"/>
      <c r="R72" s="61"/>
      <c r="S72" s="91"/>
      <c r="T72" s="64"/>
      <c r="U72" s="4"/>
      <c r="V72" s="64"/>
      <c r="W72" s="105"/>
    </row>
    <row r="73" spans="1:23" x14ac:dyDescent="0.25">
      <c r="A73" s="121"/>
      <c r="B73" s="8"/>
      <c r="C73" s="9"/>
      <c r="D73" s="8"/>
      <c r="E73" s="8"/>
      <c r="F73" s="8"/>
      <c r="G73" s="39"/>
      <c r="H73" s="29"/>
      <c r="I73" s="25"/>
      <c r="P73" s="4"/>
      <c r="Q73" s="54" t="s">
        <v>84</v>
      </c>
      <c r="R73" s="82">
        <f>R41-R71</f>
        <v>-2147169.1208750904</v>
      </c>
      <c r="S73" s="62">
        <f>S41-S71</f>
        <v>-2997417.8231015066</v>
      </c>
      <c r="T73" s="64"/>
      <c r="U73" s="4"/>
      <c r="V73" s="64"/>
      <c r="W73" s="105"/>
    </row>
    <row r="74" spans="1:23" ht="20.399999999999999" x14ac:dyDescent="0.35">
      <c r="A74" s="139" t="s">
        <v>86</v>
      </c>
      <c r="B74" s="122" t="s">
        <v>3</v>
      </c>
      <c r="C74" s="123"/>
      <c r="D74" s="123"/>
      <c r="E74" s="123"/>
      <c r="F74" s="123"/>
      <c r="G74" s="123"/>
      <c r="H74" s="29"/>
      <c r="I74" s="1"/>
      <c r="J74" s="118" t="s">
        <v>112</v>
      </c>
      <c r="K74" s="118"/>
      <c r="L74" s="118"/>
      <c r="M74" s="118"/>
      <c r="N74" s="118"/>
      <c r="O74" s="118"/>
      <c r="P74" s="4"/>
      <c r="Q74" s="131" t="s">
        <v>1</v>
      </c>
      <c r="R74" s="130"/>
      <c r="S74" s="142" t="s">
        <v>111</v>
      </c>
      <c r="T74" s="105"/>
      <c r="U74" s="131" t="s">
        <v>2</v>
      </c>
      <c r="V74" s="132"/>
      <c r="W74" s="21" t="s">
        <v>111</v>
      </c>
    </row>
    <row r="75" spans="1:23" x14ac:dyDescent="0.25">
      <c r="A75" s="140"/>
      <c r="B75" s="18" t="s">
        <v>121</v>
      </c>
      <c r="C75" s="8"/>
      <c r="D75" s="8"/>
      <c r="E75" s="8"/>
      <c r="F75" s="18" t="s">
        <v>122</v>
      </c>
      <c r="G75" s="39"/>
      <c r="H75" s="45"/>
      <c r="I75" s="1"/>
      <c r="J75" s="2"/>
      <c r="K75" s="2" t="s">
        <v>7</v>
      </c>
      <c r="L75" s="2" t="s">
        <v>8</v>
      </c>
      <c r="M75" s="2" t="s">
        <v>9</v>
      </c>
      <c r="N75" s="2" t="s">
        <v>10</v>
      </c>
      <c r="O75" s="2" t="s">
        <v>11</v>
      </c>
      <c r="P75" s="4"/>
      <c r="Q75" s="3" t="s">
        <v>5</v>
      </c>
      <c r="R75" s="66" t="s">
        <v>6</v>
      </c>
      <c r="S75" s="97" t="s">
        <v>6</v>
      </c>
      <c r="T75" s="105"/>
      <c r="U75" s="3" t="s">
        <v>5</v>
      </c>
      <c r="V75" s="56" t="s">
        <v>6</v>
      </c>
      <c r="W75" s="56" t="s">
        <v>6</v>
      </c>
    </row>
    <row r="76" spans="1:23" x14ac:dyDescent="0.25">
      <c r="A76" s="140"/>
      <c r="B76" s="8"/>
      <c r="C76" s="8" t="s">
        <v>13</v>
      </c>
      <c r="D76" s="8" t="s">
        <v>14</v>
      </c>
      <c r="E76" s="8"/>
      <c r="F76" s="8" t="s">
        <v>15</v>
      </c>
      <c r="G76" s="40">
        <v>0</v>
      </c>
      <c r="H76" s="46"/>
      <c r="I76" s="1"/>
      <c r="J76" s="2" t="s">
        <v>16</v>
      </c>
      <c r="K76" s="2"/>
      <c r="L76" s="108"/>
      <c r="M76" s="2">
        <f>C88</f>
        <v>372413</v>
      </c>
      <c r="N76" s="2">
        <f>C88-M76</f>
        <v>0</v>
      </c>
      <c r="O76" s="2">
        <f>O40+C104-D104</f>
        <v>5</v>
      </c>
      <c r="P76" s="4"/>
      <c r="Q76" s="53"/>
      <c r="R76" s="35"/>
      <c r="S76" s="98"/>
      <c r="T76" s="105"/>
      <c r="U76" s="3" t="s">
        <v>12</v>
      </c>
      <c r="V76" s="58">
        <f>R77</f>
        <v>0</v>
      </c>
      <c r="W76" s="63">
        <f>S77</f>
        <v>0</v>
      </c>
    </row>
    <row r="77" spans="1:23" x14ac:dyDescent="0.25">
      <c r="A77" s="140"/>
      <c r="B77" s="8" t="s">
        <v>16</v>
      </c>
      <c r="C77" s="9">
        <v>0</v>
      </c>
      <c r="D77" s="9">
        <v>0</v>
      </c>
      <c r="E77" s="8"/>
      <c r="F77" s="8" t="s">
        <v>18</v>
      </c>
      <c r="G77" s="40">
        <v>0</v>
      </c>
      <c r="H77" s="46"/>
      <c r="I77" s="1"/>
      <c r="J77" s="2" t="s">
        <v>19</v>
      </c>
      <c r="K77" s="2"/>
      <c r="L77" s="108"/>
      <c r="M77" s="2">
        <f>C89</f>
        <v>428275</v>
      </c>
      <c r="N77" s="2">
        <f>C89-M77</f>
        <v>0</v>
      </c>
      <c r="O77" s="2">
        <f>O41+C105-D105</f>
        <v>6</v>
      </c>
      <c r="P77" s="4"/>
      <c r="Q77" s="34" t="s">
        <v>12</v>
      </c>
      <c r="R77" s="68">
        <f>C77*(C88+N53)+C78*(C89+N54)+C79*(C90+N55)+C80*(C91+N56)</f>
        <v>0</v>
      </c>
      <c r="S77" s="76">
        <f>C77*M89+M90*C78+C79*M91+M92*C80</f>
        <v>0</v>
      </c>
      <c r="T77" s="105"/>
      <c r="U77" s="3" t="s">
        <v>17</v>
      </c>
      <c r="V77" s="58">
        <f>G83</f>
        <v>0</v>
      </c>
      <c r="W77" s="63">
        <f>G83</f>
        <v>0</v>
      </c>
    </row>
    <row r="78" spans="1:23" x14ac:dyDescent="0.25">
      <c r="A78" s="140"/>
      <c r="B78" s="8" t="s">
        <v>19</v>
      </c>
      <c r="C78" s="9">
        <v>0</v>
      </c>
      <c r="D78" s="9">
        <v>0</v>
      </c>
      <c r="E78" s="8"/>
      <c r="F78" s="8" t="s">
        <v>21</v>
      </c>
      <c r="G78" s="40">
        <v>1</v>
      </c>
      <c r="H78" s="46"/>
      <c r="I78" s="1"/>
      <c r="J78" s="2" t="s">
        <v>22</v>
      </c>
      <c r="K78" s="2"/>
      <c r="L78" s="108"/>
      <c r="M78" s="2">
        <f>C90</f>
        <v>391034</v>
      </c>
      <c r="N78" s="2">
        <f>C90-M78</f>
        <v>0</v>
      </c>
      <c r="O78" s="2">
        <f>C106+O42-D106</f>
        <v>5</v>
      </c>
      <c r="P78" s="4"/>
      <c r="Q78" s="83"/>
      <c r="R78" s="61"/>
      <c r="S78" s="92"/>
      <c r="T78" s="105"/>
      <c r="U78" s="3" t="s">
        <v>20</v>
      </c>
      <c r="V78" s="58">
        <f>V77+V76</f>
        <v>0</v>
      </c>
      <c r="W78" s="63">
        <f>W77+W76</f>
        <v>0</v>
      </c>
    </row>
    <row r="79" spans="1:23" x14ac:dyDescent="0.25">
      <c r="A79" s="140"/>
      <c r="B79" s="8" t="s">
        <v>22</v>
      </c>
      <c r="C79" s="9">
        <v>0</v>
      </c>
      <c r="D79" s="9">
        <v>0</v>
      </c>
      <c r="E79" s="8"/>
      <c r="F79" s="8"/>
      <c r="G79" s="39"/>
      <c r="H79" s="29"/>
      <c r="I79" s="1"/>
      <c r="J79" s="2" t="s">
        <v>24</v>
      </c>
      <c r="K79" s="2"/>
      <c r="L79" s="108"/>
      <c r="M79" s="2">
        <f>C91</f>
        <v>428278</v>
      </c>
      <c r="N79" s="2">
        <f>C91-M79</f>
        <v>0</v>
      </c>
      <c r="O79" s="2">
        <f>O43+C107-D107</f>
        <v>6</v>
      </c>
      <c r="P79" s="4"/>
      <c r="Q79" s="54" t="s">
        <v>23</v>
      </c>
      <c r="R79" s="62">
        <f>C84</f>
        <v>2100000</v>
      </c>
      <c r="S79" s="62">
        <f>C84</f>
        <v>2100000</v>
      </c>
      <c r="T79" s="105"/>
      <c r="U79" s="3"/>
      <c r="V79" s="58"/>
      <c r="W79" s="63"/>
    </row>
    <row r="80" spans="1:23" x14ac:dyDescent="0.25">
      <c r="A80" s="140"/>
      <c r="B80" s="8" t="s">
        <v>24</v>
      </c>
      <c r="C80" s="9">
        <v>0</v>
      </c>
      <c r="D80" s="9">
        <v>0</v>
      </c>
      <c r="E80" s="8"/>
      <c r="F80" s="8"/>
      <c r="G80" s="39"/>
      <c r="H80" s="29"/>
      <c r="I80" s="1"/>
      <c r="J80" s="27"/>
      <c r="K80" s="2"/>
      <c r="L80" s="108"/>
      <c r="M80" s="2"/>
      <c r="N80" s="2"/>
      <c r="O80" s="2"/>
      <c r="P80" s="4"/>
      <c r="Q80" s="3" t="s">
        <v>25</v>
      </c>
      <c r="R80" s="63" t="str">
        <f>IF(C83=0,"0",IF(C83/K48&lt;=1.5,"10000",IF(C83/K48&lt;=2.5,"15000","20000")))</f>
        <v>20000</v>
      </c>
      <c r="S80" s="63" t="str">
        <f>IF(K95=0,"0",IF(K95/K48&lt;=1.5,"10000",IF(K95/K48&lt;=2.5,"15000","20000")))</f>
        <v>0</v>
      </c>
      <c r="T80" s="105"/>
      <c r="U80" s="3" t="s">
        <v>26</v>
      </c>
      <c r="V80" s="58">
        <f>R79+R80+R81+R83+R84+R85+R86+R90+R91+R92+R94+R95+R96+R97+R98+R99+R101+R103+R104+R106</f>
        <v>6749593.9190166416</v>
      </c>
      <c r="W80" s="63">
        <f>S79+S80+S81+S83+S84+S85+S86+S90+S91+S92+S94+S95+S96+S97+S98+S99+S101+S103+S104+S106</f>
        <v>5625574.6892624814</v>
      </c>
    </row>
    <row r="81" spans="1:24" x14ac:dyDescent="0.25">
      <c r="A81" s="140"/>
      <c r="B81" s="8"/>
      <c r="C81" s="8"/>
      <c r="D81" s="8"/>
      <c r="E81" s="8"/>
      <c r="F81" s="8"/>
      <c r="G81" s="39"/>
      <c r="H81" s="29"/>
      <c r="I81" s="1"/>
      <c r="J81" s="109" t="s">
        <v>94</v>
      </c>
      <c r="K81" s="110" t="s">
        <v>95</v>
      </c>
      <c r="L81" s="111" t="s">
        <v>96</v>
      </c>
      <c r="M81" s="112" t="s">
        <v>97</v>
      </c>
      <c r="N81" s="112" t="s">
        <v>98</v>
      </c>
      <c r="O81" s="112" t="s">
        <v>99</v>
      </c>
      <c r="P81" s="4"/>
      <c r="Q81" s="3" t="s">
        <v>27</v>
      </c>
      <c r="R81" s="63">
        <f>IF(C83=0,"0",IF(((C83/K48)*8)&lt;=8,C83*1.2,IF(((C83/K48)*8)&lt;=12,K48*1.2+(C83-K48)*1.3,IF(((C83/K48)*8)&lt;=16,K48*1.2+(C83-K48)*1.4,IF(((C83/K48)*8)&lt;=20,K48*1.2+K48*1.4+(C83-2*K48)*1.5,K48*1.2+K48*1.4+(C83-2*K48)*1.6)))))</f>
        <v>2268000</v>
      </c>
      <c r="S81" s="63" t="str">
        <f>IF(K95=0,"0",IF(((K95/K48)*8)&lt;=8,K95*1.2,IF(((K95/K48)*8)&lt;=12,K48*1.2+(K95-K48)*1.3,IF(((K95/K48)*8)&lt;=16,L48*1.2+(K95-K48)*1.4,IF(((K95/K48)*8)&lt;=20,K48*1.2+K48*1.4+(K95-2*K48)*1.5,K48*1.2+K48*1.4+(K95-2*K48)*1.6)))))</f>
        <v>0</v>
      </c>
      <c r="T81" s="133" t="s">
        <v>120</v>
      </c>
      <c r="U81" s="3" t="s">
        <v>28</v>
      </c>
      <c r="V81" s="58">
        <f>G76*T47+G77*T47</f>
        <v>0</v>
      </c>
      <c r="W81" s="63">
        <f>G76*T47+G77*T47</f>
        <v>0</v>
      </c>
    </row>
    <row r="82" spans="1:24" x14ac:dyDescent="0.25">
      <c r="A82" s="140"/>
      <c r="B82" s="18" t="s">
        <v>124</v>
      </c>
      <c r="C82" s="8"/>
      <c r="D82" s="18" t="s">
        <v>116</v>
      </c>
      <c r="E82" s="8"/>
      <c r="F82" s="18" t="s">
        <v>123</v>
      </c>
      <c r="G82" s="40"/>
      <c r="H82" s="46"/>
      <c r="I82" s="1"/>
      <c r="J82" s="2">
        <f>K76+K77+K78+K79</f>
        <v>0</v>
      </c>
      <c r="K82" s="112">
        <f>C83</f>
        <v>1620000</v>
      </c>
      <c r="L82" s="113">
        <f>M76+M77+M78+M79</f>
        <v>1620000</v>
      </c>
      <c r="M82" s="2">
        <f>N76+N77+N78+N79</f>
        <v>0</v>
      </c>
      <c r="N82" s="2">
        <f>G76+G77+N59-C83*1.35</f>
        <v>2334825</v>
      </c>
      <c r="O82" s="108">
        <f>(L76+L77+L78+L79)/4</f>
        <v>0</v>
      </c>
      <c r="P82" s="4"/>
      <c r="Q82" s="84" t="s">
        <v>113</v>
      </c>
      <c r="R82" s="63">
        <f>((V81+W56)/(G76+G77+N46))*C83*1.35-1</f>
        <v>2804788.6759643918</v>
      </c>
      <c r="S82" s="63">
        <f>((W81+W56)/(G76+G77+N59))*K95*1.35-1</f>
        <v>-1</v>
      </c>
      <c r="T82" s="134"/>
      <c r="U82" s="3" t="s">
        <v>30</v>
      </c>
      <c r="V82" s="58">
        <f>G78*500000</f>
        <v>500000</v>
      </c>
      <c r="W82" s="63">
        <f>G78*500000</f>
        <v>500000</v>
      </c>
    </row>
    <row r="83" spans="1:24" x14ac:dyDescent="0.25">
      <c r="A83" s="140"/>
      <c r="B83" s="8" t="s">
        <v>33</v>
      </c>
      <c r="C83" s="9">
        <v>1620000</v>
      </c>
      <c r="D83" s="9">
        <f>(N46+G77)/1.35</f>
        <v>3349500</v>
      </c>
      <c r="E83" s="8"/>
      <c r="F83" s="8" t="s">
        <v>17</v>
      </c>
      <c r="G83" s="40">
        <v>0</v>
      </c>
      <c r="H83" s="46"/>
      <c r="I83" s="1"/>
      <c r="J83" s="110" t="s">
        <v>100</v>
      </c>
      <c r="K83" s="110" t="s">
        <v>101</v>
      </c>
      <c r="L83" s="112" t="s">
        <v>102</v>
      </c>
      <c r="M83" s="112" t="s">
        <v>103</v>
      </c>
      <c r="N83" s="112" t="s">
        <v>104</v>
      </c>
      <c r="O83" s="112" t="s">
        <v>105</v>
      </c>
      <c r="P83" s="4"/>
      <c r="Q83" s="3" t="s">
        <v>31</v>
      </c>
      <c r="R83" s="63" t="str">
        <f>IF(G76=0,"0",IF(G76&lt;=500000,"40000",IF(G76&lt;=1000000,"80000",IF(G76&lt;=1500000,"120000",IF(G76&lt;=2000000,"160000","200000")))))</f>
        <v>0</v>
      </c>
      <c r="S83" s="63" t="str">
        <f>IF(G76=0,"0",IF(G76&lt;=500000,"40000",IF(G76&lt;=1000000,"80000",IF(G76&lt;=1500000,"120000",IF(G76&lt;=2000000,"160000","200000")))))</f>
        <v>0</v>
      </c>
      <c r="T83" s="114">
        <v>1.38</v>
      </c>
      <c r="U83" s="3" t="s">
        <v>32</v>
      </c>
      <c r="V83" s="58">
        <f>G84</f>
        <v>0</v>
      </c>
      <c r="W83" s="63">
        <f>G84</f>
        <v>0</v>
      </c>
    </row>
    <row r="84" spans="1:24" x14ac:dyDescent="0.25">
      <c r="A84" s="140"/>
      <c r="B84" s="8" t="s">
        <v>36</v>
      </c>
      <c r="C84" s="9">
        <v>2100000</v>
      </c>
      <c r="D84" s="8"/>
      <c r="E84" s="8"/>
      <c r="F84" s="8" t="s">
        <v>32</v>
      </c>
      <c r="G84" s="40">
        <v>0</v>
      </c>
      <c r="H84" s="46"/>
      <c r="I84" s="1"/>
      <c r="J84" s="2">
        <f>J61*0.975+G78*50000</f>
        <v>576500</v>
      </c>
      <c r="K84" s="2">
        <f>J84</f>
        <v>576500</v>
      </c>
      <c r="L84" s="2">
        <f>L48+G78</f>
        <v>12</v>
      </c>
      <c r="M84" s="2">
        <f>N84+O76+O77+O78+O79</f>
        <v>58</v>
      </c>
      <c r="N84" s="2">
        <f>C108+N48-D108</f>
        <v>36</v>
      </c>
      <c r="O84" s="2">
        <f>O79+O78+O77+O76</f>
        <v>22</v>
      </c>
      <c r="P84" s="4"/>
      <c r="Q84" s="3" t="s">
        <v>34</v>
      </c>
      <c r="R84" s="58">
        <f>G77*1</f>
        <v>0</v>
      </c>
      <c r="S84" s="63">
        <f>G77*1</f>
        <v>0</v>
      </c>
      <c r="T84" s="105"/>
      <c r="U84" s="3" t="s">
        <v>35</v>
      </c>
      <c r="V84" s="58">
        <f>G85</f>
        <v>0</v>
      </c>
      <c r="W84" s="63">
        <f>G85</f>
        <v>0</v>
      </c>
    </row>
    <row r="85" spans="1:24" x14ac:dyDescent="0.25">
      <c r="A85" s="140"/>
      <c r="B85" s="8"/>
      <c r="C85" s="8"/>
      <c r="D85" s="8"/>
      <c r="E85" s="8"/>
      <c r="F85" s="8" t="s">
        <v>35</v>
      </c>
      <c r="G85" s="40">
        <v>0</v>
      </c>
      <c r="H85" s="46"/>
      <c r="I85" s="1"/>
      <c r="P85" s="4"/>
      <c r="Q85" s="3" t="s">
        <v>37</v>
      </c>
      <c r="R85" s="58">
        <f>L48*12000</f>
        <v>132000</v>
      </c>
      <c r="S85" s="63">
        <f>L48*12000</f>
        <v>132000</v>
      </c>
      <c r="T85" s="105"/>
      <c r="U85" s="3" t="s">
        <v>38</v>
      </c>
      <c r="V85" s="58">
        <f>V80+V81+V82+V83+V84</f>
        <v>7249593.9190166416</v>
      </c>
      <c r="W85" s="63">
        <f>W84+W83+W82+W81+W80</f>
        <v>6125574.6892624814</v>
      </c>
    </row>
    <row r="86" spans="1:24" x14ac:dyDescent="0.25">
      <c r="A86" s="140"/>
      <c r="B86" s="18" t="s">
        <v>125</v>
      </c>
      <c r="C86" s="8"/>
      <c r="D86" s="8"/>
      <c r="E86" s="8"/>
      <c r="F86" s="8"/>
      <c r="G86" s="39"/>
      <c r="H86" s="29"/>
      <c r="I86" s="1"/>
      <c r="P86" s="4"/>
      <c r="Q86" s="3" t="s">
        <v>39</v>
      </c>
      <c r="R86" s="58">
        <f>G78*100000</f>
        <v>100000</v>
      </c>
      <c r="S86" s="63">
        <f>G78*100000</f>
        <v>100000</v>
      </c>
      <c r="T86" s="105"/>
      <c r="U86" s="3" t="s">
        <v>40</v>
      </c>
      <c r="V86" s="58">
        <f>V78-V85</f>
        <v>-7249593.9190166416</v>
      </c>
      <c r="W86" s="63">
        <f>W78-W85</f>
        <v>-6125574.6892624814</v>
      </c>
    </row>
    <row r="87" spans="1:24" x14ac:dyDescent="0.25">
      <c r="A87" s="140"/>
      <c r="B87" s="8"/>
      <c r="C87" s="8" t="s">
        <v>43</v>
      </c>
      <c r="D87" s="10"/>
      <c r="E87" s="8"/>
      <c r="F87" s="8"/>
      <c r="G87" s="39"/>
      <c r="H87" s="29"/>
      <c r="I87" s="1"/>
      <c r="J87" s="118" t="s">
        <v>118</v>
      </c>
      <c r="K87" s="118"/>
      <c r="L87" s="118"/>
      <c r="M87" s="118"/>
      <c r="N87" s="118"/>
      <c r="O87" s="118"/>
      <c r="P87" s="4"/>
      <c r="Q87" s="3" t="s">
        <v>41</v>
      </c>
      <c r="R87" s="58">
        <f>V58*2.5%</f>
        <v>135000</v>
      </c>
      <c r="S87" s="63">
        <f>V58*2.5%</f>
        <v>135000</v>
      </c>
      <c r="T87" s="105"/>
      <c r="U87" s="3" t="s">
        <v>42</v>
      </c>
      <c r="V87" s="58">
        <f>IF(2*J101=2*1,(V76/2),(V86+W51))</f>
        <v>0</v>
      </c>
      <c r="W87" s="63">
        <f>IF(2*K101=2*1,(W76/2),(W86+W51))</f>
        <v>0</v>
      </c>
    </row>
    <row r="88" spans="1:24" x14ac:dyDescent="0.25">
      <c r="A88" s="140"/>
      <c r="B88" s="8" t="s">
        <v>16</v>
      </c>
      <c r="C88" s="9">
        <v>372413</v>
      </c>
      <c r="D88" s="9">
        <f>C83-C88-C89-C90-C91</f>
        <v>0</v>
      </c>
      <c r="E88" s="8"/>
      <c r="F88" s="17"/>
      <c r="G88" s="39"/>
      <c r="H88" s="29"/>
      <c r="I88" s="1"/>
      <c r="J88" s="2"/>
      <c r="K88" s="2" t="s">
        <v>7</v>
      </c>
      <c r="L88" s="2" t="s">
        <v>8</v>
      </c>
      <c r="M88" s="2" t="s">
        <v>9</v>
      </c>
      <c r="N88" s="2" t="s">
        <v>10</v>
      </c>
      <c r="O88" s="2" t="s">
        <v>11</v>
      </c>
      <c r="P88" s="4"/>
      <c r="Q88" s="3" t="s">
        <v>44</v>
      </c>
      <c r="R88" s="58">
        <f>W57-V93</f>
        <v>913376</v>
      </c>
      <c r="S88" s="63">
        <f>W57-W93</f>
        <v>-6480000</v>
      </c>
      <c r="T88" s="105"/>
      <c r="U88" s="3"/>
      <c r="V88" s="58"/>
      <c r="W88" s="63"/>
    </row>
    <row r="89" spans="1:24" x14ac:dyDescent="0.25">
      <c r="A89" s="140"/>
      <c r="B89" s="8" t="s">
        <v>19</v>
      </c>
      <c r="C89" s="9">
        <v>428275</v>
      </c>
      <c r="D89" s="9"/>
      <c r="E89" s="8"/>
      <c r="F89" s="8"/>
      <c r="G89" s="39"/>
      <c r="H89" s="29"/>
      <c r="I89" s="1"/>
      <c r="J89" s="2" t="s">
        <v>16</v>
      </c>
      <c r="K89" s="2">
        <v>0</v>
      </c>
      <c r="L89" s="108">
        <v>0</v>
      </c>
      <c r="M89" s="115">
        <v>0</v>
      </c>
      <c r="N89" s="2">
        <f>C88+N53-M89</f>
        <v>445549</v>
      </c>
      <c r="O89" s="2">
        <f>O76</f>
        <v>5</v>
      </c>
      <c r="P89" s="4"/>
      <c r="Q89" s="6"/>
      <c r="R89" s="64"/>
      <c r="S89" s="86"/>
      <c r="T89" s="64"/>
      <c r="U89" s="55"/>
      <c r="V89" s="87"/>
      <c r="W89" s="105"/>
      <c r="X89" s="5"/>
    </row>
    <row r="90" spans="1:24" x14ac:dyDescent="0.25">
      <c r="A90" s="140"/>
      <c r="B90" s="8" t="s">
        <v>22</v>
      </c>
      <c r="C90" s="9">
        <v>391034</v>
      </c>
      <c r="D90" s="9"/>
      <c r="E90" s="8"/>
      <c r="F90" s="8"/>
      <c r="G90" s="39"/>
      <c r="H90" s="29"/>
      <c r="I90" s="1"/>
      <c r="J90" s="2" t="s">
        <v>19</v>
      </c>
      <c r="K90" s="2">
        <v>0</v>
      </c>
      <c r="L90" s="108">
        <v>0</v>
      </c>
      <c r="M90" s="115">
        <v>0</v>
      </c>
      <c r="N90" s="2">
        <f>C89+N54-M90</f>
        <v>485805</v>
      </c>
      <c r="O90" s="2">
        <f>O77</f>
        <v>6</v>
      </c>
      <c r="P90" s="4"/>
      <c r="Q90" s="3" t="s">
        <v>45</v>
      </c>
      <c r="R90" s="58">
        <f>D77+D78+D79+D80</f>
        <v>0</v>
      </c>
      <c r="S90" s="63">
        <f>D77+D78+D79+D80</f>
        <v>0</v>
      </c>
      <c r="T90" s="105"/>
      <c r="U90" s="132" t="s">
        <v>46</v>
      </c>
      <c r="V90" s="132"/>
      <c r="W90" s="63"/>
    </row>
    <row r="91" spans="1:24" x14ac:dyDescent="0.25">
      <c r="A91" s="140"/>
      <c r="B91" s="8" t="s">
        <v>24</v>
      </c>
      <c r="C91" s="9">
        <v>428278</v>
      </c>
      <c r="D91" s="9"/>
      <c r="E91" s="8"/>
      <c r="F91" s="8"/>
      <c r="G91" s="39"/>
      <c r="H91" s="29"/>
      <c r="I91" s="1"/>
      <c r="J91" s="2" t="s">
        <v>22</v>
      </c>
      <c r="K91" s="2">
        <v>0</v>
      </c>
      <c r="L91" s="108">
        <v>0</v>
      </c>
      <c r="M91" s="115">
        <v>0</v>
      </c>
      <c r="N91" s="2">
        <f>C90+N55-M91</f>
        <v>455728</v>
      </c>
      <c r="O91" s="2">
        <f>O78</f>
        <v>5</v>
      </c>
      <c r="P91" s="4"/>
      <c r="Q91" s="3" t="s">
        <v>47</v>
      </c>
      <c r="R91" s="58">
        <f>C88*0.4+C89*0.1+C90*0.4+C91*0.5</f>
        <v>562345.30000000005</v>
      </c>
      <c r="S91" s="63">
        <f>C88*0.4+C89*0.1+C90*0.4+C91*0.5</f>
        <v>562345.30000000005</v>
      </c>
      <c r="T91" s="105"/>
      <c r="U91" s="3" t="s">
        <v>48</v>
      </c>
      <c r="V91" s="58">
        <f>V87</f>
        <v>0</v>
      </c>
      <c r="W91" s="63">
        <f>W87</f>
        <v>0</v>
      </c>
    </row>
    <row r="92" spans="1:24" x14ac:dyDescent="0.25">
      <c r="A92" s="140"/>
      <c r="B92" s="11" t="s">
        <v>51</v>
      </c>
      <c r="C92" s="8"/>
      <c r="D92" s="8"/>
      <c r="E92" s="8"/>
      <c r="F92" s="8"/>
      <c r="G92" s="39"/>
      <c r="H92" s="29"/>
      <c r="I92" s="1"/>
      <c r="J92" s="2" t="s">
        <v>24</v>
      </c>
      <c r="K92" s="2">
        <v>0</v>
      </c>
      <c r="L92" s="108">
        <v>0</v>
      </c>
      <c r="M92" s="115">
        <v>0</v>
      </c>
      <c r="N92" s="2">
        <f>C91+N56-M92</f>
        <v>461262</v>
      </c>
      <c r="O92" s="2">
        <f>O79</f>
        <v>6</v>
      </c>
      <c r="P92" s="4"/>
      <c r="Q92" s="3" t="s">
        <v>49</v>
      </c>
      <c r="R92" s="58">
        <f>B94*0.4+C94*0.7+D94*0.8+B96*0.4+C96*0.4+D96*0.5+B98*0.7+C98*0.4+D98*0.4+B100*0.8+C100*0.5+D100*0.4</f>
        <v>0</v>
      </c>
      <c r="S92" s="63">
        <f>B94*0.4+C94*0.7+D94*0.8+B96*0.4+C96*0.4+D96*0.5+B98*0.7+C98*0.4+D98*0.4+B100*0.8+C100*0.5+D100*0.4</f>
        <v>0</v>
      </c>
      <c r="T92" s="105"/>
      <c r="U92" s="3" t="s">
        <v>50</v>
      </c>
      <c r="V92" s="58">
        <f>N82*((V81+W56)/(G76+G77+N59))</f>
        <v>2994372.6818397627</v>
      </c>
      <c r="W92" s="63">
        <f>N95*((W81+W56)/(G76+G77+N46))</f>
        <v>5799162.357804155</v>
      </c>
    </row>
    <row r="93" spans="1:24" x14ac:dyDescent="0.25">
      <c r="A93" s="140"/>
      <c r="B93" s="8" t="s">
        <v>53</v>
      </c>
      <c r="C93" s="8" t="s">
        <v>54</v>
      </c>
      <c r="D93" s="8" t="s">
        <v>55</v>
      </c>
      <c r="E93" s="8"/>
      <c r="F93" s="9"/>
      <c r="G93" s="39"/>
      <c r="H93" s="29"/>
      <c r="I93" s="1"/>
      <c r="J93" s="27"/>
      <c r="K93" s="2"/>
      <c r="L93" s="108"/>
      <c r="M93" s="2"/>
      <c r="N93" s="2"/>
      <c r="O93" s="2"/>
      <c r="P93" s="4"/>
      <c r="Q93" s="6"/>
      <c r="R93" s="64"/>
      <c r="S93" s="99"/>
      <c r="T93" s="105"/>
      <c r="U93" s="3" t="s">
        <v>52</v>
      </c>
      <c r="V93" s="58">
        <f>4*M82</f>
        <v>0</v>
      </c>
      <c r="W93" s="63">
        <f>4*M95</f>
        <v>7393376</v>
      </c>
    </row>
    <row r="94" spans="1:24" x14ac:dyDescent="0.25">
      <c r="A94" s="140"/>
      <c r="B94" s="9">
        <v>0</v>
      </c>
      <c r="C94" s="9">
        <v>0</v>
      </c>
      <c r="D94" s="9">
        <v>0</v>
      </c>
      <c r="E94" s="8"/>
      <c r="F94" s="8"/>
      <c r="G94" s="39"/>
      <c r="H94" s="29"/>
      <c r="I94" s="1"/>
      <c r="J94" s="109" t="s">
        <v>94</v>
      </c>
      <c r="K94" s="110" t="s">
        <v>95</v>
      </c>
      <c r="L94" s="111" t="s">
        <v>96</v>
      </c>
      <c r="M94" s="112" t="s">
        <v>97</v>
      </c>
      <c r="N94" s="112" t="s">
        <v>98</v>
      </c>
      <c r="O94" s="112" t="s">
        <v>99</v>
      </c>
      <c r="P94" s="4"/>
      <c r="Q94" s="3" t="s">
        <v>56</v>
      </c>
      <c r="R94" s="58">
        <f>(C104+C105+C106+C108+C107)*500</f>
        <v>2500</v>
      </c>
      <c r="S94" s="63">
        <f>(C104+C105+C106+C108+C107)*500</f>
        <v>2500</v>
      </c>
      <c r="T94" s="105"/>
      <c r="U94" s="3" t="s">
        <v>57</v>
      </c>
      <c r="V94" s="58">
        <f>G78*500000+V58-R87</f>
        <v>5765000</v>
      </c>
      <c r="W94" s="63">
        <f>G78*500000+W58-R87</f>
        <v>5765000</v>
      </c>
    </row>
    <row r="95" spans="1:24" x14ac:dyDescent="0.25">
      <c r="A95" s="140"/>
      <c r="B95" s="8" t="s">
        <v>60</v>
      </c>
      <c r="C95" s="8" t="s">
        <v>54</v>
      </c>
      <c r="D95" s="8" t="s">
        <v>61</v>
      </c>
      <c r="E95" s="8"/>
      <c r="F95" s="8"/>
      <c r="G95" s="39"/>
      <c r="H95" s="29"/>
      <c r="I95" s="1"/>
      <c r="J95" s="2">
        <f>K89+K90+K91+K92</f>
        <v>0</v>
      </c>
      <c r="K95" s="115">
        <v>0</v>
      </c>
      <c r="L95" s="113">
        <f>M89+M90+M91+M92</f>
        <v>0</v>
      </c>
      <c r="M95" s="2">
        <f>N89+N90+N91+N92</f>
        <v>1848344</v>
      </c>
      <c r="N95" s="2">
        <f>G76+G77+N59-K95*1.35</f>
        <v>4521825</v>
      </c>
      <c r="O95" s="108">
        <f>(L89+L90+L91+L92)/4</f>
        <v>0</v>
      </c>
      <c r="P95" s="4"/>
      <c r="Q95" s="3" t="s">
        <v>58</v>
      </c>
      <c r="R95" s="58">
        <f>(C104+C105+C106+C107+C108)*1000</f>
        <v>5000</v>
      </c>
      <c r="S95" s="63">
        <f>(C104+C105+C106+C107+C108)*1000</f>
        <v>5000</v>
      </c>
      <c r="T95" s="105"/>
      <c r="U95" s="3" t="s">
        <v>59</v>
      </c>
      <c r="V95" s="58">
        <f>V94+V93+V92+V91</f>
        <v>8759372.6818397623</v>
      </c>
      <c r="W95" s="63">
        <f>W94+W93+W92+W91</f>
        <v>18957538.357804157</v>
      </c>
    </row>
    <row r="96" spans="1:24" x14ac:dyDescent="0.25">
      <c r="A96" s="140"/>
      <c r="B96" s="9">
        <v>0</v>
      </c>
      <c r="C96" s="9">
        <v>0</v>
      </c>
      <c r="D96" s="9">
        <v>0</v>
      </c>
      <c r="E96" s="8"/>
      <c r="F96" s="8"/>
      <c r="G96" s="39"/>
      <c r="H96" s="29"/>
      <c r="I96" s="1"/>
      <c r="J96" s="110" t="s">
        <v>100</v>
      </c>
      <c r="K96" s="110" t="s">
        <v>101</v>
      </c>
      <c r="L96" s="112" t="s">
        <v>102</v>
      </c>
      <c r="M96" s="112" t="s">
        <v>103</v>
      </c>
      <c r="N96" s="112" t="s">
        <v>104</v>
      </c>
      <c r="O96" s="112" t="s">
        <v>105</v>
      </c>
      <c r="P96" s="4"/>
      <c r="Q96" s="3" t="s">
        <v>62</v>
      </c>
      <c r="R96" s="63">
        <f>(C104+C105+C106+C107)*4500+C108*3750+(O40+O41+O42+O43-D104-D105-D106-D107)*9000+(N48-D108)*7500</f>
        <v>447750</v>
      </c>
      <c r="S96" s="63">
        <f>(C104+C105+C106+C107)*4500+C108*3750+(O40+O41+O42+O43-D104-D105-D106-D107)*9000+(N48-D108)*7500</f>
        <v>447750</v>
      </c>
      <c r="T96" s="105"/>
      <c r="U96" s="3" t="s">
        <v>63</v>
      </c>
      <c r="V96" s="58">
        <f>G83+W62-G84</f>
        <v>14352059.580905659</v>
      </c>
      <c r="W96" s="63">
        <f>G83+W62-G84</f>
        <v>14352059.580905659</v>
      </c>
    </row>
    <row r="97" spans="1:23" x14ac:dyDescent="0.25">
      <c r="A97" s="140"/>
      <c r="B97" s="8" t="s">
        <v>66</v>
      </c>
      <c r="C97" s="8" t="s">
        <v>67</v>
      </c>
      <c r="D97" s="8" t="s">
        <v>68</v>
      </c>
      <c r="E97" s="8"/>
      <c r="F97" s="8"/>
      <c r="G97" s="39"/>
      <c r="H97" s="29"/>
      <c r="I97" s="1"/>
      <c r="J97" s="115">
        <v>0</v>
      </c>
      <c r="K97" s="115">
        <v>0</v>
      </c>
      <c r="L97" s="2">
        <f>L84</f>
        <v>12</v>
      </c>
      <c r="M97" s="2">
        <f>N97+O89+O90+O91+O92</f>
        <v>58</v>
      </c>
      <c r="N97" s="2">
        <f>N84</f>
        <v>36</v>
      </c>
      <c r="O97" s="2">
        <f>O92+O91+O90+O89</f>
        <v>22</v>
      </c>
      <c r="P97" s="4"/>
      <c r="Q97" s="3" t="s">
        <v>64</v>
      </c>
      <c r="R97" s="63">
        <f>(D104+D105+D106+D107)*6000+D108*5000</f>
        <v>0</v>
      </c>
      <c r="S97" s="63">
        <f>(D104+D105+D106+D107)*6000+D108*5000</f>
        <v>0</v>
      </c>
      <c r="T97" s="105"/>
      <c r="U97" s="3" t="s">
        <v>65</v>
      </c>
      <c r="V97" s="58">
        <f>IF(2*J101=2*1,V76/2-(V86+W51),"0")</f>
        <v>3507491.0190166417</v>
      </c>
      <c r="W97" s="63">
        <f>IF(2*K101=2*1,W76/2-(W86+W51),"0")</f>
        <v>2383471.7892624815</v>
      </c>
    </row>
    <row r="98" spans="1:23" x14ac:dyDescent="0.25">
      <c r="A98" s="140"/>
      <c r="B98" s="9">
        <v>0</v>
      </c>
      <c r="C98" s="9">
        <v>0</v>
      </c>
      <c r="D98" s="9">
        <v>0</v>
      </c>
      <c r="E98" s="8"/>
      <c r="F98" s="8"/>
      <c r="G98" s="39"/>
      <c r="H98" s="29"/>
      <c r="I98" s="1"/>
      <c r="J98" s="7"/>
      <c r="K98" s="5"/>
      <c r="L98" s="5"/>
      <c r="M98" s="5"/>
      <c r="P98" s="4"/>
      <c r="Q98" s="3" t="s">
        <v>69</v>
      </c>
      <c r="R98" s="63">
        <f>W56*10%</f>
        <v>579916.23578041547</v>
      </c>
      <c r="S98" s="63">
        <f>W56*10%</f>
        <v>579916.23578041547</v>
      </c>
      <c r="T98" s="105"/>
      <c r="U98" s="3" t="s">
        <v>70</v>
      </c>
      <c r="V98" s="58">
        <f>V96+V97</f>
        <v>17859550.599922299</v>
      </c>
      <c r="W98" s="63">
        <f>W97+W96</f>
        <v>16735531.37016814</v>
      </c>
    </row>
    <row r="99" spans="1:23" x14ac:dyDescent="0.25">
      <c r="A99" s="140"/>
      <c r="B99" s="8" t="s">
        <v>73</v>
      </c>
      <c r="C99" s="8" t="s">
        <v>74</v>
      </c>
      <c r="D99" s="8" t="s">
        <v>75</v>
      </c>
      <c r="E99" s="8"/>
      <c r="F99" s="8"/>
      <c r="G99" s="39"/>
      <c r="H99" s="29"/>
      <c r="I99" s="1"/>
      <c r="J99" s="22"/>
      <c r="K99" s="22"/>
      <c r="P99" s="4"/>
      <c r="Q99" s="3" t="s">
        <v>71</v>
      </c>
      <c r="R99" s="63">
        <f>0.5*M82</f>
        <v>0</v>
      </c>
      <c r="S99" s="63">
        <f>0.5*M95</f>
        <v>924172</v>
      </c>
      <c r="T99" s="105"/>
      <c r="U99" s="3" t="s">
        <v>72</v>
      </c>
      <c r="V99" s="58">
        <f>V95-V98</f>
        <v>-9100177.9180825371</v>
      </c>
      <c r="W99" s="63">
        <f>W95-W98</f>
        <v>2222006.9876360167</v>
      </c>
    </row>
    <row r="100" spans="1:23" x14ac:dyDescent="0.25">
      <c r="A100" s="140"/>
      <c r="B100" s="9">
        <v>0</v>
      </c>
      <c r="C100" s="9">
        <v>0</v>
      </c>
      <c r="D100" s="9">
        <v>0</v>
      </c>
      <c r="E100" s="8"/>
      <c r="F100" s="8"/>
      <c r="G100" s="39"/>
      <c r="H100" s="29"/>
      <c r="I100" s="24"/>
      <c r="J100" s="28" t="s">
        <v>114</v>
      </c>
      <c r="K100" s="28" t="s">
        <v>115</v>
      </c>
      <c r="P100" s="4"/>
      <c r="Q100" s="6"/>
      <c r="R100" s="64"/>
      <c r="S100" s="86"/>
      <c r="T100" s="64"/>
      <c r="U100" s="4"/>
      <c r="V100" s="64"/>
      <c r="W100" s="105"/>
    </row>
    <row r="101" spans="1:23" x14ac:dyDescent="0.25">
      <c r="A101" s="140"/>
      <c r="B101" s="8"/>
      <c r="C101" s="8"/>
      <c r="D101" s="8"/>
      <c r="E101" s="8"/>
      <c r="F101" s="8"/>
      <c r="G101" s="39"/>
      <c r="H101" s="29"/>
      <c r="I101" s="24"/>
      <c r="J101" s="27" t="str">
        <f>IF((W51+V86)&lt;=V76/2,"1","0")</f>
        <v>1</v>
      </c>
      <c r="K101" s="27" t="str">
        <f>IF((W51+W86)&lt;=W76/2,"1","0")</f>
        <v>1</v>
      </c>
      <c r="P101" s="4"/>
      <c r="Q101" s="3" t="s">
        <v>76</v>
      </c>
      <c r="R101" s="58">
        <f>V96*M1/4+W61*M1/4*3</f>
        <v>532082.38323622639</v>
      </c>
      <c r="S101" s="63">
        <f>W96*M1/4+W61*M1/4*3</f>
        <v>532082.38323622639</v>
      </c>
      <c r="T101" s="64"/>
      <c r="U101" s="4"/>
      <c r="V101" s="64"/>
      <c r="W101" s="105"/>
    </row>
    <row r="102" spans="1:23" x14ac:dyDescent="0.25">
      <c r="A102" s="140"/>
      <c r="B102" s="18" t="s">
        <v>126</v>
      </c>
      <c r="C102" s="8"/>
      <c r="D102" s="8"/>
      <c r="E102" s="8"/>
      <c r="F102" s="8"/>
      <c r="G102" s="39"/>
      <c r="H102" s="29"/>
      <c r="I102" s="24"/>
      <c r="J102" s="26" t="s">
        <v>117</v>
      </c>
      <c r="K102" s="27"/>
      <c r="P102" s="4"/>
      <c r="Q102" s="6"/>
      <c r="R102" s="64"/>
      <c r="S102" s="86"/>
      <c r="T102" s="64"/>
      <c r="U102" s="4"/>
      <c r="V102" s="64"/>
      <c r="W102" s="105"/>
    </row>
    <row r="103" spans="1:23" x14ac:dyDescent="0.25">
      <c r="A103" s="140"/>
      <c r="B103" s="8"/>
      <c r="C103" s="8" t="s">
        <v>78</v>
      </c>
      <c r="D103" s="8" t="s">
        <v>79</v>
      </c>
      <c r="E103" s="8"/>
      <c r="F103" s="8"/>
      <c r="G103" s="39"/>
      <c r="H103" s="29"/>
      <c r="I103" s="24"/>
      <c r="J103" s="27">
        <f>N59+G77-H76</f>
        <v>4521825</v>
      </c>
      <c r="K103" s="27"/>
      <c r="P103" s="4"/>
      <c r="Q103" s="3" t="s">
        <v>77</v>
      </c>
      <c r="R103" s="63">
        <f>(R77/(1+E1))*E1</f>
        <v>0</v>
      </c>
      <c r="S103" s="63">
        <f>S77/(1+E1)*E1</f>
        <v>0</v>
      </c>
      <c r="T103" s="64"/>
      <c r="U103" s="4"/>
      <c r="V103" s="64"/>
      <c r="W103" s="105"/>
    </row>
    <row r="104" spans="1:23" x14ac:dyDescent="0.25">
      <c r="A104" s="140"/>
      <c r="B104" s="8" t="s">
        <v>16</v>
      </c>
      <c r="C104" s="9">
        <v>0</v>
      </c>
      <c r="D104" s="9">
        <v>0</v>
      </c>
      <c r="E104" s="8"/>
      <c r="F104" s="8"/>
      <c r="G104" s="39"/>
      <c r="H104" s="29"/>
      <c r="I104" s="24"/>
      <c r="P104" s="4"/>
      <c r="Q104" s="3" t="s">
        <v>80</v>
      </c>
      <c r="R104" s="63">
        <f>R103*G1</f>
        <v>0</v>
      </c>
      <c r="S104" s="63">
        <f>S103*G1</f>
        <v>0</v>
      </c>
      <c r="T104" s="64"/>
      <c r="U104" s="4"/>
      <c r="V104" s="64"/>
      <c r="W104" s="105"/>
    </row>
    <row r="105" spans="1:23" x14ac:dyDescent="0.25">
      <c r="A105" s="140"/>
      <c r="B105" s="8" t="s">
        <v>19</v>
      </c>
      <c r="C105" s="9">
        <v>1</v>
      </c>
      <c r="D105" s="9">
        <v>0</v>
      </c>
      <c r="E105" s="8"/>
      <c r="F105" s="8"/>
      <c r="G105" s="39"/>
      <c r="H105" s="29"/>
      <c r="I105" s="24"/>
      <c r="P105" s="4"/>
      <c r="Q105" s="3" t="s">
        <v>81</v>
      </c>
      <c r="R105" s="63">
        <f>(R77/(1+E1)-(R90+R91+R101+R99+R98+R97+R96+R95+R79+R81+R80+R82+R83+R84+R85+R86+R87+R88+R94)-R104)*K1</f>
        <v>-2650689.6487452583</v>
      </c>
      <c r="S105" s="63">
        <f>(S77/(1+E1)-(S79+S80+S81+S82+S83+S84+S85+S86+S87+S88+S90+S91+S92+S94+S95+S96+S97+S98+S99+S101)-S104)*K1</f>
        <v>239808.77024583955</v>
      </c>
      <c r="T105" s="64"/>
      <c r="U105" s="4"/>
      <c r="V105" s="64"/>
      <c r="W105" s="105"/>
    </row>
    <row r="106" spans="1:23" x14ac:dyDescent="0.25">
      <c r="A106" s="140"/>
      <c r="B106" s="8" t="s">
        <v>22</v>
      </c>
      <c r="C106" s="9">
        <v>0</v>
      </c>
      <c r="D106" s="9">
        <v>0</v>
      </c>
      <c r="E106" s="8"/>
      <c r="F106" s="8"/>
      <c r="G106" s="39"/>
      <c r="H106" s="29"/>
      <c r="I106" s="24"/>
      <c r="P106" s="4"/>
      <c r="Q106" s="3"/>
      <c r="R106" s="63" t="str">
        <f>IF(R105&lt;=0,"0",R105)</f>
        <v>0</v>
      </c>
      <c r="S106" s="63">
        <f>IF(S105&lt;=0,"0",S105)</f>
        <v>239808.77024583955</v>
      </c>
      <c r="T106" s="64"/>
      <c r="U106" s="4"/>
      <c r="V106" s="64"/>
      <c r="W106" s="105"/>
    </row>
    <row r="107" spans="1:23" x14ac:dyDescent="0.25">
      <c r="A107" s="140"/>
      <c r="B107" s="8" t="s">
        <v>24</v>
      </c>
      <c r="C107" s="9">
        <v>1</v>
      </c>
      <c r="D107" s="9">
        <v>0</v>
      </c>
      <c r="E107" s="8"/>
      <c r="F107" s="8"/>
      <c r="G107" s="39"/>
      <c r="H107" s="29"/>
      <c r="I107" s="24"/>
      <c r="P107" s="4"/>
      <c r="Q107" s="3" t="s">
        <v>82</v>
      </c>
      <c r="R107" s="63">
        <f>R79+R83+R86+R94+R95+R96+R80+R81+R82+R84+R85+R87+R88+R90+R91+R92+R97+R98+R99+R101+R103+R104+R106</f>
        <v>10602758.594981035</v>
      </c>
      <c r="S107" s="63">
        <f>S79+S83+S86+S94+S95+S96+S80+S81+S82+S84+S85+S87+S88+S90+S91+S92+S97+S98+S99+S101+S103+S104+S106</f>
        <v>-719426.31073751859</v>
      </c>
      <c r="T107" s="64"/>
      <c r="U107" s="4"/>
      <c r="V107" s="64"/>
      <c r="W107" s="105"/>
    </row>
    <row r="108" spans="1:23" x14ac:dyDescent="0.25">
      <c r="A108" s="140"/>
      <c r="B108" s="8" t="s">
        <v>83</v>
      </c>
      <c r="C108" s="9">
        <v>3</v>
      </c>
      <c r="D108" s="9">
        <v>0</v>
      </c>
      <c r="E108" s="8"/>
      <c r="F108" s="8"/>
      <c r="G108" s="39"/>
      <c r="H108" s="29"/>
      <c r="I108" s="24"/>
      <c r="P108" s="4"/>
      <c r="Q108" s="83"/>
      <c r="R108" s="61"/>
      <c r="S108" s="90"/>
      <c r="T108" s="64"/>
      <c r="U108" s="4"/>
      <c r="V108" s="64"/>
      <c r="W108" s="105"/>
    </row>
    <row r="109" spans="1:23" x14ac:dyDescent="0.25">
      <c r="A109" s="141"/>
      <c r="B109" s="8"/>
      <c r="C109" s="9"/>
      <c r="D109" s="8"/>
      <c r="E109" s="8"/>
      <c r="F109" s="8"/>
      <c r="G109" s="39"/>
      <c r="H109" s="29"/>
      <c r="I109" s="25"/>
      <c r="P109" s="4"/>
      <c r="Q109" s="3" t="s">
        <v>84</v>
      </c>
      <c r="R109" s="58">
        <f>R77-R107</f>
        <v>-10602758.594981035</v>
      </c>
      <c r="S109" s="68">
        <f>S77-S107</f>
        <v>719426.31073751859</v>
      </c>
      <c r="T109" s="116"/>
      <c r="U109" s="4"/>
      <c r="V109" s="64"/>
      <c r="W109" s="105"/>
    </row>
    <row r="110" spans="1:23" x14ac:dyDescent="0.25">
      <c r="A110" s="119" t="s">
        <v>87</v>
      </c>
      <c r="B110" s="122" t="s">
        <v>3</v>
      </c>
      <c r="C110" s="123"/>
      <c r="D110" s="123"/>
      <c r="E110" s="123"/>
      <c r="F110" s="123"/>
      <c r="G110" s="123"/>
      <c r="H110" s="29"/>
      <c r="I110" s="1"/>
      <c r="J110" s="118" t="s">
        <v>112</v>
      </c>
      <c r="K110" s="118"/>
      <c r="L110" s="118"/>
      <c r="M110" s="118"/>
      <c r="N110" s="118"/>
      <c r="O110" s="118"/>
      <c r="P110" s="4"/>
      <c r="Q110" s="131" t="s">
        <v>1</v>
      </c>
      <c r="R110" s="130"/>
      <c r="S110" s="94" t="s">
        <v>111</v>
      </c>
      <c r="T110" s="105"/>
      <c r="U110" s="132" t="s">
        <v>2</v>
      </c>
      <c r="V110" s="132"/>
      <c r="W110" s="21" t="s">
        <v>111</v>
      </c>
    </row>
    <row r="111" spans="1:23" x14ac:dyDescent="0.25">
      <c r="A111" s="120"/>
      <c r="B111" s="18" t="s">
        <v>121</v>
      </c>
      <c r="C111" s="8"/>
      <c r="D111" s="8"/>
      <c r="E111" s="8"/>
      <c r="F111" s="18" t="s">
        <v>122</v>
      </c>
      <c r="G111" s="39"/>
      <c r="H111" s="45"/>
      <c r="I111" s="1"/>
      <c r="J111" s="2"/>
      <c r="K111" s="2" t="s">
        <v>7</v>
      </c>
      <c r="L111" s="2" t="s">
        <v>8</v>
      </c>
      <c r="M111" s="2" t="s">
        <v>9</v>
      </c>
      <c r="N111" s="2" t="s">
        <v>10</v>
      </c>
      <c r="O111" s="2" t="s">
        <v>11</v>
      </c>
      <c r="P111" s="4"/>
      <c r="Q111" s="3" t="s">
        <v>5</v>
      </c>
      <c r="R111" s="66" t="s">
        <v>6</v>
      </c>
      <c r="S111" s="97" t="s">
        <v>6</v>
      </c>
      <c r="T111" s="105"/>
      <c r="U111" s="3" t="s">
        <v>5</v>
      </c>
      <c r="V111" s="56" t="s">
        <v>6</v>
      </c>
      <c r="W111" s="56" t="s">
        <v>6</v>
      </c>
    </row>
    <row r="112" spans="1:23" x14ac:dyDescent="0.25">
      <c r="A112" s="120"/>
      <c r="B112" s="8"/>
      <c r="C112" s="8" t="s">
        <v>13</v>
      </c>
      <c r="D112" s="8" t="s">
        <v>14</v>
      </c>
      <c r="E112" s="8"/>
      <c r="F112" s="8" t="s">
        <v>15</v>
      </c>
      <c r="G112" s="40">
        <v>0</v>
      </c>
      <c r="H112" s="46"/>
      <c r="I112" s="1"/>
      <c r="J112" s="2" t="s">
        <v>16</v>
      </c>
      <c r="K112" s="2"/>
      <c r="L112" s="108"/>
      <c r="M112" s="2">
        <f>C124</f>
        <v>0</v>
      </c>
      <c r="N112" s="2">
        <f>C124-M112</f>
        <v>0</v>
      </c>
      <c r="O112" s="2">
        <f>O76+C140-D140</f>
        <v>5</v>
      </c>
      <c r="P112" s="4"/>
      <c r="Q112" s="59"/>
      <c r="R112" s="74"/>
      <c r="S112" s="90"/>
      <c r="T112" s="105"/>
      <c r="U112" s="3" t="s">
        <v>12</v>
      </c>
      <c r="V112" s="58">
        <f>R113</f>
        <v>0</v>
      </c>
      <c r="W112" s="63">
        <f>S113</f>
        <v>0</v>
      </c>
    </row>
    <row r="113" spans="1:23" x14ac:dyDescent="0.25">
      <c r="A113" s="120"/>
      <c r="B113" s="8" t="s">
        <v>16</v>
      </c>
      <c r="C113" s="9">
        <v>0</v>
      </c>
      <c r="D113" s="9">
        <v>0</v>
      </c>
      <c r="E113" s="8"/>
      <c r="F113" s="8" t="s">
        <v>18</v>
      </c>
      <c r="G113" s="40">
        <v>0</v>
      </c>
      <c r="H113" s="46"/>
      <c r="I113" s="1"/>
      <c r="J113" s="2" t="s">
        <v>19</v>
      </c>
      <c r="K113" s="2"/>
      <c r="L113" s="108"/>
      <c r="M113" s="2">
        <f>C125</f>
        <v>0</v>
      </c>
      <c r="N113" s="2">
        <f>C125-M113</f>
        <v>0</v>
      </c>
      <c r="O113" s="2">
        <f>O77+C141-D141</f>
        <v>6</v>
      </c>
      <c r="P113" s="4"/>
      <c r="Q113" s="3" t="s">
        <v>12</v>
      </c>
      <c r="R113" s="58">
        <f>C113*(C124+N89)+C114*(C125+N90)+C115*(C126+N91)+C116*(C127+N92)</f>
        <v>0</v>
      </c>
      <c r="S113" s="63">
        <f>C113*M125+M126*C114+C115*M127+M128*C116</f>
        <v>0</v>
      </c>
      <c r="T113" s="105"/>
      <c r="U113" s="3" t="s">
        <v>17</v>
      </c>
      <c r="V113" s="58">
        <f>G119</f>
        <v>0</v>
      </c>
      <c r="W113" s="63">
        <f>G119</f>
        <v>0</v>
      </c>
    </row>
    <row r="114" spans="1:23" x14ac:dyDescent="0.25">
      <c r="A114" s="120"/>
      <c r="B114" s="8" t="s">
        <v>19</v>
      </c>
      <c r="C114" s="9">
        <v>0</v>
      </c>
      <c r="D114" s="9">
        <v>0</v>
      </c>
      <c r="E114" s="8"/>
      <c r="F114" s="8" t="s">
        <v>21</v>
      </c>
      <c r="G114" s="40">
        <v>0</v>
      </c>
      <c r="H114" s="46"/>
      <c r="I114" s="1"/>
      <c r="J114" s="2" t="s">
        <v>22</v>
      </c>
      <c r="K114" s="2"/>
      <c r="L114" s="108"/>
      <c r="M114" s="2">
        <f>C126</f>
        <v>0</v>
      </c>
      <c r="N114" s="2">
        <f>C126-M114</f>
        <v>0</v>
      </c>
      <c r="O114" s="2">
        <f>C142+O78-D142</f>
        <v>5</v>
      </c>
      <c r="P114" s="4"/>
      <c r="Q114" s="59"/>
      <c r="R114" s="74"/>
      <c r="S114" s="90"/>
      <c r="T114" s="105"/>
      <c r="U114" s="3" t="s">
        <v>20</v>
      </c>
      <c r="V114" s="58">
        <f>V113+V112</f>
        <v>0</v>
      </c>
      <c r="W114" s="63">
        <f>W113+W112</f>
        <v>0</v>
      </c>
    </row>
    <row r="115" spans="1:23" x14ac:dyDescent="0.25">
      <c r="A115" s="120"/>
      <c r="B115" s="8" t="s">
        <v>22</v>
      </c>
      <c r="C115" s="9">
        <v>0</v>
      </c>
      <c r="D115" s="9">
        <v>0</v>
      </c>
      <c r="E115" s="8"/>
      <c r="F115" s="8"/>
      <c r="G115" s="39"/>
      <c r="H115" s="29"/>
      <c r="I115" s="1"/>
      <c r="J115" s="2" t="s">
        <v>24</v>
      </c>
      <c r="K115" s="2"/>
      <c r="L115" s="108"/>
      <c r="M115" s="2">
        <f>C127</f>
        <v>0</v>
      </c>
      <c r="N115" s="2">
        <f>C127-M115</f>
        <v>0</v>
      </c>
      <c r="O115" s="2">
        <f>O79+C143-D143</f>
        <v>6</v>
      </c>
      <c r="P115" s="4"/>
      <c r="Q115" s="3" t="s">
        <v>23</v>
      </c>
      <c r="R115" s="58">
        <f>C120</f>
        <v>0</v>
      </c>
      <c r="S115" s="63">
        <f>C120</f>
        <v>0</v>
      </c>
      <c r="T115" s="105"/>
      <c r="U115" s="3"/>
      <c r="V115" s="58"/>
      <c r="W115" s="63"/>
    </row>
    <row r="116" spans="1:23" x14ac:dyDescent="0.25">
      <c r="A116" s="120"/>
      <c r="B116" s="8" t="s">
        <v>24</v>
      </c>
      <c r="C116" s="9">
        <v>0</v>
      </c>
      <c r="D116" s="9">
        <v>0</v>
      </c>
      <c r="E116" s="8"/>
      <c r="F116" s="8"/>
      <c r="G116" s="39"/>
      <c r="H116" s="29"/>
      <c r="I116" s="1"/>
      <c r="J116" s="27"/>
      <c r="K116" s="2"/>
      <c r="L116" s="108"/>
      <c r="M116" s="2"/>
      <c r="N116" s="2"/>
      <c r="O116" s="2"/>
      <c r="P116" s="4"/>
      <c r="Q116" s="3" t="s">
        <v>25</v>
      </c>
      <c r="R116" s="63" t="str">
        <f>IF(C119=0,"0",IF(C119/K84&lt;=1.5,"10000",IF(C119/K84&lt;=2.5,"15000","20000")))</f>
        <v>0</v>
      </c>
      <c r="S116" s="63" t="str">
        <f>IF(K131=0,"0",IF(K131/K84&lt;=1.5,"10000",IF(K131/K84&lt;=2.5,"15000","20000")))</f>
        <v>0</v>
      </c>
      <c r="T116" s="105"/>
      <c r="U116" s="3" t="s">
        <v>26</v>
      </c>
      <c r="V116" s="58">
        <f>R115+R116+R117+R119+R120+R121+R122+R126+R127+R128+R130+R131+R132+R133+R134+R135+R137+R139+R140+R142</f>
        <v>1430775.7031599714</v>
      </c>
      <c r="W116" s="63">
        <f>S115+S116+S117+S119+S120+S121+S122+S126+S127+S128+S130+S131+S132+S133+S134+S135+S137+S139+S140+S142</f>
        <v>2354947.7031599716</v>
      </c>
    </row>
    <row r="117" spans="1:23" x14ac:dyDescent="0.25">
      <c r="A117" s="120"/>
      <c r="B117" s="8"/>
      <c r="C117" s="8"/>
      <c r="D117" s="8"/>
      <c r="E117" s="8"/>
      <c r="F117" s="8"/>
      <c r="G117" s="39"/>
      <c r="H117" s="29"/>
      <c r="I117" s="1"/>
      <c r="J117" s="109" t="s">
        <v>94</v>
      </c>
      <c r="K117" s="110" t="s">
        <v>95</v>
      </c>
      <c r="L117" s="111" t="s">
        <v>96</v>
      </c>
      <c r="M117" s="112" t="s">
        <v>97</v>
      </c>
      <c r="N117" s="112" t="s">
        <v>98</v>
      </c>
      <c r="O117" s="112" t="s">
        <v>99</v>
      </c>
      <c r="P117" s="4"/>
      <c r="Q117" s="3" t="s">
        <v>27</v>
      </c>
      <c r="R117" s="63" t="str">
        <f>IF(C119=0,"0",IF(((C119/K84)*8)&lt;=8,C119*1.2,IF(((C119/K84)*8)&lt;=12,K84*1.2+(C119-K84)*1.3,IF(((C119/K84)*8)&lt;=16,K84*1.2+(C119-K84)*1.4,IF(((C119/K84)*8)&lt;=20,K84*1.2+K84*1.4+(C119-2*K84)*1.5,K84*1.2+K84*1.4+(C119-2*K84)*1.6)))))</f>
        <v>0</v>
      </c>
      <c r="S117" s="63" t="str">
        <f>IF(K131=0,"0",IF(((K131/K84)*8)&lt;=8,K131*1.2,IF(((K131/K84)*8)&lt;=12,K84*1.2+(K131-K84)*1.3,IF(((K131/K84)*8)&lt;=16,L84*1.2+(K131-K84)*1.4,IF(((K131/K84)*8)&lt;=20,K84*1.2+K84*1.4+(K131-2*K84)*1.5,K84*1.2+K84*1.4+(K131-2*K84)*1.6)))))</f>
        <v>0</v>
      </c>
      <c r="T117" s="133" t="s">
        <v>120</v>
      </c>
      <c r="U117" s="3" t="s">
        <v>28</v>
      </c>
      <c r="V117" s="58">
        <f>G112*T83+G113*T83</f>
        <v>0</v>
      </c>
      <c r="W117" s="63">
        <f>G112*T83+G113*T83</f>
        <v>0</v>
      </c>
    </row>
    <row r="118" spans="1:23" x14ac:dyDescent="0.25">
      <c r="A118" s="120"/>
      <c r="B118" s="18" t="s">
        <v>124</v>
      </c>
      <c r="C118" s="8"/>
      <c r="D118" s="18" t="s">
        <v>116</v>
      </c>
      <c r="E118" s="8"/>
      <c r="F118" s="18" t="s">
        <v>123</v>
      </c>
      <c r="G118" s="40"/>
      <c r="H118" s="46"/>
      <c r="I118" s="1"/>
      <c r="J118" s="2">
        <f>K112+K113+K114+K115</f>
        <v>0</v>
      </c>
      <c r="K118" s="112">
        <f>C119</f>
        <v>0</v>
      </c>
      <c r="L118" s="113">
        <f>M112+M113+M114+M115</f>
        <v>0</v>
      </c>
      <c r="M118" s="2">
        <f>N112+N113+N114+N115</f>
        <v>0</v>
      </c>
      <c r="N118" s="2">
        <f>G112+G113+N95-C119*1.35</f>
        <v>4521825</v>
      </c>
      <c r="O118" s="108">
        <f>(L112+L113+L114+L115)/4</f>
        <v>0</v>
      </c>
      <c r="P118" s="4"/>
      <c r="Q118" s="84" t="s">
        <v>113</v>
      </c>
      <c r="R118" s="63">
        <f>((V117+W92)/(G112+G113+N82))*C119*1.35-1</f>
        <v>-1</v>
      </c>
      <c r="S118" s="63">
        <f>((W117+W92)/(G112+G113+N95))*K131*1.35-1</f>
        <v>-1</v>
      </c>
      <c r="T118" s="134"/>
      <c r="U118" s="3" t="s">
        <v>30</v>
      </c>
      <c r="V118" s="58">
        <f>G114*500000</f>
        <v>0</v>
      </c>
      <c r="W118" s="63">
        <f>G114*500000</f>
        <v>0</v>
      </c>
    </row>
    <row r="119" spans="1:23" x14ac:dyDescent="0.25">
      <c r="A119" s="120"/>
      <c r="B119" s="8" t="s">
        <v>33</v>
      </c>
      <c r="C119" s="9">
        <v>0</v>
      </c>
      <c r="D119" s="9">
        <f>(N82+G113)/1.35</f>
        <v>1729500</v>
      </c>
      <c r="E119" s="8"/>
      <c r="F119" s="8" t="s">
        <v>17</v>
      </c>
      <c r="G119" s="40">
        <v>0</v>
      </c>
      <c r="H119" s="46"/>
      <c r="I119" s="1"/>
      <c r="J119" s="110" t="s">
        <v>100</v>
      </c>
      <c r="K119" s="110" t="s">
        <v>101</v>
      </c>
      <c r="L119" s="112" t="s">
        <v>102</v>
      </c>
      <c r="M119" s="112" t="s">
        <v>103</v>
      </c>
      <c r="N119" s="112" t="s">
        <v>104</v>
      </c>
      <c r="O119" s="112" t="s">
        <v>105</v>
      </c>
      <c r="P119" s="4"/>
      <c r="Q119" s="3" t="s">
        <v>31</v>
      </c>
      <c r="R119" s="63" t="str">
        <f>IF(G112=0,"0",IF(G112&lt;=500000,"40000",IF(G112&lt;=1000000,"80000",IF(G112&lt;=1500000,"120000",IF(G112&lt;=2000000,"160000","200000")))))</f>
        <v>0</v>
      </c>
      <c r="S119" s="63" t="str">
        <f>IF(G112=0,"0",IF(G112&lt;=500000,"40000",IF(G112&lt;=1000000,"80000",IF(G112&lt;=1500000,"120000",IF(G112&lt;=2000000,"160000","200000")))))</f>
        <v>0</v>
      </c>
      <c r="T119" s="114">
        <v>2.0699999999999998</v>
      </c>
      <c r="U119" s="3" t="s">
        <v>32</v>
      </c>
      <c r="V119" s="58">
        <f>G120</f>
        <v>0</v>
      </c>
      <c r="W119" s="63">
        <f>G120</f>
        <v>0</v>
      </c>
    </row>
    <row r="120" spans="1:23" x14ac:dyDescent="0.25">
      <c r="A120" s="120"/>
      <c r="B120" s="8" t="s">
        <v>36</v>
      </c>
      <c r="C120" s="9">
        <v>0</v>
      </c>
      <c r="D120" s="8"/>
      <c r="E120" s="8"/>
      <c r="F120" s="8" t="s">
        <v>32</v>
      </c>
      <c r="G120" s="40">
        <v>0</v>
      </c>
      <c r="H120" s="46"/>
      <c r="I120" s="1"/>
      <c r="J120" s="2">
        <f>J97*0.975+G114*50000</f>
        <v>0</v>
      </c>
      <c r="K120" s="2">
        <f>J120</f>
        <v>0</v>
      </c>
      <c r="L120" s="2">
        <f>L84+G114</f>
        <v>12</v>
      </c>
      <c r="M120" s="2">
        <f>N120+O112+O113+O114+O115</f>
        <v>58</v>
      </c>
      <c r="N120" s="2">
        <f>C144+N84-D144</f>
        <v>36</v>
      </c>
      <c r="O120" s="2">
        <f>O115+O114+O113+O112</f>
        <v>22</v>
      </c>
      <c r="P120" s="4"/>
      <c r="Q120" s="3" t="s">
        <v>34</v>
      </c>
      <c r="R120" s="63">
        <f>G113*1</f>
        <v>0</v>
      </c>
      <c r="S120" s="63">
        <f>G113*1</f>
        <v>0</v>
      </c>
      <c r="T120" s="105"/>
      <c r="U120" s="3" t="s">
        <v>35</v>
      </c>
      <c r="V120" s="58">
        <f>G121</f>
        <v>0</v>
      </c>
      <c r="W120" s="63">
        <f>G121</f>
        <v>0</v>
      </c>
    </row>
    <row r="121" spans="1:23" x14ac:dyDescent="0.25">
      <c r="A121" s="120"/>
      <c r="B121" s="8"/>
      <c r="C121" s="8"/>
      <c r="D121" s="8"/>
      <c r="E121" s="8"/>
      <c r="F121" s="8" t="s">
        <v>35</v>
      </c>
      <c r="G121" s="40">
        <v>0</v>
      </c>
      <c r="H121" s="46"/>
      <c r="I121" s="1"/>
      <c r="P121" s="4"/>
      <c r="Q121" s="3" t="s">
        <v>37</v>
      </c>
      <c r="R121" s="58">
        <f>L84*12000</f>
        <v>144000</v>
      </c>
      <c r="S121" s="63">
        <f>L84*12000</f>
        <v>144000</v>
      </c>
      <c r="T121" s="105"/>
      <c r="U121" s="3" t="s">
        <v>38</v>
      </c>
      <c r="V121" s="58">
        <f>V116+V117+V118+V119+V120</f>
        <v>1430775.7031599714</v>
      </c>
      <c r="W121" s="63">
        <f>W120+W119+W118+W117+W116</f>
        <v>2354947.7031599716</v>
      </c>
    </row>
    <row r="122" spans="1:23" x14ac:dyDescent="0.25">
      <c r="A122" s="120"/>
      <c r="B122" s="18" t="s">
        <v>125</v>
      </c>
      <c r="C122" s="8"/>
      <c r="D122" s="8"/>
      <c r="E122" s="8"/>
      <c r="F122" s="8"/>
      <c r="G122" s="39"/>
      <c r="H122" s="29"/>
      <c r="I122" s="1"/>
      <c r="P122" s="4"/>
      <c r="Q122" s="3" t="s">
        <v>39</v>
      </c>
      <c r="R122" s="58">
        <f>G114*100000</f>
        <v>0</v>
      </c>
      <c r="S122" s="63">
        <f>G114*100000</f>
        <v>0</v>
      </c>
      <c r="T122" s="105"/>
      <c r="U122" s="3" t="s">
        <v>40</v>
      </c>
      <c r="V122" s="58">
        <f>V114-V121</f>
        <v>-1430775.7031599714</v>
      </c>
      <c r="W122" s="63">
        <f>W114-W121</f>
        <v>-2354947.7031599716</v>
      </c>
    </row>
    <row r="123" spans="1:23" x14ac:dyDescent="0.25">
      <c r="A123" s="120"/>
      <c r="B123" s="8"/>
      <c r="C123" s="8" t="s">
        <v>43</v>
      </c>
      <c r="D123" s="10"/>
      <c r="E123" s="8"/>
      <c r="F123" s="8"/>
      <c r="G123" s="39"/>
      <c r="H123" s="29"/>
      <c r="I123" s="1"/>
      <c r="J123" s="118" t="s">
        <v>118</v>
      </c>
      <c r="K123" s="118"/>
      <c r="L123" s="118"/>
      <c r="M123" s="118"/>
      <c r="N123" s="118"/>
      <c r="O123" s="118"/>
      <c r="P123" s="4"/>
      <c r="Q123" s="3" t="s">
        <v>41</v>
      </c>
      <c r="R123" s="58">
        <f>V94*2.5%</f>
        <v>144125</v>
      </c>
      <c r="S123" s="63">
        <f>V94*2.5%</f>
        <v>144125</v>
      </c>
      <c r="T123" s="105"/>
      <c r="U123" s="3" t="s">
        <v>42</v>
      </c>
      <c r="V123" s="58">
        <f>IF(2*J137=2*1,(V112/2),(V122+W87))</f>
        <v>0</v>
      </c>
      <c r="W123" s="63">
        <f>IF(2*K137=2*1,(W112/2),(W122+W87))</f>
        <v>0</v>
      </c>
    </row>
    <row r="124" spans="1:23" x14ac:dyDescent="0.25">
      <c r="A124" s="120"/>
      <c r="B124" s="8" t="s">
        <v>16</v>
      </c>
      <c r="C124" s="9">
        <v>0</v>
      </c>
      <c r="D124" s="9">
        <f>C119-C124-C125-C126-C127</f>
        <v>0</v>
      </c>
      <c r="E124" s="8"/>
      <c r="F124" s="17"/>
      <c r="G124" s="39"/>
      <c r="H124" s="29"/>
      <c r="I124" s="1"/>
      <c r="J124" s="2"/>
      <c r="K124" s="2" t="s">
        <v>7</v>
      </c>
      <c r="L124" s="2" t="s">
        <v>8</v>
      </c>
      <c r="M124" s="2" t="s">
        <v>9</v>
      </c>
      <c r="N124" s="2" t="s">
        <v>10</v>
      </c>
      <c r="O124" s="2" t="s">
        <v>11</v>
      </c>
      <c r="P124" s="4"/>
      <c r="Q124" s="3" t="s">
        <v>44</v>
      </c>
      <c r="R124" s="58">
        <f>W93-V129</f>
        <v>7393376</v>
      </c>
      <c r="S124" s="63">
        <f>W93-W129</f>
        <v>0</v>
      </c>
      <c r="T124" s="105"/>
      <c r="U124" s="3"/>
      <c r="V124" s="58"/>
      <c r="W124" s="63"/>
    </row>
    <row r="125" spans="1:23" x14ac:dyDescent="0.25">
      <c r="A125" s="120"/>
      <c r="B125" s="8" t="s">
        <v>19</v>
      </c>
      <c r="C125" s="9">
        <v>0</v>
      </c>
      <c r="D125" s="9"/>
      <c r="E125" s="8"/>
      <c r="F125" s="8"/>
      <c r="G125" s="39"/>
      <c r="H125" s="29"/>
      <c r="I125" s="1"/>
      <c r="J125" s="2" t="s">
        <v>16</v>
      </c>
      <c r="K125" s="2">
        <v>0</v>
      </c>
      <c r="L125" s="108">
        <v>0</v>
      </c>
      <c r="M125" s="115">
        <v>0</v>
      </c>
      <c r="N125" s="2">
        <f>C124+N89-M125</f>
        <v>445549</v>
      </c>
      <c r="O125" s="2">
        <f>O112</f>
        <v>5</v>
      </c>
      <c r="P125" s="4"/>
      <c r="Q125" s="6"/>
      <c r="R125" s="87"/>
      <c r="S125" s="86"/>
      <c r="T125" s="64"/>
      <c r="U125" s="55"/>
      <c r="V125" s="87"/>
      <c r="W125" s="105"/>
    </row>
    <row r="126" spans="1:23" x14ac:dyDescent="0.25">
      <c r="A126" s="120"/>
      <c r="B126" s="8" t="s">
        <v>22</v>
      </c>
      <c r="C126" s="9">
        <v>0</v>
      </c>
      <c r="D126" s="9"/>
      <c r="E126" s="8"/>
      <c r="F126" s="8"/>
      <c r="G126" s="39"/>
      <c r="H126" s="29"/>
      <c r="I126" s="1"/>
      <c r="J126" s="2" t="s">
        <v>19</v>
      </c>
      <c r="K126" s="2">
        <v>0</v>
      </c>
      <c r="L126" s="108">
        <v>0</v>
      </c>
      <c r="M126" s="115">
        <v>0</v>
      </c>
      <c r="N126" s="2">
        <f>C125+N90-M126</f>
        <v>485805</v>
      </c>
      <c r="O126" s="2">
        <f>O113</f>
        <v>6</v>
      </c>
      <c r="P126" s="4"/>
      <c r="Q126" s="3" t="s">
        <v>45</v>
      </c>
      <c r="R126" s="58">
        <f>D113+D114+D115+D116</f>
        <v>0</v>
      </c>
      <c r="S126" s="63">
        <f>D113+D114+D115+D116</f>
        <v>0</v>
      </c>
      <c r="T126" s="105"/>
      <c r="U126" s="132" t="s">
        <v>46</v>
      </c>
      <c r="V126" s="132"/>
      <c r="W126" s="63"/>
    </row>
    <row r="127" spans="1:23" x14ac:dyDescent="0.25">
      <c r="A127" s="120"/>
      <c r="B127" s="8" t="s">
        <v>24</v>
      </c>
      <c r="C127" s="9">
        <v>0</v>
      </c>
      <c r="D127" s="9"/>
      <c r="E127" s="8"/>
      <c r="F127" s="8"/>
      <c r="G127" s="39"/>
      <c r="H127" s="29"/>
      <c r="I127" s="1"/>
      <c r="J127" s="2" t="s">
        <v>22</v>
      </c>
      <c r="K127" s="2">
        <v>0</v>
      </c>
      <c r="L127" s="108">
        <v>0</v>
      </c>
      <c r="M127" s="115">
        <v>0</v>
      </c>
      <c r="N127" s="2">
        <f>C126+N91-M127</f>
        <v>455728</v>
      </c>
      <c r="O127" s="2">
        <f>O114</f>
        <v>5</v>
      </c>
      <c r="P127" s="4"/>
      <c r="Q127" s="3" t="s">
        <v>47</v>
      </c>
      <c r="R127" s="58">
        <f>C124*0.4+C125*0.1+C126*0.4+C127*0.5</f>
        <v>0</v>
      </c>
      <c r="S127" s="63">
        <f>C124*0.4+C125*0.1+C126*0.4+C127*0.5</f>
        <v>0</v>
      </c>
      <c r="T127" s="105"/>
      <c r="U127" s="3" t="s">
        <v>48</v>
      </c>
      <c r="V127" s="58">
        <f>V123</f>
        <v>0</v>
      </c>
      <c r="W127" s="63">
        <f>W123</f>
        <v>0</v>
      </c>
    </row>
    <row r="128" spans="1:23" x14ac:dyDescent="0.25">
      <c r="A128" s="120"/>
      <c r="B128" s="11" t="s">
        <v>51</v>
      </c>
      <c r="C128" s="8"/>
      <c r="D128" s="8"/>
      <c r="E128" s="8"/>
      <c r="F128" s="8"/>
      <c r="G128" s="39"/>
      <c r="H128" s="29"/>
      <c r="I128" s="1"/>
      <c r="J128" s="2" t="s">
        <v>24</v>
      </c>
      <c r="K128" s="2">
        <v>0</v>
      </c>
      <c r="L128" s="108">
        <v>0</v>
      </c>
      <c r="M128" s="115">
        <v>0</v>
      </c>
      <c r="N128" s="2">
        <f>C127+N92-M128</f>
        <v>461262</v>
      </c>
      <c r="O128" s="2">
        <f>O115</f>
        <v>6</v>
      </c>
      <c r="P128" s="4"/>
      <c r="Q128" s="3" t="s">
        <v>49</v>
      </c>
      <c r="R128" s="58">
        <f>B130*0.4+C130*0.7+D130*0.8+B132*0.4+C132*0.4+D132*0.5+B134*0.7+C134*0.4+D134*0.4+B136*0.8+C136*0.5+D136*0.4</f>
        <v>0</v>
      </c>
      <c r="S128" s="63">
        <f>B130*0.4+C130*0.7+D130*0.8+B132*0.4+C132*0.4+D132*0.5+B134*0.7+C134*0.4+D134*0.4+B136*0.8+C136*0.5+D136*0.4</f>
        <v>0</v>
      </c>
      <c r="T128" s="105"/>
      <c r="U128" s="3" t="s">
        <v>50</v>
      </c>
      <c r="V128" s="58">
        <f>N118*((V117+W92)/(G112+G113+N95))</f>
        <v>5799162.357804155</v>
      </c>
      <c r="W128" s="63">
        <f>N131*((W117+W92)/(G112+G113+N82))</f>
        <v>11231161.790959824</v>
      </c>
    </row>
    <row r="129" spans="1:23" x14ac:dyDescent="0.25">
      <c r="A129" s="120"/>
      <c r="B129" s="8" t="s">
        <v>53</v>
      </c>
      <c r="C129" s="8" t="s">
        <v>54</v>
      </c>
      <c r="D129" s="8" t="s">
        <v>55</v>
      </c>
      <c r="E129" s="8"/>
      <c r="F129" s="9"/>
      <c r="G129" s="39"/>
      <c r="H129" s="29"/>
      <c r="I129" s="1"/>
      <c r="J129" s="27"/>
      <c r="K129" s="2"/>
      <c r="L129" s="108"/>
      <c r="M129" s="2"/>
      <c r="N129" s="2"/>
      <c r="O129" s="2"/>
      <c r="P129" s="4"/>
      <c r="Q129" s="6"/>
      <c r="R129" s="64"/>
      <c r="S129" s="86"/>
      <c r="T129" s="105"/>
      <c r="U129" s="3" t="s">
        <v>52</v>
      </c>
      <c r="V129" s="58">
        <f>4*M118</f>
        <v>0</v>
      </c>
      <c r="W129" s="63">
        <f>4*M131</f>
        <v>7393376</v>
      </c>
    </row>
    <row r="130" spans="1:23" x14ac:dyDescent="0.25">
      <c r="A130" s="120"/>
      <c r="B130" s="9">
        <v>0</v>
      </c>
      <c r="C130" s="9">
        <v>0</v>
      </c>
      <c r="D130" s="9">
        <v>0</v>
      </c>
      <c r="E130" s="8"/>
      <c r="F130" s="8"/>
      <c r="G130" s="39"/>
      <c r="H130" s="29"/>
      <c r="I130" s="1"/>
      <c r="J130" s="109" t="s">
        <v>94</v>
      </c>
      <c r="K130" s="110" t="s">
        <v>95</v>
      </c>
      <c r="L130" s="111" t="s">
        <v>96</v>
      </c>
      <c r="M130" s="112" t="s">
        <v>97</v>
      </c>
      <c r="N130" s="112" t="s">
        <v>98</v>
      </c>
      <c r="O130" s="112" t="s">
        <v>99</v>
      </c>
      <c r="P130" s="4"/>
      <c r="Q130" s="3" t="s">
        <v>56</v>
      </c>
      <c r="R130" s="58">
        <f>(C140+C141+C142+C144+C143)*500</f>
        <v>0</v>
      </c>
      <c r="S130" s="63">
        <f>(C140+C141+C142+C144+C143)*500</f>
        <v>0</v>
      </c>
      <c r="T130" s="105"/>
      <c r="U130" s="3" t="s">
        <v>57</v>
      </c>
      <c r="V130" s="58">
        <f>G114*500000+V94-R123</f>
        <v>5620875</v>
      </c>
      <c r="W130" s="63">
        <f>G114*500000+W94-R123</f>
        <v>5620875</v>
      </c>
    </row>
    <row r="131" spans="1:23" x14ac:dyDescent="0.25">
      <c r="A131" s="120"/>
      <c r="B131" s="8" t="s">
        <v>60</v>
      </c>
      <c r="C131" s="8" t="s">
        <v>54</v>
      </c>
      <c r="D131" s="8" t="s">
        <v>61</v>
      </c>
      <c r="E131" s="8"/>
      <c r="F131" s="8"/>
      <c r="G131" s="39"/>
      <c r="H131" s="29"/>
      <c r="I131" s="1"/>
      <c r="J131" s="2">
        <f>K125+K126+K127+K128</f>
        <v>0</v>
      </c>
      <c r="K131" s="115">
        <v>0</v>
      </c>
      <c r="L131" s="113">
        <f>M125+M126+M127+M128</f>
        <v>0</v>
      </c>
      <c r="M131" s="2">
        <f>N125+N126+N127+N128</f>
        <v>1848344</v>
      </c>
      <c r="N131" s="2">
        <f>G112+G113+N95-K131*1.35</f>
        <v>4521825</v>
      </c>
      <c r="O131" s="108">
        <f>(L125+L126+L127+L128)/4</f>
        <v>0</v>
      </c>
      <c r="P131" s="4"/>
      <c r="Q131" s="3" t="s">
        <v>58</v>
      </c>
      <c r="R131" s="58">
        <f>(C140+C141+C142+C143+C144)*1000</f>
        <v>0</v>
      </c>
      <c r="S131" s="63">
        <f>(C140+C141+C142+C143+C144)*1000</f>
        <v>0</v>
      </c>
      <c r="T131" s="105"/>
      <c r="U131" s="3" t="s">
        <v>59</v>
      </c>
      <c r="V131" s="58">
        <f>V130+V129+V128+V127</f>
        <v>11420037.357804155</v>
      </c>
      <c r="W131" s="63">
        <f>W130+W129+W128+W127</f>
        <v>24245412.790959824</v>
      </c>
    </row>
    <row r="132" spans="1:23" x14ac:dyDescent="0.25">
      <c r="A132" s="120"/>
      <c r="B132" s="9">
        <v>0</v>
      </c>
      <c r="C132" s="9">
        <v>0</v>
      </c>
      <c r="D132" s="9">
        <v>0</v>
      </c>
      <c r="E132" s="8"/>
      <c r="F132" s="8"/>
      <c r="G132" s="39"/>
      <c r="H132" s="29"/>
      <c r="I132" s="1"/>
      <c r="J132" s="110" t="s">
        <v>100</v>
      </c>
      <c r="K132" s="110" t="s">
        <v>101</v>
      </c>
      <c r="L132" s="112" t="s">
        <v>102</v>
      </c>
      <c r="M132" s="112" t="s">
        <v>103</v>
      </c>
      <c r="N132" s="112" t="s">
        <v>104</v>
      </c>
      <c r="O132" s="112" t="s">
        <v>105</v>
      </c>
      <c r="P132" s="4"/>
      <c r="Q132" s="3" t="s">
        <v>62</v>
      </c>
      <c r="R132" s="63">
        <f>(C140+C141+C142+C143)*4500+C144*3750+(O76+O77+O78+O79-D140-D141-D142-D143)*9000+(N84-D144)*7500</f>
        <v>468000</v>
      </c>
      <c r="S132" s="63">
        <f>(C140+C141+C142+C143)*4500+C144*3750+(O76+O77+O78+O79-D140-D142-D141-D143)*9000+(N84-D144)*7500</f>
        <v>468000</v>
      </c>
      <c r="T132" s="105"/>
      <c r="U132" s="3" t="s">
        <v>63</v>
      </c>
      <c r="V132" s="58">
        <f>W98+G119-G120</f>
        <v>16735531.37016814</v>
      </c>
      <c r="W132" s="63">
        <f>G119+W98-G120</f>
        <v>16735531.37016814</v>
      </c>
    </row>
    <row r="133" spans="1:23" x14ac:dyDescent="0.25">
      <c r="A133" s="120"/>
      <c r="B133" s="8" t="s">
        <v>66</v>
      </c>
      <c r="C133" s="8" t="s">
        <v>67</v>
      </c>
      <c r="D133" s="8" t="s">
        <v>68</v>
      </c>
      <c r="E133" s="8"/>
      <c r="F133" s="8"/>
      <c r="G133" s="39"/>
      <c r="H133" s="29"/>
      <c r="I133" s="1"/>
      <c r="J133" s="115">
        <v>0</v>
      </c>
      <c r="K133" s="115">
        <v>0</v>
      </c>
      <c r="L133" s="2">
        <f>L120</f>
        <v>12</v>
      </c>
      <c r="M133" s="2">
        <f>N133+O125+O126+O127+O128</f>
        <v>58</v>
      </c>
      <c r="N133" s="2">
        <f>N120</f>
        <v>36</v>
      </c>
      <c r="O133" s="2">
        <f>O128+O127+O126+O125</f>
        <v>22</v>
      </c>
      <c r="P133" s="4"/>
      <c r="Q133" s="3" t="s">
        <v>64</v>
      </c>
      <c r="R133" s="63">
        <f>(D140+D141+D142+D143)*6000+D144*5000</f>
        <v>0</v>
      </c>
      <c r="S133" s="63">
        <f>(D140+D141+D142+D143)*6000+D144*5000</f>
        <v>0</v>
      </c>
      <c r="T133" s="105"/>
      <c r="U133" s="3" t="s">
        <v>65</v>
      </c>
      <c r="V133" s="35">
        <f>IF(2*J137=2*1,V112/2-(V122+W87),"0")</f>
        <v>1430775.7031599714</v>
      </c>
      <c r="W133" s="63">
        <f>IF(2*K137=2*1,W112/2-(W122+W87),"0")</f>
        <v>2354947.7031599716</v>
      </c>
    </row>
    <row r="134" spans="1:23" x14ac:dyDescent="0.25">
      <c r="A134" s="120"/>
      <c r="B134" s="9">
        <v>0</v>
      </c>
      <c r="C134" s="9">
        <v>0</v>
      </c>
      <c r="D134" s="9">
        <v>0</v>
      </c>
      <c r="E134" s="8"/>
      <c r="F134" s="8"/>
      <c r="G134" s="39"/>
      <c r="H134" s="29"/>
      <c r="I134" s="1"/>
      <c r="J134" s="7"/>
      <c r="K134" s="5"/>
      <c r="L134" s="5"/>
      <c r="M134" s="5"/>
      <c r="P134" s="4"/>
      <c r="Q134" s="3" t="s">
        <v>69</v>
      </c>
      <c r="R134" s="63">
        <f>W92*10%</f>
        <v>579916.23578041547</v>
      </c>
      <c r="S134" s="63">
        <f>W92*10%</f>
        <v>579916.23578041547</v>
      </c>
      <c r="T134" s="105"/>
      <c r="U134" s="3" t="s">
        <v>70</v>
      </c>
      <c r="V134" s="58">
        <f>V132+V133</f>
        <v>18166307.073328111</v>
      </c>
      <c r="W134" s="63">
        <f>W133+W132</f>
        <v>19090479.073328111</v>
      </c>
    </row>
    <row r="135" spans="1:23" x14ac:dyDescent="0.25">
      <c r="A135" s="120"/>
      <c r="B135" s="8" t="s">
        <v>73</v>
      </c>
      <c r="C135" s="8" t="s">
        <v>74</v>
      </c>
      <c r="D135" s="8" t="s">
        <v>75</v>
      </c>
      <c r="E135" s="8"/>
      <c r="F135" s="8"/>
      <c r="G135" s="39"/>
      <c r="H135" s="29"/>
      <c r="I135" s="1"/>
      <c r="J135" s="22"/>
      <c r="K135" s="22"/>
      <c r="P135" s="4"/>
      <c r="Q135" s="3" t="s">
        <v>71</v>
      </c>
      <c r="R135" s="63">
        <f>0.5*M118</f>
        <v>0</v>
      </c>
      <c r="S135" s="63">
        <f>0.5*M131</f>
        <v>924172</v>
      </c>
      <c r="T135" s="105"/>
      <c r="U135" s="3" t="s">
        <v>72</v>
      </c>
      <c r="V135" s="58">
        <f>V131-V134</f>
        <v>-6746269.7155239563</v>
      </c>
      <c r="W135" s="63">
        <f>W131-W134</f>
        <v>5154933.7176317126</v>
      </c>
    </row>
    <row r="136" spans="1:23" x14ac:dyDescent="0.25">
      <c r="A136" s="120"/>
      <c r="B136" s="9">
        <v>0</v>
      </c>
      <c r="C136" s="9">
        <v>0</v>
      </c>
      <c r="D136" s="9">
        <v>0</v>
      </c>
      <c r="E136" s="8"/>
      <c r="F136" s="8"/>
      <c r="G136" s="39"/>
      <c r="H136" s="29"/>
      <c r="I136" s="24"/>
      <c r="J136" s="28" t="s">
        <v>114</v>
      </c>
      <c r="K136" s="28" t="s">
        <v>115</v>
      </c>
      <c r="P136" s="4"/>
      <c r="Q136" s="6"/>
      <c r="R136" s="64"/>
      <c r="S136" s="86"/>
      <c r="T136" s="64"/>
      <c r="U136" s="4"/>
      <c r="V136" s="64"/>
      <c r="W136" s="105"/>
    </row>
    <row r="137" spans="1:23" x14ac:dyDescent="0.25">
      <c r="A137" s="120"/>
      <c r="B137" s="8"/>
      <c r="C137" s="8"/>
      <c r="D137" s="8"/>
      <c r="E137" s="8"/>
      <c r="F137" s="8"/>
      <c r="G137" s="39"/>
      <c r="H137" s="29"/>
      <c r="I137" s="24"/>
      <c r="J137" s="27" t="str">
        <f>IF((W87+V122)&lt;=V112/2,"1","0")</f>
        <v>1</v>
      </c>
      <c r="K137" s="27" t="str">
        <f>IF((W87+W122)&lt;=W112/2,"1","0")</f>
        <v>1</v>
      </c>
      <c r="P137" s="4"/>
      <c r="Q137" s="3" t="s">
        <v>76</v>
      </c>
      <c r="R137" s="58">
        <f>V132*M1/4+W97*M1/4*3</f>
        <v>238859.46737955586</v>
      </c>
      <c r="S137" s="63">
        <f>W132*M1/4+W97*M1/4*3</f>
        <v>238859.46737955586</v>
      </c>
      <c r="T137" s="64"/>
      <c r="U137" s="4"/>
      <c r="V137" s="64"/>
      <c r="W137" s="105"/>
    </row>
    <row r="138" spans="1:23" x14ac:dyDescent="0.25">
      <c r="A138" s="120"/>
      <c r="B138" s="18" t="s">
        <v>126</v>
      </c>
      <c r="C138" s="8"/>
      <c r="D138" s="8"/>
      <c r="E138" s="8"/>
      <c r="F138" s="8"/>
      <c r="G138" s="39"/>
      <c r="H138" s="29"/>
      <c r="I138" s="24"/>
      <c r="J138" s="26" t="s">
        <v>117</v>
      </c>
      <c r="K138" s="27"/>
      <c r="P138" s="4"/>
      <c r="Q138" s="6"/>
      <c r="R138" s="64"/>
      <c r="S138" s="86"/>
      <c r="T138" s="64"/>
      <c r="U138" s="4"/>
      <c r="V138" s="64"/>
      <c r="W138" s="105"/>
    </row>
    <row r="139" spans="1:23" x14ac:dyDescent="0.25">
      <c r="A139" s="120"/>
      <c r="B139" s="8"/>
      <c r="C139" s="8" t="s">
        <v>78</v>
      </c>
      <c r="D139" s="8" t="s">
        <v>79</v>
      </c>
      <c r="E139" s="8"/>
      <c r="F139" s="8"/>
      <c r="G139" s="39"/>
      <c r="H139" s="29"/>
      <c r="I139" s="24"/>
      <c r="J139" s="27">
        <f>N95+G113-H112</f>
        <v>4521825</v>
      </c>
      <c r="K139" s="27"/>
      <c r="P139" s="4"/>
      <c r="Q139" s="3" t="s">
        <v>77</v>
      </c>
      <c r="R139" s="63">
        <f>(R113/(1+E1))*E1</f>
        <v>0</v>
      </c>
      <c r="S139" s="63">
        <f>S113/(1+E1)*E1</f>
        <v>0</v>
      </c>
      <c r="T139" s="64"/>
      <c r="U139" s="4"/>
      <c r="V139" s="64"/>
      <c r="W139" s="105"/>
    </row>
    <row r="140" spans="1:23" x14ac:dyDescent="0.25">
      <c r="A140" s="120"/>
      <c r="B140" s="8" t="s">
        <v>16</v>
      </c>
      <c r="C140" s="9">
        <v>0</v>
      </c>
      <c r="D140" s="9">
        <v>0</v>
      </c>
      <c r="E140" s="8"/>
      <c r="F140" s="8"/>
      <c r="G140" s="39"/>
      <c r="H140" s="29"/>
      <c r="I140" s="24"/>
      <c r="P140" s="4"/>
      <c r="Q140" s="3" t="s">
        <v>80</v>
      </c>
      <c r="R140" s="63">
        <f>R139*G1</f>
        <v>0</v>
      </c>
      <c r="S140" s="63">
        <f>S139*G1</f>
        <v>0</v>
      </c>
      <c r="T140" s="64"/>
      <c r="U140" s="4"/>
      <c r="V140" s="64"/>
      <c r="W140" s="105"/>
    </row>
    <row r="141" spans="1:23" x14ac:dyDescent="0.25">
      <c r="A141" s="120"/>
      <c r="B141" s="8" t="s">
        <v>19</v>
      </c>
      <c r="C141" s="9">
        <v>0</v>
      </c>
      <c r="D141" s="9">
        <v>0</v>
      </c>
      <c r="E141" s="8"/>
      <c r="F141" s="8"/>
      <c r="G141" s="39"/>
      <c r="H141" s="29"/>
      <c r="I141" s="24"/>
      <c r="P141" s="4"/>
      <c r="Q141" s="3" t="s">
        <v>81</v>
      </c>
      <c r="R141" s="63">
        <f>(R113/(1+E1)-(R126+R127+R137+R135+R134+R133+R132+R131+R115+R117+R116+R118+R119+R120+R121+R122+R123+R124+R130)-R140)*K1</f>
        <v>-2242068.9257899928</v>
      </c>
      <c r="S141" s="63">
        <f>(S113/(1+E1)-(S115+S116+S117+S118+S119+S120+S121+S122+S123+S124+S126+S127+S128+S130+S131+S132+S133+S134+S135+S137)-S140)*K1</f>
        <v>-624767.92578999291</v>
      </c>
      <c r="T141" s="64"/>
      <c r="U141" s="4"/>
      <c r="V141" s="64"/>
      <c r="W141" s="105"/>
    </row>
    <row r="142" spans="1:23" x14ac:dyDescent="0.25">
      <c r="A142" s="120"/>
      <c r="B142" s="8" t="s">
        <v>22</v>
      </c>
      <c r="C142" s="9">
        <v>0</v>
      </c>
      <c r="D142" s="9">
        <v>0</v>
      </c>
      <c r="E142" s="8"/>
      <c r="F142" s="8"/>
      <c r="G142" s="39"/>
      <c r="H142" s="29"/>
      <c r="I142" s="24"/>
      <c r="P142" s="4"/>
      <c r="Q142" s="3"/>
      <c r="R142" s="63" t="str">
        <f>IF(R141&lt;=0,"0",R141)</f>
        <v>0</v>
      </c>
      <c r="S142" s="63" t="str">
        <f>IF(S141&lt;=0,"0",S141)</f>
        <v>0</v>
      </c>
      <c r="T142" s="64"/>
      <c r="U142" s="4"/>
      <c r="V142" s="64"/>
      <c r="W142" s="105"/>
    </row>
    <row r="143" spans="1:23" x14ac:dyDescent="0.25">
      <c r="A143" s="120"/>
      <c r="B143" s="8" t="s">
        <v>24</v>
      </c>
      <c r="C143" s="9">
        <v>0</v>
      </c>
      <c r="D143" s="9">
        <v>0</v>
      </c>
      <c r="E143" s="8"/>
      <c r="F143" s="8"/>
      <c r="G143" s="39"/>
      <c r="H143" s="29"/>
      <c r="I143" s="24"/>
      <c r="P143" s="4"/>
      <c r="Q143" s="3" t="s">
        <v>82</v>
      </c>
      <c r="R143" s="63">
        <f>R115+R119+R122+R130+R131+R132+R116+R117+R118+R120+R121+R123+R124+R126+R127+R128+R133+R134+R135+R137+R139+R140+R142</f>
        <v>8968275.7031599712</v>
      </c>
      <c r="S143" s="63">
        <f>S115+S119+S122+S130+S131+S132+S116+S117+S118+S120+S121+S123+S124+S126+S127+S128+S133+S134+S135+S137+S139+S140+S142</f>
        <v>2499071.7031599716</v>
      </c>
      <c r="T143" s="64"/>
      <c r="U143" s="4"/>
      <c r="V143" s="64"/>
      <c r="W143" s="105"/>
    </row>
    <row r="144" spans="1:23" x14ac:dyDescent="0.25">
      <c r="A144" s="120"/>
      <c r="B144" s="8" t="s">
        <v>83</v>
      </c>
      <c r="C144" s="9">
        <v>0</v>
      </c>
      <c r="D144" s="9">
        <v>0</v>
      </c>
      <c r="E144" s="8"/>
      <c r="F144" s="8"/>
      <c r="G144" s="39"/>
      <c r="H144" s="29"/>
      <c r="I144" s="24"/>
      <c r="P144" s="4"/>
      <c r="Q144" s="59"/>
      <c r="R144" s="74"/>
      <c r="S144" s="90"/>
      <c r="T144" s="64"/>
      <c r="U144" s="4"/>
      <c r="V144" s="64"/>
      <c r="W144" s="105"/>
    </row>
    <row r="145" spans="1:23" x14ac:dyDescent="0.25">
      <c r="A145" s="121"/>
      <c r="B145" s="8"/>
      <c r="C145" s="9"/>
      <c r="D145" s="8"/>
      <c r="E145" s="8"/>
      <c r="F145" s="8"/>
      <c r="G145" s="39"/>
      <c r="H145" s="29"/>
      <c r="I145" s="25"/>
      <c r="P145" s="4"/>
      <c r="Q145" s="3" t="s">
        <v>84</v>
      </c>
      <c r="R145" s="58">
        <f>R113-R143</f>
        <v>-8968275.7031599712</v>
      </c>
      <c r="S145" s="76">
        <f>S113-S143</f>
        <v>-2499071.7031599716</v>
      </c>
      <c r="T145" s="116"/>
      <c r="U145" s="4"/>
      <c r="V145" s="64"/>
      <c r="W145" s="105"/>
    </row>
    <row r="146" spans="1:23" x14ac:dyDescent="0.25">
      <c r="A146" s="119" t="s">
        <v>88</v>
      </c>
      <c r="B146" s="122" t="s">
        <v>3</v>
      </c>
      <c r="C146" s="123"/>
      <c r="D146" s="123"/>
      <c r="E146" s="123"/>
      <c r="F146" s="123"/>
      <c r="G146" s="123"/>
      <c r="H146" s="29"/>
      <c r="I146" s="1"/>
      <c r="J146" s="118" t="s">
        <v>112</v>
      </c>
      <c r="K146" s="118"/>
      <c r="L146" s="118"/>
      <c r="M146" s="118"/>
      <c r="N146" s="118"/>
      <c r="O146" s="118"/>
      <c r="P146" s="4"/>
      <c r="Q146" s="131" t="s">
        <v>1</v>
      </c>
      <c r="R146" s="130"/>
      <c r="S146" s="94" t="s">
        <v>111</v>
      </c>
      <c r="T146" s="105"/>
      <c r="U146" s="132" t="s">
        <v>2</v>
      </c>
      <c r="V146" s="132"/>
      <c r="W146" s="21" t="s">
        <v>111</v>
      </c>
    </row>
    <row r="147" spans="1:23" x14ac:dyDescent="0.25">
      <c r="A147" s="120"/>
      <c r="B147" s="18" t="s">
        <v>121</v>
      </c>
      <c r="C147" s="8"/>
      <c r="D147" s="8"/>
      <c r="E147" s="8"/>
      <c r="F147" s="18" t="s">
        <v>122</v>
      </c>
      <c r="G147" s="39"/>
      <c r="H147" s="45"/>
      <c r="I147" s="1"/>
      <c r="J147" s="2"/>
      <c r="K147" s="2" t="s">
        <v>7</v>
      </c>
      <c r="L147" s="2" t="s">
        <v>8</v>
      </c>
      <c r="M147" s="2" t="s">
        <v>9</v>
      </c>
      <c r="N147" s="2" t="s">
        <v>10</v>
      </c>
      <c r="O147" s="2" t="s">
        <v>11</v>
      </c>
      <c r="P147" s="4"/>
      <c r="Q147" s="3" t="s">
        <v>5</v>
      </c>
      <c r="R147" s="66" t="s">
        <v>6</v>
      </c>
      <c r="S147" s="97" t="s">
        <v>6</v>
      </c>
      <c r="T147" s="105"/>
      <c r="U147" s="3" t="s">
        <v>5</v>
      </c>
      <c r="V147" s="56" t="s">
        <v>6</v>
      </c>
      <c r="W147" s="56" t="s">
        <v>6</v>
      </c>
    </row>
    <row r="148" spans="1:23" x14ac:dyDescent="0.25">
      <c r="A148" s="120"/>
      <c r="B148" s="8"/>
      <c r="C148" s="8" t="s">
        <v>13</v>
      </c>
      <c r="D148" s="8" t="s">
        <v>14</v>
      </c>
      <c r="E148" s="8"/>
      <c r="F148" s="8" t="s">
        <v>15</v>
      </c>
      <c r="G148" s="40">
        <v>0</v>
      </c>
      <c r="H148" s="46"/>
      <c r="I148" s="1"/>
      <c r="J148" s="2" t="s">
        <v>16</v>
      </c>
      <c r="K148" s="2"/>
      <c r="L148" s="108"/>
      <c r="M148" s="2">
        <f>C160</f>
        <v>0</v>
      </c>
      <c r="N148" s="2">
        <f>C160-M148</f>
        <v>0</v>
      </c>
      <c r="O148" s="2">
        <f>O112+C176-D176</f>
        <v>5</v>
      </c>
      <c r="P148" s="4"/>
      <c r="Q148" s="59"/>
      <c r="R148" s="74"/>
      <c r="S148" s="90"/>
      <c r="T148" s="105"/>
      <c r="U148" s="3" t="s">
        <v>12</v>
      </c>
      <c r="V148" s="58">
        <f>R149</f>
        <v>0</v>
      </c>
      <c r="W148" s="63">
        <f>S149</f>
        <v>0</v>
      </c>
    </row>
    <row r="149" spans="1:23" x14ac:dyDescent="0.25">
      <c r="A149" s="120"/>
      <c r="B149" s="8" t="s">
        <v>16</v>
      </c>
      <c r="C149" s="9">
        <v>0</v>
      </c>
      <c r="D149" s="9">
        <v>0</v>
      </c>
      <c r="E149" s="8"/>
      <c r="F149" s="8" t="s">
        <v>18</v>
      </c>
      <c r="G149" s="40">
        <v>0</v>
      </c>
      <c r="H149" s="46"/>
      <c r="I149" s="1"/>
      <c r="J149" s="2" t="s">
        <v>19</v>
      </c>
      <c r="K149" s="2"/>
      <c r="L149" s="108"/>
      <c r="M149" s="2">
        <f>C161</f>
        <v>0</v>
      </c>
      <c r="N149" s="2">
        <f>C161-M149</f>
        <v>0</v>
      </c>
      <c r="O149" s="2">
        <f>O113+C177-D177</f>
        <v>6</v>
      </c>
      <c r="P149" s="4"/>
      <c r="Q149" s="3" t="s">
        <v>12</v>
      </c>
      <c r="R149" s="58">
        <f>C149*(C160+N125)+C150*(C161+N126)+C151*(C162+N127)+C152*(C163+N128)</f>
        <v>0</v>
      </c>
      <c r="S149" s="63">
        <f>C149*M161+M162*C150+C151*M163+M164*C152</f>
        <v>0</v>
      </c>
      <c r="T149" s="105"/>
      <c r="U149" s="3" t="s">
        <v>17</v>
      </c>
      <c r="V149" s="58">
        <f>G155</f>
        <v>0</v>
      </c>
      <c r="W149" s="63">
        <f>G155</f>
        <v>0</v>
      </c>
    </row>
    <row r="150" spans="1:23" x14ac:dyDescent="0.25">
      <c r="A150" s="120"/>
      <c r="B150" s="8" t="s">
        <v>19</v>
      </c>
      <c r="C150" s="9">
        <v>0</v>
      </c>
      <c r="D150" s="9">
        <v>0</v>
      </c>
      <c r="E150" s="8"/>
      <c r="F150" s="8" t="s">
        <v>21</v>
      </c>
      <c r="G150" s="40">
        <v>0</v>
      </c>
      <c r="H150" s="46"/>
      <c r="I150" s="1"/>
      <c r="J150" s="2" t="s">
        <v>22</v>
      </c>
      <c r="K150" s="2"/>
      <c r="L150" s="108"/>
      <c r="M150" s="2">
        <f>C162</f>
        <v>0</v>
      </c>
      <c r="N150" s="2">
        <f>C162-M150</f>
        <v>0</v>
      </c>
      <c r="O150" s="2">
        <f>C178+O114-D178</f>
        <v>5</v>
      </c>
      <c r="P150" s="4"/>
      <c r="Q150" s="59"/>
      <c r="R150" s="74"/>
      <c r="S150" s="90"/>
      <c r="T150" s="105"/>
      <c r="U150" s="3" t="s">
        <v>20</v>
      </c>
      <c r="V150" s="58">
        <f>V149+V148</f>
        <v>0</v>
      </c>
      <c r="W150" s="63">
        <f>W149+W148</f>
        <v>0</v>
      </c>
    </row>
    <row r="151" spans="1:23" x14ac:dyDescent="0.25">
      <c r="A151" s="120"/>
      <c r="B151" s="8" t="s">
        <v>22</v>
      </c>
      <c r="C151" s="9">
        <v>0</v>
      </c>
      <c r="D151" s="9">
        <v>0</v>
      </c>
      <c r="E151" s="8"/>
      <c r="F151" s="8"/>
      <c r="G151" s="39"/>
      <c r="H151" s="29"/>
      <c r="I151" s="1"/>
      <c r="J151" s="2" t="s">
        <v>24</v>
      </c>
      <c r="K151" s="2"/>
      <c r="L151" s="108"/>
      <c r="M151" s="2">
        <f>C163</f>
        <v>0</v>
      </c>
      <c r="N151" s="2">
        <f>C163-M151</f>
        <v>0</v>
      </c>
      <c r="O151" s="2">
        <f>O115+C179-D179</f>
        <v>6</v>
      </c>
      <c r="P151" s="4"/>
      <c r="Q151" s="3" t="s">
        <v>23</v>
      </c>
      <c r="R151" s="58">
        <f>C156</f>
        <v>0</v>
      </c>
      <c r="S151" s="63">
        <f>C156</f>
        <v>0</v>
      </c>
      <c r="T151" s="105"/>
      <c r="U151" s="3"/>
      <c r="V151" s="58"/>
      <c r="W151" s="63"/>
    </row>
    <row r="152" spans="1:23" x14ac:dyDescent="0.25">
      <c r="A152" s="120"/>
      <c r="B152" s="8" t="s">
        <v>24</v>
      </c>
      <c r="C152" s="9">
        <v>0</v>
      </c>
      <c r="D152" s="9">
        <v>0</v>
      </c>
      <c r="E152" s="8"/>
      <c r="F152" s="8"/>
      <c r="G152" s="39"/>
      <c r="H152" s="29"/>
      <c r="I152" s="1"/>
      <c r="J152" s="27"/>
      <c r="K152" s="2"/>
      <c r="L152" s="108"/>
      <c r="M152" s="2"/>
      <c r="N152" s="2"/>
      <c r="O152" s="2"/>
      <c r="P152" s="4"/>
      <c r="Q152" s="3" t="s">
        <v>25</v>
      </c>
      <c r="R152" s="63" t="str">
        <f>IF(C155=0,"0",IF(C155/K120&lt;=1.5,"10000",IF(C155/K120&lt;=2.5,"15000","20000")))</f>
        <v>0</v>
      </c>
      <c r="S152" s="63" t="str">
        <f>IF(K167=0,"0",IF(K167/K120&lt;=1.5,"10000",IF(K167/K120&lt;=2.5,"15000","20000")))</f>
        <v>0</v>
      </c>
      <c r="T152" s="105"/>
      <c r="U152" s="3" t="s">
        <v>26</v>
      </c>
      <c r="V152" s="58">
        <f>R151+R152+R153+R155+R156+R157+R158+R162+R163+R164+R166+R167+R168+R169+R170+R171+R173+R175+R176+R178</f>
        <v>1996669.4009240626</v>
      </c>
      <c r="W152" s="63">
        <f>S151+S152+S153+S155+S156+S157+S158+S162+S163+S164+S166+S167+S168+S169+S170+S171+S173+S175+S176+S178</f>
        <v>2920841.4009240628</v>
      </c>
    </row>
    <row r="153" spans="1:23" x14ac:dyDescent="0.25">
      <c r="A153" s="120"/>
      <c r="B153" s="8"/>
      <c r="C153" s="8"/>
      <c r="D153" s="8"/>
      <c r="E153" s="8"/>
      <c r="F153" s="8"/>
      <c r="G153" s="39"/>
      <c r="H153" s="29"/>
      <c r="I153" s="1"/>
      <c r="J153" s="109" t="s">
        <v>94</v>
      </c>
      <c r="K153" s="110" t="s">
        <v>95</v>
      </c>
      <c r="L153" s="111" t="s">
        <v>96</v>
      </c>
      <c r="M153" s="112" t="s">
        <v>97</v>
      </c>
      <c r="N153" s="112" t="s">
        <v>98</v>
      </c>
      <c r="O153" s="112" t="s">
        <v>99</v>
      </c>
      <c r="P153" s="4"/>
      <c r="Q153" s="3" t="s">
        <v>27</v>
      </c>
      <c r="R153" s="63" t="str">
        <f>IF(C155=0,"0",IF(((C155/K120)*8)&lt;=8,C155*1.2,IF(((C155/K120)*8)&lt;=12,K120*1.2+(C155-K120)*1.3,IF(((C155/K120)*8)&lt;=16,K120*1.2+(C155-K120)*1.4,IF(((C155/K120)*8)&lt;=20,K120*1.2+K120*1.4+(C155-2*K120)*1.5,K120*1.2+K120*1.4+(C155-2*K120)*1.6)))))</f>
        <v>0</v>
      </c>
      <c r="S153" s="63" t="str">
        <f>IF(K167=0,"0",IF(((K167/K120)*8)&lt;=8,K167*1.2,IF(((K167/K120)*8)&lt;=12,K120*1.2+(K167-K120)*1.3,IF(((K167/K120)*8)&lt;=16,L120*1.2+(K167-K120)*1.4,IF(((K167/K120)*8)&lt;=20,K120*1.2+K120*1.4+(K167-2*K120)*1.5,K120*1.2+K120*1.4+(K167-2*K120)*1.6)))))</f>
        <v>0</v>
      </c>
      <c r="T153" s="133" t="s">
        <v>120</v>
      </c>
      <c r="U153" s="3" t="s">
        <v>28</v>
      </c>
      <c r="V153" s="58">
        <f>G148*T119+G149*T119</f>
        <v>0</v>
      </c>
      <c r="W153" s="63">
        <f>G148*T119+G149*T119</f>
        <v>0</v>
      </c>
    </row>
    <row r="154" spans="1:23" x14ac:dyDescent="0.25">
      <c r="A154" s="120"/>
      <c r="B154" s="18" t="s">
        <v>124</v>
      </c>
      <c r="C154" s="8"/>
      <c r="D154" s="18" t="s">
        <v>116</v>
      </c>
      <c r="E154" s="8"/>
      <c r="F154" s="18" t="s">
        <v>123</v>
      </c>
      <c r="G154" s="40"/>
      <c r="H154" s="46"/>
      <c r="I154" s="1"/>
      <c r="J154" s="2">
        <f>K148+K149+K150+K151</f>
        <v>0</v>
      </c>
      <c r="K154" s="112">
        <f>C155</f>
        <v>0</v>
      </c>
      <c r="L154" s="113">
        <f>M148+M149+M150+M151</f>
        <v>0</v>
      </c>
      <c r="M154" s="2">
        <f>N148+N149+N150+N151</f>
        <v>0</v>
      </c>
      <c r="N154" s="2">
        <f>G148+G149+N131-C155*1.35</f>
        <v>4521825</v>
      </c>
      <c r="O154" s="108">
        <f>(L148+L149+L150+L151)/4</f>
        <v>0</v>
      </c>
      <c r="P154" s="4"/>
      <c r="Q154" s="84" t="s">
        <v>113</v>
      </c>
      <c r="R154" s="63">
        <f>((V153+W128)/(G148+G149+N118))*C155*1.35-1</f>
        <v>-1</v>
      </c>
      <c r="S154" s="63">
        <f>((W153+W128)/(G148+G149+N131))*K167*1.35-1</f>
        <v>-1</v>
      </c>
      <c r="T154" s="134"/>
      <c r="U154" s="3" t="s">
        <v>30</v>
      </c>
      <c r="V154" s="58">
        <f>G150*500000</f>
        <v>0</v>
      </c>
      <c r="W154" s="63">
        <f>G150*500000</f>
        <v>0</v>
      </c>
    </row>
    <row r="155" spans="1:23" x14ac:dyDescent="0.25">
      <c r="A155" s="120"/>
      <c r="B155" s="8" t="s">
        <v>33</v>
      </c>
      <c r="C155" s="9">
        <f>J133*3</f>
        <v>0</v>
      </c>
      <c r="D155" s="9">
        <f>(N118+G149)/1.35</f>
        <v>3349500</v>
      </c>
      <c r="E155" s="8"/>
      <c r="F155" s="8" t="s">
        <v>17</v>
      </c>
      <c r="G155" s="40">
        <v>0</v>
      </c>
      <c r="H155" s="46"/>
      <c r="I155" s="1"/>
      <c r="J155" s="110" t="s">
        <v>100</v>
      </c>
      <c r="K155" s="110" t="s">
        <v>101</v>
      </c>
      <c r="L155" s="112" t="s">
        <v>102</v>
      </c>
      <c r="M155" s="112" t="s">
        <v>103</v>
      </c>
      <c r="N155" s="112" t="s">
        <v>104</v>
      </c>
      <c r="O155" s="112" t="s">
        <v>105</v>
      </c>
      <c r="P155" s="4"/>
      <c r="Q155" s="3" t="s">
        <v>31</v>
      </c>
      <c r="R155" s="63" t="str">
        <f>IF(G148=0,"0",IF(G148&lt;=500000,"40000",IF(G148&lt;=1000000,"80000",IF(G148&lt;=1500000,"120000",IF(G148&lt;=2000000,"160000","200000")))))</f>
        <v>0</v>
      </c>
      <c r="S155" s="63" t="str">
        <f>IF(G148=0,"0",IF(G148&lt;=500000,"40000",IF(G148&lt;=1000000,"80000",IF(G148&lt;=1500000,"120000",IF(G148&lt;=2000000,"160000","200000")))))</f>
        <v>0</v>
      </c>
      <c r="T155" s="114">
        <v>1.44</v>
      </c>
      <c r="U155" s="3" t="s">
        <v>32</v>
      </c>
      <c r="V155" s="58">
        <f>G156</f>
        <v>0</v>
      </c>
      <c r="W155" s="63">
        <f>G156</f>
        <v>0</v>
      </c>
    </row>
    <row r="156" spans="1:23" x14ac:dyDescent="0.25">
      <c r="A156" s="120"/>
      <c r="B156" s="8" t="s">
        <v>36</v>
      </c>
      <c r="C156" s="9">
        <v>0</v>
      </c>
      <c r="D156" s="8"/>
      <c r="E156" s="8"/>
      <c r="F156" s="8" t="s">
        <v>32</v>
      </c>
      <c r="G156" s="40">
        <v>0</v>
      </c>
      <c r="H156" s="46"/>
      <c r="I156" s="1"/>
      <c r="J156" s="2">
        <f>J133*0.975+G150*50000</f>
        <v>0</v>
      </c>
      <c r="K156" s="2">
        <f>J156</f>
        <v>0</v>
      </c>
      <c r="L156" s="2">
        <f>L120+G150</f>
        <v>12</v>
      </c>
      <c r="M156" s="2">
        <f>N156+O148+O149+O150+O151</f>
        <v>58</v>
      </c>
      <c r="N156" s="2">
        <f>C180+N120</f>
        <v>36</v>
      </c>
      <c r="O156" s="2">
        <f>O151+O150+O149+O148</f>
        <v>22</v>
      </c>
      <c r="P156" s="4"/>
      <c r="Q156" s="3" t="s">
        <v>34</v>
      </c>
      <c r="R156" s="58">
        <f>G149*1</f>
        <v>0</v>
      </c>
      <c r="S156" s="63">
        <f>G149*1</f>
        <v>0</v>
      </c>
      <c r="T156" s="105"/>
      <c r="U156" s="3" t="s">
        <v>35</v>
      </c>
      <c r="V156" s="58">
        <f>G157</f>
        <v>0</v>
      </c>
      <c r="W156" s="63">
        <f>G157</f>
        <v>0</v>
      </c>
    </row>
    <row r="157" spans="1:23" x14ac:dyDescent="0.25">
      <c r="A157" s="120"/>
      <c r="B157" s="8"/>
      <c r="C157" s="8"/>
      <c r="D157" s="8"/>
      <c r="E157" s="8"/>
      <c r="F157" s="8" t="s">
        <v>35</v>
      </c>
      <c r="G157" s="40">
        <v>0</v>
      </c>
      <c r="H157" s="46"/>
      <c r="I157" s="1"/>
      <c r="P157" s="4"/>
      <c r="Q157" s="3" t="s">
        <v>37</v>
      </c>
      <c r="R157" s="58">
        <f>L120*12000</f>
        <v>144000</v>
      </c>
      <c r="S157" s="63">
        <f>L120*12000</f>
        <v>144000</v>
      </c>
      <c r="T157" s="105"/>
      <c r="U157" s="3" t="s">
        <v>38</v>
      </c>
      <c r="V157" s="58">
        <f>V152+V153+V154+V155+V156</f>
        <v>1996669.4009240626</v>
      </c>
      <c r="W157" s="63">
        <f>W156+W155+W154+W153+W152</f>
        <v>2920841.4009240628</v>
      </c>
    </row>
    <row r="158" spans="1:23" x14ac:dyDescent="0.25">
      <c r="A158" s="120"/>
      <c r="B158" s="18" t="s">
        <v>125</v>
      </c>
      <c r="C158" s="8"/>
      <c r="D158" s="8"/>
      <c r="E158" s="8"/>
      <c r="F158" s="8"/>
      <c r="G158" s="39"/>
      <c r="H158" s="29"/>
      <c r="I158" s="1"/>
      <c r="P158" s="4"/>
      <c r="Q158" s="3" t="s">
        <v>39</v>
      </c>
      <c r="R158" s="58">
        <f>G150*100000</f>
        <v>0</v>
      </c>
      <c r="S158" s="63">
        <f>G150*100000</f>
        <v>0</v>
      </c>
      <c r="T158" s="105"/>
      <c r="U158" s="3" t="s">
        <v>40</v>
      </c>
      <c r="V158" s="58">
        <f>V150-V157</f>
        <v>-1996669.4009240626</v>
      </c>
      <c r="W158" s="63">
        <f>W150-W157</f>
        <v>-2920841.4009240628</v>
      </c>
    </row>
    <row r="159" spans="1:23" x14ac:dyDescent="0.25">
      <c r="A159" s="120"/>
      <c r="B159" s="8"/>
      <c r="C159" s="8" t="s">
        <v>43</v>
      </c>
      <c r="D159" s="10"/>
      <c r="E159" s="8"/>
      <c r="F159" s="8"/>
      <c r="G159" s="39"/>
      <c r="H159" s="29"/>
      <c r="I159" s="1"/>
      <c r="J159" s="118" t="s">
        <v>118</v>
      </c>
      <c r="K159" s="118"/>
      <c r="L159" s="118"/>
      <c r="M159" s="118"/>
      <c r="N159" s="118"/>
      <c r="O159" s="118"/>
      <c r="P159" s="4"/>
      <c r="Q159" s="3" t="s">
        <v>41</v>
      </c>
      <c r="R159" s="58">
        <f>V130*2.5%</f>
        <v>140521.875</v>
      </c>
      <c r="S159" s="63">
        <f>V130*2.5%</f>
        <v>140521.875</v>
      </c>
      <c r="T159" s="105"/>
      <c r="U159" s="3" t="s">
        <v>42</v>
      </c>
      <c r="V159" s="58">
        <f>IF(2*J173=2*1,(V148/2),(V158+W123))</f>
        <v>0</v>
      </c>
      <c r="W159" s="63">
        <f>IF(2*K173=2*1,(W148/2),(W158+W123))</f>
        <v>0</v>
      </c>
    </row>
    <row r="160" spans="1:23" x14ac:dyDescent="0.25">
      <c r="A160" s="120"/>
      <c r="B160" s="8" t="s">
        <v>16</v>
      </c>
      <c r="C160" s="9">
        <v>0</v>
      </c>
      <c r="D160" s="9">
        <f>C155-C160-C161-C162-C163</f>
        <v>0</v>
      </c>
      <c r="E160" s="8"/>
      <c r="F160" s="17"/>
      <c r="G160" s="39"/>
      <c r="H160" s="29"/>
      <c r="I160" s="1"/>
      <c r="J160" s="2"/>
      <c r="K160" s="2" t="s">
        <v>7</v>
      </c>
      <c r="L160" s="2" t="s">
        <v>8</v>
      </c>
      <c r="M160" s="2" t="s">
        <v>9</v>
      </c>
      <c r="N160" s="2" t="s">
        <v>10</v>
      </c>
      <c r="O160" s="2" t="s">
        <v>11</v>
      </c>
      <c r="P160" s="4"/>
      <c r="Q160" s="3" t="s">
        <v>44</v>
      </c>
      <c r="R160" s="58">
        <f>W129-V165</f>
        <v>7393376</v>
      </c>
      <c r="S160" s="63">
        <f>W129-W165</f>
        <v>0</v>
      </c>
      <c r="T160" s="105"/>
      <c r="U160" s="3"/>
      <c r="V160" s="58"/>
      <c r="W160" s="63"/>
    </row>
    <row r="161" spans="1:23" x14ac:dyDescent="0.25">
      <c r="A161" s="120"/>
      <c r="B161" s="8" t="s">
        <v>19</v>
      </c>
      <c r="C161" s="9">
        <v>0</v>
      </c>
      <c r="D161" s="9"/>
      <c r="E161" s="8"/>
      <c r="F161" s="8"/>
      <c r="G161" s="39"/>
      <c r="H161" s="29"/>
      <c r="I161" s="1"/>
      <c r="J161" s="2" t="s">
        <v>16</v>
      </c>
      <c r="K161" s="2">
        <v>0</v>
      </c>
      <c r="L161" s="108">
        <v>0</v>
      </c>
      <c r="M161" s="115">
        <v>0</v>
      </c>
      <c r="N161" s="2">
        <f>C160+N125-M161</f>
        <v>445549</v>
      </c>
      <c r="O161" s="2">
        <f>O148</f>
        <v>5</v>
      </c>
      <c r="P161" s="4"/>
      <c r="Q161" s="6"/>
      <c r="R161" s="64"/>
      <c r="S161" s="86"/>
      <c r="T161" s="64"/>
      <c r="U161" s="55"/>
      <c r="V161" s="87"/>
      <c r="W161" s="105"/>
    </row>
    <row r="162" spans="1:23" x14ac:dyDescent="0.25">
      <c r="A162" s="120"/>
      <c r="B162" s="8" t="s">
        <v>22</v>
      </c>
      <c r="C162" s="9">
        <v>0</v>
      </c>
      <c r="D162" s="9"/>
      <c r="E162" s="8"/>
      <c r="F162" s="8"/>
      <c r="G162" s="39"/>
      <c r="H162" s="29"/>
      <c r="I162" s="1"/>
      <c r="J162" s="2" t="s">
        <v>19</v>
      </c>
      <c r="K162" s="2">
        <v>0</v>
      </c>
      <c r="L162" s="108">
        <v>0</v>
      </c>
      <c r="M162" s="115">
        <v>0</v>
      </c>
      <c r="N162" s="2">
        <f>C161+N126-M162</f>
        <v>485805</v>
      </c>
      <c r="O162" s="2">
        <f>O149</f>
        <v>6</v>
      </c>
      <c r="P162" s="4"/>
      <c r="Q162" s="3" t="s">
        <v>45</v>
      </c>
      <c r="R162" s="58">
        <f>D149+D150+D151+D152</f>
        <v>0</v>
      </c>
      <c r="S162" s="63">
        <f>D149+D150+D151+D152</f>
        <v>0</v>
      </c>
      <c r="T162" s="105"/>
      <c r="U162" s="132" t="s">
        <v>46</v>
      </c>
      <c r="V162" s="132"/>
      <c r="W162" s="63"/>
    </row>
    <row r="163" spans="1:23" x14ac:dyDescent="0.25">
      <c r="A163" s="120"/>
      <c r="B163" s="8" t="s">
        <v>24</v>
      </c>
      <c r="C163" s="9">
        <v>0</v>
      </c>
      <c r="D163" s="9"/>
      <c r="E163" s="8"/>
      <c r="F163" s="8"/>
      <c r="G163" s="39"/>
      <c r="H163" s="29"/>
      <c r="I163" s="1"/>
      <c r="J163" s="2" t="s">
        <v>22</v>
      </c>
      <c r="K163" s="2">
        <v>0</v>
      </c>
      <c r="L163" s="108">
        <v>0</v>
      </c>
      <c r="M163" s="115">
        <v>0</v>
      </c>
      <c r="N163" s="2">
        <f>C162+N127-M163</f>
        <v>455728</v>
      </c>
      <c r="O163" s="2">
        <f>O150</f>
        <v>5</v>
      </c>
      <c r="P163" s="4"/>
      <c r="Q163" s="3" t="s">
        <v>47</v>
      </c>
      <c r="R163" s="58">
        <f>C160*0.4+C161*0.1+C162*0.4+C163*0.5</f>
        <v>0</v>
      </c>
      <c r="S163" s="63">
        <f>C160*0.4+C161*0.1+C162*0.4+C163*0.5</f>
        <v>0</v>
      </c>
      <c r="T163" s="105"/>
      <c r="U163" s="3" t="s">
        <v>48</v>
      </c>
      <c r="V163" s="58">
        <f>V159</f>
        <v>0</v>
      </c>
      <c r="W163" s="63">
        <f>W159</f>
        <v>0</v>
      </c>
    </row>
    <row r="164" spans="1:23" x14ac:dyDescent="0.25">
      <c r="A164" s="120"/>
      <c r="B164" s="11" t="s">
        <v>51</v>
      </c>
      <c r="C164" s="8"/>
      <c r="D164" s="8"/>
      <c r="E164" s="8"/>
      <c r="F164" s="8"/>
      <c r="G164" s="39"/>
      <c r="H164" s="29"/>
      <c r="I164" s="1"/>
      <c r="J164" s="2" t="s">
        <v>24</v>
      </c>
      <c r="K164" s="2">
        <v>0</v>
      </c>
      <c r="L164" s="108">
        <v>0</v>
      </c>
      <c r="M164" s="115">
        <v>0</v>
      </c>
      <c r="N164" s="2">
        <f>C163+N128-M164</f>
        <v>461262</v>
      </c>
      <c r="O164" s="2">
        <f>O151</f>
        <v>6</v>
      </c>
      <c r="P164" s="4"/>
      <c r="Q164" s="3" t="s">
        <v>49</v>
      </c>
      <c r="R164" s="58">
        <f>B166*0.4+C166*0.7+D166*0.8+B168*0.4+C168*0.4+D168*0.5+B170*0.7+C170*0.4+D170*0.4+B172*0.8+C172*0.5+D172*0.4</f>
        <v>0</v>
      </c>
      <c r="S164" s="63">
        <f>B166*0.4+C166*0.7+D166*0.8+B168*0.4+C168*0.4+D168*0.5+B170*0.7+C170*0.4+D170*0.4+B172*0.8+C172*0.5+D172*0.4</f>
        <v>0</v>
      </c>
      <c r="T164" s="105"/>
      <c r="U164" s="3" t="s">
        <v>50</v>
      </c>
      <c r="V164" s="58">
        <f>N154*((V153+W128)/(G148+G149+N131))</f>
        <v>11231161.790959824</v>
      </c>
      <c r="W164" s="63">
        <f>N167*((W153+W128)/(G148+G149+N118))</f>
        <v>11231161.790959824</v>
      </c>
    </row>
    <row r="165" spans="1:23" x14ac:dyDescent="0.25">
      <c r="A165" s="120"/>
      <c r="B165" s="8" t="s">
        <v>53</v>
      </c>
      <c r="C165" s="8" t="s">
        <v>54</v>
      </c>
      <c r="D165" s="8" t="s">
        <v>55</v>
      </c>
      <c r="E165" s="8"/>
      <c r="F165" s="9"/>
      <c r="G165" s="39"/>
      <c r="H165" s="29"/>
      <c r="I165" s="1"/>
      <c r="J165" s="27"/>
      <c r="K165" s="2"/>
      <c r="L165" s="108"/>
      <c r="M165" s="2"/>
      <c r="N165" s="2"/>
      <c r="O165" s="2"/>
      <c r="P165" s="4"/>
      <c r="Q165" s="6"/>
      <c r="R165" s="64"/>
      <c r="S165" s="86"/>
      <c r="T165" s="105"/>
      <c r="U165" s="3" t="s">
        <v>52</v>
      </c>
      <c r="V165" s="58">
        <f>4*M154</f>
        <v>0</v>
      </c>
      <c r="W165" s="63">
        <f>4*M167</f>
        <v>7393376</v>
      </c>
    </row>
    <row r="166" spans="1:23" x14ac:dyDescent="0.25">
      <c r="A166" s="120"/>
      <c r="B166" s="9">
        <v>0</v>
      </c>
      <c r="C166" s="9">
        <v>0</v>
      </c>
      <c r="D166" s="9">
        <v>0</v>
      </c>
      <c r="E166" s="8"/>
      <c r="F166" s="8"/>
      <c r="G166" s="39"/>
      <c r="H166" s="29"/>
      <c r="I166" s="1"/>
      <c r="J166" s="109" t="s">
        <v>94</v>
      </c>
      <c r="K166" s="110" t="s">
        <v>95</v>
      </c>
      <c r="L166" s="111" t="s">
        <v>96</v>
      </c>
      <c r="M166" s="112" t="s">
        <v>97</v>
      </c>
      <c r="N166" s="112" t="s">
        <v>98</v>
      </c>
      <c r="O166" s="112" t="s">
        <v>99</v>
      </c>
      <c r="P166" s="4"/>
      <c r="Q166" s="3" t="s">
        <v>56</v>
      </c>
      <c r="R166" s="58">
        <f>(C176+C177+C178+C180+C179)*500</f>
        <v>0</v>
      </c>
      <c r="S166" s="63">
        <f>(C176+C177+C178+C180+C179)*500</f>
        <v>0</v>
      </c>
      <c r="T166" s="105"/>
      <c r="U166" s="3" t="s">
        <v>57</v>
      </c>
      <c r="V166" s="58">
        <f>G150*500000+V130-R159</f>
        <v>5480353.125</v>
      </c>
      <c r="W166" s="63">
        <f>G150*500000+W130-R159</f>
        <v>5480353.125</v>
      </c>
    </row>
    <row r="167" spans="1:23" x14ac:dyDescent="0.25">
      <c r="A167" s="120"/>
      <c r="B167" s="8" t="s">
        <v>60</v>
      </c>
      <c r="C167" s="8" t="s">
        <v>54</v>
      </c>
      <c r="D167" s="8" t="s">
        <v>61</v>
      </c>
      <c r="E167" s="8"/>
      <c r="F167" s="8"/>
      <c r="G167" s="39"/>
      <c r="H167" s="29"/>
      <c r="I167" s="1"/>
      <c r="J167" s="2">
        <f>K161+K162+K163+K164</f>
        <v>0</v>
      </c>
      <c r="K167" s="115">
        <f>L161+L162+L163+L164</f>
        <v>0</v>
      </c>
      <c r="L167" s="113">
        <f>M161+M162+M163+M164</f>
        <v>0</v>
      </c>
      <c r="M167" s="2">
        <f>N161+N162+N163+N164</f>
        <v>1848344</v>
      </c>
      <c r="N167" s="2">
        <f>G148+G149+N131-K167*1.35</f>
        <v>4521825</v>
      </c>
      <c r="O167" s="108">
        <f>(L161+L162+L163+L164)/4</f>
        <v>0</v>
      </c>
      <c r="P167" s="4"/>
      <c r="Q167" s="3" t="s">
        <v>58</v>
      </c>
      <c r="R167" s="63">
        <f>(C176+C177+C178+C179+C180)*1000</f>
        <v>0</v>
      </c>
      <c r="S167" s="63">
        <f>(C176+C177+C178+C179+C180)*1000</f>
        <v>0</v>
      </c>
      <c r="T167" s="105"/>
      <c r="U167" s="3" t="s">
        <v>59</v>
      </c>
      <c r="V167" s="58">
        <f>V166+V165+V164+V163</f>
        <v>16711514.915959824</v>
      </c>
      <c r="W167" s="63">
        <f>W166+W165+W164+W163</f>
        <v>24104890.915959824</v>
      </c>
    </row>
    <row r="168" spans="1:23" x14ac:dyDescent="0.25">
      <c r="A168" s="120"/>
      <c r="B168" s="9">
        <v>0</v>
      </c>
      <c r="C168" s="9">
        <v>0</v>
      </c>
      <c r="D168" s="9">
        <v>0</v>
      </c>
      <c r="E168" s="8"/>
      <c r="F168" s="8"/>
      <c r="G168" s="39"/>
      <c r="H168" s="29"/>
      <c r="I168" s="1"/>
      <c r="J168" s="110" t="s">
        <v>100</v>
      </c>
      <c r="K168" s="110" t="s">
        <v>101</v>
      </c>
      <c r="L168" s="112" t="s">
        <v>102</v>
      </c>
      <c r="M168" s="112" t="s">
        <v>103</v>
      </c>
      <c r="N168" s="112" t="s">
        <v>104</v>
      </c>
      <c r="O168" s="112" t="s">
        <v>105</v>
      </c>
      <c r="P168" s="4"/>
      <c r="Q168" s="3" t="s">
        <v>62</v>
      </c>
      <c r="R168" s="63">
        <f>(C176+C177+C178+C179)*4500+C180*3750+(O112+O113+O114+O115-D176-D177-D178-D179)*9000+(N120-D180)*7500</f>
        <v>468000</v>
      </c>
      <c r="S168" s="63">
        <f>(C176+C177+C178+C179)*4500+C180*3750+(O112+O113+O114+O115-D176-D177-D178-D179)*9000+(N120-D180)*7500</f>
        <v>468000</v>
      </c>
      <c r="T168" s="105"/>
      <c r="U168" s="3" t="s">
        <v>63</v>
      </c>
      <c r="V168" s="58">
        <f>G155+W134-G156</f>
        <v>19090479.073328111</v>
      </c>
      <c r="W168" s="63">
        <f>G155+W134-G156</f>
        <v>19090479.073328111</v>
      </c>
    </row>
    <row r="169" spans="1:23" x14ac:dyDescent="0.25">
      <c r="A169" s="120"/>
      <c r="B169" s="8" t="s">
        <v>66</v>
      </c>
      <c r="C169" s="8" t="s">
        <v>67</v>
      </c>
      <c r="D169" s="8" t="s">
        <v>68</v>
      </c>
      <c r="E169" s="8"/>
      <c r="F169" s="8"/>
      <c r="G169" s="39"/>
      <c r="H169" s="29"/>
      <c r="I169" s="1"/>
      <c r="J169" s="115">
        <v>0</v>
      </c>
      <c r="K169" s="115">
        <v>0</v>
      </c>
      <c r="L169" s="2">
        <f>L156</f>
        <v>12</v>
      </c>
      <c r="M169" s="2">
        <f>N169+O161+O162+O163+O164</f>
        <v>58</v>
      </c>
      <c r="N169" s="2">
        <f>N156</f>
        <v>36</v>
      </c>
      <c r="O169" s="2">
        <f>O164+O163+O162+O161</f>
        <v>22</v>
      </c>
      <c r="P169" s="4"/>
      <c r="Q169" s="3" t="s">
        <v>64</v>
      </c>
      <c r="R169" s="63">
        <f>(D176+D177+D178+D179)*6000+D180*5000</f>
        <v>0</v>
      </c>
      <c r="S169" s="63">
        <f>(D176+D177+D178+D179)*6000+D180*5000</f>
        <v>0</v>
      </c>
      <c r="T169" s="105"/>
      <c r="U169" s="3" t="s">
        <v>65</v>
      </c>
      <c r="V169" s="35">
        <f>IF(2*J173=2*1,V148/2-(V158+W123),"0")</f>
        <v>1996669.4009240626</v>
      </c>
      <c r="W169" s="63">
        <f>IF(2*K173=2*1,W148/2-(W158+W123),"0")</f>
        <v>2920841.4009240628</v>
      </c>
    </row>
    <row r="170" spans="1:23" x14ac:dyDescent="0.25">
      <c r="A170" s="120"/>
      <c r="B170" s="9">
        <v>0</v>
      </c>
      <c r="C170" s="9">
        <v>0</v>
      </c>
      <c r="D170" s="9">
        <v>0</v>
      </c>
      <c r="E170" s="8"/>
      <c r="F170" s="8"/>
      <c r="G170" s="39"/>
      <c r="H170" s="29"/>
      <c r="I170" s="1"/>
      <c r="J170" s="7"/>
      <c r="K170" s="5"/>
      <c r="L170" s="5"/>
      <c r="M170" s="5"/>
      <c r="P170" s="4"/>
      <c r="Q170" s="3" t="s">
        <v>69</v>
      </c>
      <c r="R170" s="63">
        <f>W128*10%</f>
        <v>1123116.1790959823</v>
      </c>
      <c r="S170" s="63">
        <f>W128*10%</f>
        <v>1123116.1790959823</v>
      </c>
      <c r="T170" s="105"/>
      <c r="U170" s="3" t="s">
        <v>70</v>
      </c>
      <c r="V170" s="58">
        <f>V168+V169</f>
        <v>21087148.474252176</v>
      </c>
      <c r="W170" s="63">
        <f>W169+W168</f>
        <v>22011320.474252176</v>
      </c>
    </row>
    <row r="171" spans="1:23" x14ac:dyDescent="0.25">
      <c r="A171" s="120"/>
      <c r="B171" s="8" t="s">
        <v>73</v>
      </c>
      <c r="C171" s="8" t="s">
        <v>74</v>
      </c>
      <c r="D171" s="8" t="s">
        <v>75</v>
      </c>
      <c r="E171" s="8"/>
      <c r="F171" s="8"/>
      <c r="G171" s="39"/>
      <c r="H171" s="29"/>
      <c r="I171" s="1"/>
      <c r="J171" s="22"/>
      <c r="K171" s="22"/>
      <c r="P171" s="4"/>
      <c r="Q171" s="3" t="s">
        <v>71</v>
      </c>
      <c r="R171" s="58">
        <f>0.5*M154</f>
        <v>0</v>
      </c>
      <c r="S171" s="63">
        <f>0.5*M167</f>
        <v>924172</v>
      </c>
      <c r="T171" s="105"/>
      <c r="U171" s="3" t="s">
        <v>72</v>
      </c>
      <c r="V171" s="58">
        <f>V167-V170</f>
        <v>-4375633.5582923517</v>
      </c>
      <c r="W171" s="63">
        <f>W167-W170</f>
        <v>2093570.4417076483</v>
      </c>
    </row>
    <row r="172" spans="1:23" x14ac:dyDescent="0.25">
      <c r="A172" s="120"/>
      <c r="B172" s="9">
        <v>0</v>
      </c>
      <c r="C172" s="9">
        <v>0</v>
      </c>
      <c r="D172" s="9">
        <v>0</v>
      </c>
      <c r="E172" s="8"/>
      <c r="F172" s="8"/>
      <c r="G172" s="39"/>
      <c r="H172" s="29"/>
      <c r="I172" s="24"/>
      <c r="J172" s="28" t="s">
        <v>114</v>
      </c>
      <c r="K172" s="28" t="s">
        <v>115</v>
      </c>
      <c r="P172" s="4"/>
      <c r="Q172" s="6"/>
      <c r="R172" s="64"/>
      <c r="S172" s="86"/>
      <c r="T172" s="64"/>
      <c r="U172" s="4"/>
      <c r="V172" s="64"/>
      <c r="W172" s="105"/>
    </row>
    <row r="173" spans="1:23" x14ac:dyDescent="0.25">
      <c r="A173" s="120"/>
      <c r="B173" s="8"/>
      <c r="C173" s="8"/>
      <c r="D173" s="8"/>
      <c r="E173" s="8"/>
      <c r="F173" s="8"/>
      <c r="G173" s="39"/>
      <c r="H173" s="29"/>
      <c r="I173" s="24"/>
      <c r="J173" s="27" t="str">
        <f>IF((W123+V158)&lt;=V148/2,"1","0")</f>
        <v>1</v>
      </c>
      <c r="K173" s="27" t="str">
        <f>IF((W123+W158)&lt;=W148/2,"1","0")</f>
        <v>1</v>
      </c>
      <c r="P173" s="4"/>
      <c r="Q173" s="3" t="s">
        <v>76</v>
      </c>
      <c r="R173" s="58">
        <f>V168*M1/4+W133*M1/4*3</f>
        <v>261553.22182808025</v>
      </c>
      <c r="S173" s="63">
        <f>W168*M1/4+W133*M1/4*3</f>
        <v>261553.22182808025</v>
      </c>
      <c r="T173" s="64"/>
      <c r="U173" s="4"/>
      <c r="V173" s="64"/>
      <c r="W173" s="105"/>
    </row>
    <row r="174" spans="1:23" x14ac:dyDescent="0.25">
      <c r="A174" s="120"/>
      <c r="B174" s="18" t="s">
        <v>126</v>
      </c>
      <c r="C174" s="8"/>
      <c r="D174" s="8"/>
      <c r="E174" s="8"/>
      <c r="F174" s="8"/>
      <c r="G174" s="39"/>
      <c r="H174" s="29"/>
      <c r="I174" s="24"/>
      <c r="J174" s="26" t="s">
        <v>117</v>
      </c>
      <c r="K174" s="27"/>
      <c r="P174" s="4"/>
      <c r="Q174" s="6"/>
      <c r="R174" s="64"/>
      <c r="S174" s="86"/>
      <c r="T174" s="64"/>
      <c r="U174" s="4"/>
      <c r="V174" s="64"/>
      <c r="W174" s="105"/>
    </row>
    <row r="175" spans="1:23" x14ac:dyDescent="0.25">
      <c r="A175" s="120"/>
      <c r="B175" s="8"/>
      <c r="C175" s="8" t="s">
        <v>78</v>
      </c>
      <c r="D175" s="8" t="s">
        <v>79</v>
      </c>
      <c r="E175" s="8"/>
      <c r="F175" s="8"/>
      <c r="G175" s="39"/>
      <c r="H175" s="29"/>
      <c r="I175" s="24"/>
      <c r="J175" s="27">
        <f>N131+G149-H148</f>
        <v>4521825</v>
      </c>
      <c r="K175" s="27"/>
      <c r="P175" s="4"/>
      <c r="Q175" s="3" t="s">
        <v>77</v>
      </c>
      <c r="R175" s="67">
        <f>(R149/(1+E1))*E1</f>
        <v>0</v>
      </c>
      <c r="S175" s="63">
        <f>S149/(1+E1)*E1</f>
        <v>0</v>
      </c>
      <c r="T175" s="64"/>
      <c r="U175" s="4"/>
      <c r="V175" s="64"/>
      <c r="W175" s="105"/>
    </row>
    <row r="176" spans="1:23" x14ac:dyDescent="0.25">
      <c r="A176" s="120"/>
      <c r="B176" s="8" t="s">
        <v>16</v>
      </c>
      <c r="C176" s="9">
        <v>0</v>
      </c>
      <c r="D176" s="9">
        <v>0</v>
      </c>
      <c r="E176" s="8"/>
      <c r="F176" s="8"/>
      <c r="G176" s="39"/>
      <c r="H176" s="29"/>
      <c r="I176" s="24"/>
      <c r="P176" s="4"/>
      <c r="Q176" s="3" t="s">
        <v>80</v>
      </c>
      <c r="R176" s="63">
        <f>R175*G1</f>
        <v>0</v>
      </c>
      <c r="S176" s="63">
        <f>S175*G1</f>
        <v>0</v>
      </c>
      <c r="T176" s="64"/>
      <c r="U176" s="4"/>
      <c r="V176" s="64"/>
      <c r="W176" s="105"/>
    </row>
    <row r="177" spans="1:23" x14ac:dyDescent="0.25">
      <c r="A177" s="120"/>
      <c r="B177" s="8" t="s">
        <v>19</v>
      </c>
      <c r="C177" s="9">
        <v>0</v>
      </c>
      <c r="D177" s="9">
        <v>0</v>
      </c>
      <c r="E177" s="8"/>
      <c r="F177" s="8"/>
      <c r="G177" s="39"/>
      <c r="H177" s="29"/>
      <c r="I177" s="24"/>
      <c r="P177" s="4"/>
      <c r="Q177" s="3" t="s">
        <v>81</v>
      </c>
      <c r="R177" s="63">
        <f>(R149/(1+E1)-(R162+R163+R173+R171+R170+R169+R168+R167+R151+R153+R152+R154+R155+R156+R157+R158+R159+R160+R166)-R176)*K1</f>
        <v>-2382641.5689810156</v>
      </c>
      <c r="S177" s="63">
        <f>(S149/(1+E1)-(S151+S152+S153+S154+S155+S156+S157+S158+S159+S160+S162+S163+S164+S166+S167+S168+S169+S170+S171+S173)-S176)*K1</f>
        <v>-765340.56898101571</v>
      </c>
      <c r="T177" s="64"/>
      <c r="U177" s="4"/>
      <c r="V177" s="64"/>
      <c r="W177" s="105"/>
    </row>
    <row r="178" spans="1:23" x14ac:dyDescent="0.25">
      <c r="A178" s="120"/>
      <c r="B178" s="8" t="s">
        <v>22</v>
      </c>
      <c r="C178" s="9">
        <v>0</v>
      </c>
      <c r="D178" s="9">
        <v>0</v>
      </c>
      <c r="E178" s="8"/>
      <c r="F178" s="8"/>
      <c r="G178" s="39"/>
      <c r="H178" s="29"/>
      <c r="I178" s="24"/>
      <c r="P178" s="4"/>
      <c r="Q178" s="3"/>
      <c r="R178" s="63" t="str">
        <f>IF(R177&lt;=0,"0",R177)</f>
        <v>0</v>
      </c>
      <c r="S178" s="63" t="str">
        <f>IF(S177&lt;=0,"0",S177)</f>
        <v>0</v>
      </c>
      <c r="T178" s="64"/>
      <c r="U178" s="4"/>
      <c r="V178" s="64"/>
      <c r="W178" s="105"/>
    </row>
    <row r="179" spans="1:23" x14ac:dyDescent="0.25">
      <c r="A179" s="120"/>
      <c r="B179" s="8" t="s">
        <v>24</v>
      </c>
      <c r="C179" s="9">
        <v>0</v>
      </c>
      <c r="D179" s="9">
        <v>0</v>
      </c>
      <c r="E179" s="8"/>
      <c r="F179" s="8"/>
      <c r="G179" s="39"/>
      <c r="H179" s="29"/>
      <c r="I179" s="24"/>
      <c r="P179" s="4"/>
      <c r="Q179" s="3" t="s">
        <v>82</v>
      </c>
      <c r="R179" s="63">
        <f>R151+R155+R158+R166+R167+R168+R152+R153+R154+R156+R157+R159+R160+R162+R163+R164+R169+R170+R171+R173+R175+R176+R178</f>
        <v>9530566.2759240624</v>
      </c>
      <c r="S179" s="63">
        <f>S151+S155+S158+S166+S167+S168+S152+S153+S154+S156+S157+S159+S160+S162+S163+S164+S169+S170+S171+S173+S175+S176+S178</f>
        <v>3061362.2759240628</v>
      </c>
      <c r="T179" s="64"/>
      <c r="U179" s="4"/>
      <c r="V179" s="64"/>
      <c r="W179" s="105"/>
    </row>
    <row r="180" spans="1:23" x14ac:dyDescent="0.25">
      <c r="A180" s="120"/>
      <c r="B180" s="8" t="s">
        <v>83</v>
      </c>
      <c r="C180" s="9">
        <v>0</v>
      </c>
      <c r="D180" s="9">
        <v>0</v>
      </c>
      <c r="E180" s="8"/>
      <c r="F180" s="8"/>
      <c r="G180" s="39"/>
      <c r="H180" s="29"/>
      <c r="I180" s="24"/>
      <c r="P180" s="4"/>
      <c r="Q180" s="59"/>
      <c r="R180" s="74"/>
      <c r="S180" s="90"/>
      <c r="T180" s="64"/>
      <c r="U180" s="4"/>
      <c r="V180" s="64"/>
      <c r="W180" s="105"/>
    </row>
    <row r="181" spans="1:23" ht="14.4" thickBot="1" x14ac:dyDescent="0.3">
      <c r="A181" s="121"/>
      <c r="B181" s="8"/>
      <c r="C181" s="9"/>
      <c r="D181" s="8"/>
      <c r="E181" s="8"/>
      <c r="F181" s="8"/>
      <c r="G181" s="39"/>
      <c r="H181" s="29"/>
      <c r="I181" s="25"/>
      <c r="P181" s="4"/>
      <c r="Q181" s="3" t="s">
        <v>84</v>
      </c>
      <c r="R181" s="58">
        <f>R149-R179</f>
        <v>-9530566.2759240624</v>
      </c>
      <c r="S181" s="63">
        <f>S149-S179</f>
        <v>-3061362.2759240628</v>
      </c>
      <c r="T181" s="116"/>
      <c r="U181" s="4"/>
      <c r="V181" s="64"/>
      <c r="W181" s="105"/>
    </row>
    <row r="182" spans="1:23" ht="15" thickTop="1" thickBot="1" x14ac:dyDescent="0.3">
      <c r="A182" s="119" t="s">
        <v>89</v>
      </c>
      <c r="B182" s="122" t="s">
        <v>3</v>
      </c>
      <c r="C182" s="123"/>
      <c r="D182" s="123"/>
      <c r="E182" s="123"/>
      <c r="F182" s="123"/>
      <c r="G182" s="123"/>
      <c r="H182" s="29"/>
      <c r="I182" s="1"/>
      <c r="J182" s="118" t="s">
        <v>112</v>
      </c>
      <c r="K182" s="118"/>
      <c r="L182" s="118"/>
      <c r="M182" s="118"/>
      <c r="N182" s="118"/>
      <c r="O182" s="118"/>
      <c r="P182" s="4"/>
      <c r="Q182" s="131" t="s">
        <v>1</v>
      </c>
      <c r="R182" s="130"/>
      <c r="S182" s="100" t="s">
        <v>111</v>
      </c>
      <c r="T182" s="105"/>
      <c r="U182" s="132" t="s">
        <v>2</v>
      </c>
      <c r="V182" s="132"/>
      <c r="W182" s="21" t="s">
        <v>111</v>
      </c>
    </row>
    <row r="183" spans="1:23" ht="14.4" thickTop="1" x14ac:dyDescent="0.25">
      <c r="A183" s="120"/>
      <c r="B183" s="18" t="s">
        <v>121</v>
      </c>
      <c r="C183" s="8"/>
      <c r="D183" s="8"/>
      <c r="E183" s="8"/>
      <c r="F183" s="18" t="s">
        <v>122</v>
      </c>
      <c r="G183" s="39"/>
      <c r="H183" s="45"/>
      <c r="I183" s="1"/>
      <c r="J183" s="2"/>
      <c r="K183" s="2" t="s">
        <v>7</v>
      </c>
      <c r="L183" s="2" t="s">
        <v>8</v>
      </c>
      <c r="M183" s="2" t="s">
        <v>9</v>
      </c>
      <c r="N183" s="2" t="s">
        <v>10</v>
      </c>
      <c r="O183" s="2" t="s">
        <v>11</v>
      </c>
      <c r="P183" s="4"/>
      <c r="Q183" s="3" t="s">
        <v>5</v>
      </c>
      <c r="R183" s="66" t="s">
        <v>6</v>
      </c>
      <c r="S183" s="97" t="s">
        <v>6</v>
      </c>
      <c r="T183" s="105"/>
      <c r="U183" s="3" t="s">
        <v>5</v>
      </c>
      <c r="V183" s="56" t="s">
        <v>6</v>
      </c>
      <c r="W183" s="56" t="s">
        <v>6</v>
      </c>
    </row>
    <row r="184" spans="1:23" x14ac:dyDescent="0.25">
      <c r="A184" s="120"/>
      <c r="B184" s="8"/>
      <c r="C184" s="8" t="s">
        <v>13</v>
      </c>
      <c r="D184" s="8" t="s">
        <v>14</v>
      </c>
      <c r="E184" s="8"/>
      <c r="F184" s="8" t="s">
        <v>15</v>
      </c>
      <c r="G184" s="40">
        <v>0</v>
      </c>
      <c r="H184" s="46"/>
      <c r="I184" s="1"/>
      <c r="J184" s="2" t="s">
        <v>16</v>
      </c>
      <c r="K184" s="2"/>
      <c r="L184" s="108"/>
      <c r="M184" s="2">
        <f>C196</f>
        <v>0</v>
      </c>
      <c r="N184" s="2">
        <f>C196-M184</f>
        <v>0</v>
      </c>
      <c r="O184" s="2">
        <f>O148+C212-D212</f>
        <v>5</v>
      </c>
      <c r="P184" s="4"/>
      <c r="Q184" s="59"/>
      <c r="R184" s="74"/>
      <c r="S184" s="90"/>
      <c r="T184" s="105"/>
      <c r="U184" s="3" t="s">
        <v>12</v>
      </c>
      <c r="V184" s="58">
        <f>R185</f>
        <v>0</v>
      </c>
      <c r="W184" s="63">
        <f>S185</f>
        <v>0</v>
      </c>
    </row>
    <row r="185" spans="1:23" x14ac:dyDescent="0.25">
      <c r="A185" s="120"/>
      <c r="B185" s="8" t="s">
        <v>16</v>
      </c>
      <c r="C185" s="9">
        <v>0</v>
      </c>
      <c r="D185" s="9">
        <v>0</v>
      </c>
      <c r="E185" s="8"/>
      <c r="F185" s="8" t="s">
        <v>18</v>
      </c>
      <c r="G185" s="40">
        <v>0</v>
      </c>
      <c r="H185" s="46"/>
      <c r="I185" s="1"/>
      <c r="J185" s="2" t="s">
        <v>19</v>
      </c>
      <c r="K185" s="2"/>
      <c r="L185" s="108"/>
      <c r="M185" s="2">
        <f>C197</f>
        <v>0</v>
      </c>
      <c r="N185" s="2">
        <f>C197-M185</f>
        <v>0</v>
      </c>
      <c r="O185" s="2">
        <f>O149+C213-D213</f>
        <v>6</v>
      </c>
      <c r="P185" s="4"/>
      <c r="Q185" s="3" t="s">
        <v>12</v>
      </c>
      <c r="R185" s="58">
        <f>C185*(C196+N161)+C186*(C197+N162)+C187*(C198+N163)+C188*(C199+N164)</f>
        <v>0</v>
      </c>
      <c r="S185" s="63">
        <f>C185*M197+M198*C186+C187*M199+M200*C188</f>
        <v>0</v>
      </c>
      <c r="T185" s="105"/>
      <c r="U185" s="3" t="s">
        <v>17</v>
      </c>
      <c r="V185" s="58">
        <f>G191</f>
        <v>0</v>
      </c>
      <c r="W185" s="63">
        <f>G191</f>
        <v>0</v>
      </c>
    </row>
    <row r="186" spans="1:23" x14ac:dyDescent="0.25">
      <c r="A186" s="120"/>
      <c r="B186" s="8" t="s">
        <v>19</v>
      </c>
      <c r="C186" s="9">
        <v>0</v>
      </c>
      <c r="D186" s="9">
        <v>0</v>
      </c>
      <c r="E186" s="8"/>
      <c r="F186" s="8" t="s">
        <v>21</v>
      </c>
      <c r="G186" s="40">
        <v>0</v>
      </c>
      <c r="H186" s="46"/>
      <c r="I186" s="1"/>
      <c r="J186" s="2" t="s">
        <v>22</v>
      </c>
      <c r="K186" s="2"/>
      <c r="L186" s="108"/>
      <c r="M186" s="2">
        <f>C198</f>
        <v>0</v>
      </c>
      <c r="N186" s="2">
        <f>C198-M186</f>
        <v>0</v>
      </c>
      <c r="O186" s="2">
        <f>C214+O150-D214</f>
        <v>5</v>
      </c>
      <c r="P186" s="4"/>
      <c r="Q186" s="59"/>
      <c r="R186" s="74"/>
      <c r="S186" s="90"/>
      <c r="T186" s="105"/>
      <c r="U186" s="3" t="s">
        <v>20</v>
      </c>
      <c r="V186" s="58">
        <f>V185+V184</f>
        <v>0</v>
      </c>
      <c r="W186" s="63">
        <f>W185+W184</f>
        <v>0</v>
      </c>
    </row>
    <row r="187" spans="1:23" x14ac:dyDescent="0.25">
      <c r="A187" s="120"/>
      <c r="B187" s="8" t="s">
        <v>22</v>
      </c>
      <c r="C187" s="9">
        <v>0</v>
      </c>
      <c r="D187" s="9">
        <v>0</v>
      </c>
      <c r="E187" s="8"/>
      <c r="F187" s="8"/>
      <c r="G187" s="39"/>
      <c r="H187" s="29"/>
      <c r="I187" s="1"/>
      <c r="J187" s="2" t="s">
        <v>24</v>
      </c>
      <c r="K187" s="2"/>
      <c r="L187" s="108"/>
      <c r="M187" s="2">
        <f>C199</f>
        <v>0</v>
      </c>
      <c r="N187" s="2">
        <f>C199-M187</f>
        <v>0</v>
      </c>
      <c r="O187" s="2">
        <f>O151+C215-D215</f>
        <v>6</v>
      </c>
      <c r="P187" s="4"/>
      <c r="Q187" s="3" t="s">
        <v>23</v>
      </c>
      <c r="R187" s="58">
        <f>C192</f>
        <v>0</v>
      </c>
      <c r="S187" s="63">
        <f>C192</f>
        <v>0</v>
      </c>
      <c r="T187" s="105"/>
      <c r="U187" s="3"/>
      <c r="V187" s="58"/>
      <c r="W187" s="63"/>
    </row>
    <row r="188" spans="1:23" x14ac:dyDescent="0.25">
      <c r="A188" s="120"/>
      <c r="B188" s="8" t="s">
        <v>24</v>
      </c>
      <c r="C188" s="9">
        <v>0</v>
      </c>
      <c r="D188" s="9">
        <v>0</v>
      </c>
      <c r="E188" s="8"/>
      <c r="F188" s="8"/>
      <c r="G188" s="39"/>
      <c r="H188" s="29"/>
      <c r="I188" s="1"/>
      <c r="J188" s="27"/>
      <c r="K188" s="2"/>
      <c r="L188" s="108"/>
      <c r="M188" s="2"/>
      <c r="N188" s="2"/>
      <c r="O188" s="2"/>
      <c r="P188" s="4"/>
      <c r="Q188" s="3" t="s">
        <v>25</v>
      </c>
      <c r="R188" s="58" t="str">
        <f>IF(C191=0,"0",IF(C191/K156&lt;=1.5,"10000",IF(C191/K156&lt;=2.5,"15000","20000")))</f>
        <v>0</v>
      </c>
      <c r="S188" s="63" t="str">
        <f>IF(K203=0,"0",IF(K203/K156&lt;=1.5,"10000",IF(K203/K156&lt;=2.5,"15000","20000")))</f>
        <v>0</v>
      </c>
      <c r="T188" s="105"/>
      <c r="U188" s="3" t="s">
        <v>26</v>
      </c>
      <c r="V188" s="58">
        <f>R187+R188+R189+R191+R192+R193+R194+R198+R199+R200+R202+R203+R204+R205+R206+R207+R209+R211+R212+R214</f>
        <v>1955229.3838385041</v>
      </c>
      <c r="W188" s="63">
        <f>S187+S188+S189+S191+S192+S193+S194+S198+S199+S200+S202+S203+S204+S205+S206+S207+S209+S211+S212+S214</f>
        <v>2967026.6258662264</v>
      </c>
    </row>
    <row r="189" spans="1:23" x14ac:dyDescent="0.25">
      <c r="A189" s="120"/>
      <c r="B189" s="8"/>
      <c r="C189" s="8"/>
      <c r="D189" s="8"/>
      <c r="E189" s="8"/>
      <c r="F189" s="8"/>
      <c r="G189" s="39"/>
      <c r="H189" s="29"/>
      <c r="I189" s="1"/>
      <c r="J189" s="109" t="s">
        <v>94</v>
      </c>
      <c r="K189" s="110" t="s">
        <v>95</v>
      </c>
      <c r="L189" s="111" t="s">
        <v>96</v>
      </c>
      <c r="M189" s="112" t="s">
        <v>97</v>
      </c>
      <c r="N189" s="112" t="s">
        <v>98</v>
      </c>
      <c r="O189" s="112" t="s">
        <v>99</v>
      </c>
      <c r="P189" s="4"/>
      <c r="Q189" s="3" t="s">
        <v>27</v>
      </c>
      <c r="R189" s="58" t="str">
        <f>IF(C191=0,"0",IF(((C191/K156)*8)&lt;=8,C191*1.2,IF(((C191/K156)*8)&lt;=12,K156*1.2+(C191-K156)*1.3,IF(((C191/K156)*8)&lt;=16,K156*1.2+(C191-K156)*1.4,IF(((C191/K156)*8)&lt;=20,K156*1.2+K156*1.4+(C191-2*K156)*1.5,K156*1.2+K156*1.4+(C191-2*K156)*1.6)))))</f>
        <v>0</v>
      </c>
      <c r="S189" s="63" t="str">
        <f>IF(K203=0,"0",IF(((K203/K156)*8)&lt;=8,K203*1.2,IF(((K203/K156)*8)&lt;=12,K156*1.2+(K203-K156)*1.3,IF(((K203/K156)*8)&lt;=16,L156*1.2+(K203-K156)*1.4,IF(((K203/K156)*8)&lt;=20,K156*1.2+K156*1.4+(K203-2*K156)*1.5,K156*1.2+K156*1.4+(K203-2*K156)*1.6)))))</f>
        <v>0</v>
      </c>
      <c r="T189" s="133" t="s">
        <v>120</v>
      </c>
      <c r="U189" s="3" t="s">
        <v>28</v>
      </c>
      <c r="V189" s="58">
        <f>G184*T155+G185*T155</f>
        <v>0</v>
      </c>
      <c r="W189" s="63">
        <f>G184*T155+G185*T155</f>
        <v>0</v>
      </c>
    </row>
    <row r="190" spans="1:23" x14ac:dyDescent="0.25">
      <c r="A190" s="120"/>
      <c r="B190" s="18" t="s">
        <v>124</v>
      </c>
      <c r="C190" s="8"/>
      <c r="D190" s="18" t="s">
        <v>116</v>
      </c>
      <c r="E190" s="8"/>
      <c r="F190" s="18" t="s">
        <v>123</v>
      </c>
      <c r="G190" s="40"/>
      <c r="H190" s="46"/>
      <c r="I190" s="1"/>
      <c r="J190" s="2">
        <f>K184+K185+K186+K187</f>
        <v>0</v>
      </c>
      <c r="K190" s="112">
        <f>C191</f>
        <v>0</v>
      </c>
      <c r="L190" s="113">
        <f>M184+M185+M186+M187</f>
        <v>0</v>
      </c>
      <c r="M190" s="2">
        <f>N184+N185+N186+N187</f>
        <v>0</v>
      </c>
      <c r="N190" s="2">
        <f>G184+G185+N167-C191*1.35</f>
        <v>4521825</v>
      </c>
      <c r="O190" s="108">
        <f>(L184+L185+L186+L187)/4</f>
        <v>0</v>
      </c>
      <c r="P190" s="4"/>
      <c r="Q190" s="84" t="s">
        <v>113</v>
      </c>
      <c r="R190" s="63">
        <f>((V189+W164)/(G184+G185+N154))*C191*1.35-1</f>
        <v>-1</v>
      </c>
      <c r="S190" s="63">
        <f>((W189+W164)/(G184+G185+N167))*K203*1.35-1</f>
        <v>-1</v>
      </c>
      <c r="T190" s="134"/>
      <c r="U190" s="3" t="s">
        <v>30</v>
      </c>
      <c r="V190" s="58">
        <f>G186*500000</f>
        <v>0</v>
      </c>
      <c r="W190" s="63">
        <f>G186*500000</f>
        <v>0</v>
      </c>
    </row>
    <row r="191" spans="1:23" x14ac:dyDescent="0.25">
      <c r="A191" s="120"/>
      <c r="B191" s="8" t="s">
        <v>33</v>
      </c>
      <c r="C191" s="9">
        <f>K169*3</f>
        <v>0</v>
      </c>
      <c r="D191" s="9">
        <f>(N154+G185)/1.35</f>
        <v>3349500</v>
      </c>
      <c r="E191" s="8"/>
      <c r="F191" s="8" t="s">
        <v>17</v>
      </c>
      <c r="G191" s="40">
        <v>0</v>
      </c>
      <c r="H191" s="46"/>
      <c r="I191" s="1"/>
      <c r="J191" s="110" t="s">
        <v>100</v>
      </c>
      <c r="K191" s="110" t="s">
        <v>101</v>
      </c>
      <c r="L191" s="112" t="s">
        <v>102</v>
      </c>
      <c r="M191" s="112" t="s">
        <v>103</v>
      </c>
      <c r="N191" s="112" t="s">
        <v>104</v>
      </c>
      <c r="O191" s="112" t="s">
        <v>105</v>
      </c>
      <c r="P191" s="4"/>
      <c r="Q191" s="3" t="s">
        <v>31</v>
      </c>
      <c r="R191" s="58" t="str">
        <f>IF(G184=0,"0",IF(G184&lt;=500000,"40000",IF(G184&lt;=1000000,"80000",IF(G184&lt;=1500000,"120000",IF(G184&lt;=2000000,"160000","200000")))))</f>
        <v>0</v>
      </c>
      <c r="S191" s="63" t="str">
        <f>IF(G184=0,"0",IF(G184&lt;=500000,"40000",IF(G184&lt;=1000000,"80000",IF(G184&lt;=1500000,"120000",IF(G184&lt;=2000000,"160000","200000")))))</f>
        <v>0</v>
      </c>
      <c r="T191" s="114">
        <v>2.25</v>
      </c>
      <c r="U191" s="3" t="s">
        <v>32</v>
      </c>
      <c r="V191" s="58">
        <f>G192</f>
        <v>0</v>
      </c>
      <c r="W191" s="63">
        <f>G192</f>
        <v>0</v>
      </c>
    </row>
    <row r="192" spans="1:23" x14ac:dyDescent="0.25">
      <c r="A192" s="120"/>
      <c r="B192" s="8" t="s">
        <v>36</v>
      </c>
      <c r="C192" s="9">
        <v>0</v>
      </c>
      <c r="D192" s="8"/>
      <c r="E192" s="8"/>
      <c r="F192" s="8" t="s">
        <v>32</v>
      </c>
      <c r="G192" s="40">
        <v>0</v>
      </c>
      <c r="H192" s="46"/>
      <c r="I192" s="1"/>
      <c r="J192" s="2">
        <f>J169*0.975+G186*50000</f>
        <v>0</v>
      </c>
      <c r="K192" s="2">
        <f>J192</f>
        <v>0</v>
      </c>
      <c r="L192" s="2">
        <f>L156+G186</f>
        <v>12</v>
      </c>
      <c r="M192" s="2">
        <f>N192+O184+O185+O186+O187</f>
        <v>58</v>
      </c>
      <c r="N192" s="2">
        <f>C216+N156-D216</f>
        <v>36</v>
      </c>
      <c r="O192" s="2">
        <f>O187+O186+O185+O184</f>
        <v>22</v>
      </c>
      <c r="P192" s="4"/>
      <c r="Q192" s="3" t="s">
        <v>34</v>
      </c>
      <c r="R192" s="58">
        <f>G185*1</f>
        <v>0</v>
      </c>
      <c r="S192" s="63">
        <f>G185*1</f>
        <v>0</v>
      </c>
      <c r="T192" s="105"/>
      <c r="U192" s="3" t="s">
        <v>35</v>
      </c>
      <c r="V192" s="58">
        <f>G193</f>
        <v>0</v>
      </c>
      <c r="W192" s="63">
        <f>G193</f>
        <v>0</v>
      </c>
    </row>
    <row r="193" spans="1:23" x14ac:dyDescent="0.25">
      <c r="A193" s="120"/>
      <c r="B193" s="8"/>
      <c r="C193" s="8"/>
      <c r="D193" s="8"/>
      <c r="E193" s="8"/>
      <c r="F193" s="8" t="s">
        <v>35</v>
      </c>
      <c r="G193" s="40">
        <v>0</v>
      </c>
      <c r="H193" s="46"/>
      <c r="I193" s="1"/>
      <c r="P193" s="4"/>
      <c r="Q193" s="3" t="s">
        <v>37</v>
      </c>
      <c r="R193" s="58">
        <f>L156*12000</f>
        <v>144000</v>
      </c>
      <c r="S193" s="63">
        <f>L156*12000</f>
        <v>144000</v>
      </c>
      <c r="T193" s="105"/>
      <c r="U193" s="3" t="s">
        <v>38</v>
      </c>
      <c r="V193" s="58">
        <f>V188+V189+V190+V191+V192</f>
        <v>1955229.3838385041</v>
      </c>
      <c r="W193" s="63">
        <f>W192+W191+W190+W189+W188</f>
        <v>2967026.6258662264</v>
      </c>
    </row>
    <row r="194" spans="1:23" x14ac:dyDescent="0.25">
      <c r="A194" s="120"/>
      <c r="B194" s="18" t="s">
        <v>125</v>
      </c>
      <c r="C194" s="8"/>
      <c r="D194" s="8"/>
      <c r="E194" s="8"/>
      <c r="F194" s="8"/>
      <c r="G194" s="39"/>
      <c r="H194" s="29"/>
      <c r="I194" s="1"/>
      <c r="P194" s="4"/>
      <c r="Q194" s="3" t="s">
        <v>39</v>
      </c>
      <c r="R194" s="58">
        <f>G186*100000</f>
        <v>0</v>
      </c>
      <c r="S194" s="63">
        <f>G186*100000</f>
        <v>0</v>
      </c>
      <c r="T194" s="105"/>
      <c r="U194" s="3" t="s">
        <v>40</v>
      </c>
      <c r="V194" s="58">
        <f>V186-V193</f>
        <v>-1955229.3838385041</v>
      </c>
      <c r="W194" s="63">
        <f>W186-W193</f>
        <v>-2967026.6258662264</v>
      </c>
    </row>
    <row r="195" spans="1:23" x14ac:dyDescent="0.25">
      <c r="A195" s="120"/>
      <c r="B195" s="8"/>
      <c r="C195" s="8" t="s">
        <v>43</v>
      </c>
      <c r="D195" s="10"/>
      <c r="E195" s="8"/>
      <c r="F195" s="8"/>
      <c r="G195" s="39"/>
      <c r="H195" s="29"/>
      <c r="I195" s="1"/>
      <c r="J195" s="118" t="s">
        <v>118</v>
      </c>
      <c r="K195" s="118"/>
      <c r="L195" s="118"/>
      <c r="M195" s="118"/>
      <c r="N195" s="118"/>
      <c r="O195" s="118"/>
      <c r="P195" s="4"/>
      <c r="Q195" s="3" t="s">
        <v>41</v>
      </c>
      <c r="R195" s="58">
        <f>V166*2.5%</f>
        <v>137008.828125</v>
      </c>
      <c r="S195" s="63">
        <f>V166*2.5%</f>
        <v>137008.828125</v>
      </c>
      <c r="T195" s="105"/>
      <c r="U195" s="3" t="s">
        <v>42</v>
      </c>
      <c r="V195" s="58">
        <f>IF(2*J209=2*1,(V184/2),(V194+W159))</f>
        <v>0</v>
      </c>
      <c r="W195" s="63">
        <f>IF(2*K209=2*1,(W184/2),(W194+W159))</f>
        <v>0</v>
      </c>
    </row>
    <row r="196" spans="1:23" x14ac:dyDescent="0.25">
      <c r="A196" s="120"/>
      <c r="B196" s="8" t="s">
        <v>16</v>
      </c>
      <c r="C196" s="9">
        <v>0</v>
      </c>
      <c r="D196" s="9">
        <f>C191-C196-C197-C198-C199</f>
        <v>0</v>
      </c>
      <c r="E196" s="8"/>
      <c r="F196" s="17"/>
      <c r="G196" s="39"/>
      <c r="H196" s="29"/>
      <c r="I196" s="1"/>
      <c r="J196" s="2"/>
      <c r="K196" s="2" t="s">
        <v>7</v>
      </c>
      <c r="L196" s="2" t="s">
        <v>8</v>
      </c>
      <c r="M196" s="2" t="s">
        <v>9</v>
      </c>
      <c r="N196" s="2" t="s">
        <v>10</v>
      </c>
      <c r="O196" s="2" t="s">
        <v>11</v>
      </c>
      <c r="P196" s="4"/>
      <c r="Q196" s="3" t="s">
        <v>44</v>
      </c>
      <c r="R196" s="58">
        <f>W165-V201</f>
        <v>7393376</v>
      </c>
      <c r="S196" s="63">
        <f>W165-W201</f>
        <v>0</v>
      </c>
      <c r="T196" s="105"/>
      <c r="U196" s="3"/>
      <c r="V196" s="58"/>
      <c r="W196" s="63"/>
    </row>
    <row r="197" spans="1:23" x14ac:dyDescent="0.25">
      <c r="A197" s="120"/>
      <c r="B197" s="8" t="s">
        <v>19</v>
      </c>
      <c r="C197" s="9">
        <v>0</v>
      </c>
      <c r="D197" s="9"/>
      <c r="E197" s="8"/>
      <c r="F197" s="8"/>
      <c r="G197" s="39"/>
      <c r="H197" s="29"/>
      <c r="I197" s="1"/>
      <c r="J197" s="2" t="s">
        <v>16</v>
      </c>
      <c r="K197" s="2">
        <v>0</v>
      </c>
      <c r="L197" s="108">
        <v>0</v>
      </c>
      <c r="M197" s="115">
        <v>0</v>
      </c>
      <c r="N197" s="2">
        <f>C196+N161-M197</f>
        <v>445549</v>
      </c>
      <c r="O197" s="2">
        <f>O184</f>
        <v>5</v>
      </c>
      <c r="P197" s="4"/>
      <c r="Q197" s="6"/>
      <c r="R197" s="64"/>
      <c r="S197" s="86"/>
      <c r="T197" s="64"/>
      <c r="U197" s="55"/>
      <c r="V197" s="87"/>
      <c r="W197" s="105"/>
    </row>
    <row r="198" spans="1:23" x14ac:dyDescent="0.25">
      <c r="A198" s="120"/>
      <c r="B198" s="8" t="s">
        <v>22</v>
      </c>
      <c r="C198" s="9">
        <v>0</v>
      </c>
      <c r="D198" s="9"/>
      <c r="E198" s="8"/>
      <c r="F198" s="8"/>
      <c r="G198" s="39"/>
      <c r="H198" s="29"/>
      <c r="I198" s="1"/>
      <c r="J198" s="2" t="s">
        <v>19</v>
      </c>
      <c r="K198" s="2">
        <v>0</v>
      </c>
      <c r="L198" s="108">
        <v>0</v>
      </c>
      <c r="M198" s="115">
        <v>0</v>
      </c>
      <c r="N198" s="2">
        <f>C197+N162-M198</f>
        <v>485805</v>
      </c>
      <c r="O198" s="2">
        <f>O185</f>
        <v>6</v>
      </c>
      <c r="P198" s="4"/>
      <c r="Q198" s="3" t="s">
        <v>45</v>
      </c>
      <c r="R198" s="58">
        <f>D185+D186+D187+D188</f>
        <v>0</v>
      </c>
      <c r="S198" s="63">
        <f>D185+D186+D187+D188</f>
        <v>0</v>
      </c>
      <c r="T198" s="105"/>
      <c r="U198" s="132" t="s">
        <v>46</v>
      </c>
      <c r="V198" s="132"/>
      <c r="W198" s="63"/>
    </row>
    <row r="199" spans="1:23" x14ac:dyDescent="0.25">
      <c r="A199" s="120"/>
      <c r="B199" s="8" t="s">
        <v>24</v>
      </c>
      <c r="C199" s="9">
        <v>0</v>
      </c>
      <c r="D199" s="9"/>
      <c r="E199" s="8"/>
      <c r="F199" s="8"/>
      <c r="G199" s="39"/>
      <c r="H199" s="29"/>
      <c r="I199" s="1"/>
      <c r="J199" s="2" t="s">
        <v>22</v>
      </c>
      <c r="K199" s="2">
        <v>0</v>
      </c>
      <c r="L199" s="108">
        <v>0</v>
      </c>
      <c r="M199" s="115">
        <v>0</v>
      </c>
      <c r="N199" s="2">
        <f>C198+N163-M199</f>
        <v>455728</v>
      </c>
      <c r="O199" s="2">
        <f>O186</f>
        <v>5</v>
      </c>
      <c r="P199" s="4"/>
      <c r="Q199" s="3" t="s">
        <v>47</v>
      </c>
      <c r="R199" s="58">
        <f>C196*0.4+C197*0.1+C198*0.4+C199*0.5</f>
        <v>0</v>
      </c>
      <c r="S199" s="63">
        <f>C196*0.4+C197*0.1+C198*0.4+C199*0.5</f>
        <v>0</v>
      </c>
      <c r="T199" s="105"/>
      <c r="U199" s="3" t="s">
        <v>48</v>
      </c>
      <c r="V199" s="58">
        <f>V195</f>
        <v>0</v>
      </c>
      <c r="W199" s="63">
        <f>W195</f>
        <v>0</v>
      </c>
    </row>
    <row r="200" spans="1:23" x14ac:dyDescent="0.25">
      <c r="A200" s="120"/>
      <c r="B200" s="11" t="s">
        <v>51</v>
      </c>
      <c r="C200" s="8"/>
      <c r="D200" s="8"/>
      <c r="E200" s="8"/>
      <c r="F200" s="8"/>
      <c r="G200" s="39"/>
      <c r="H200" s="29"/>
      <c r="I200" s="1"/>
      <c r="J200" s="2" t="s">
        <v>24</v>
      </c>
      <c r="K200" s="2">
        <v>0</v>
      </c>
      <c r="L200" s="108">
        <v>0</v>
      </c>
      <c r="M200" s="115">
        <v>0</v>
      </c>
      <c r="N200" s="2">
        <f>C199+N164-M200</f>
        <v>461262</v>
      </c>
      <c r="O200" s="2">
        <f>O187</f>
        <v>6</v>
      </c>
      <c r="P200" s="4"/>
      <c r="Q200" s="3" t="s">
        <v>49</v>
      </c>
      <c r="R200" s="58">
        <f>B202*0.4+C202*0.7+D202*0.8+B204*0.4+C204*0.4+D204*0.5+B206*0.7+C206*0.4+D206*0.4+B208*0.8+C208*0.5+D208*0.4</f>
        <v>0</v>
      </c>
      <c r="S200" s="63">
        <f>B202*0.4+C202*0.7+D202*0.8+B204*0.4+C204*0.4+D204*0.5+B206*0.7+C206*0.4+D206*0.4+B208*0.8+C208*0.5+D208*0.4</f>
        <v>0</v>
      </c>
      <c r="T200" s="105"/>
      <c r="U200" s="3" t="s">
        <v>50</v>
      </c>
      <c r="V200" s="58">
        <f>N190*((V189+W164)/(G184+G185+N167))</f>
        <v>11231161.790959824</v>
      </c>
      <c r="W200" s="63">
        <f>N203*((W189+W164)/(G184+G185+N154))</f>
        <v>11231161.790959824</v>
      </c>
    </row>
    <row r="201" spans="1:23" x14ac:dyDescent="0.25">
      <c r="A201" s="120"/>
      <c r="B201" s="8" t="s">
        <v>53</v>
      </c>
      <c r="C201" s="8" t="s">
        <v>54</v>
      </c>
      <c r="D201" s="8" t="s">
        <v>55</v>
      </c>
      <c r="E201" s="8"/>
      <c r="F201" s="9"/>
      <c r="G201" s="39"/>
      <c r="H201" s="29"/>
      <c r="I201" s="1"/>
      <c r="J201" s="27"/>
      <c r="K201" s="2"/>
      <c r="L201" s="108"/>
      <c r="M201" s="2"/>
      <c r="N201" s="2"/>
      <c r="O201" s="2"/>
      <c r="P201" s="4"/>
      <c r="Q201" s="6"/>
      <c r="R201" s="64"/>
      <c r="S201" s="86"/>
      <c r="T201" s="105"/>
      <c r="U201" s="3" t="s">
        <v>52</v>
      </c>
      <c r="V201" s="58">
        <f>4*M190</f>
        <v>0</v>
      </c>
      <c r="W201" s="63">
        <f>4*M203</f>
        <v>7393376</v>
      </c>
    </row>
    <row r="202" spans="1:23" x14ac:dyDescent="0.25">
      <c r="A202" s="120"/>
      <c r="B202" s="9">
        <v>0</v>
      </c>
      <c r="C202" s="9">
        <v>0</v>
      </c>
      <c r="D202" s="9">
        <v>0</v>
      </c>
      <c r="E202" s="8"/>
      <c r="F202" s="8"/>
      <c r="G202" s="39"/>
      <c r="H202" s="29"/>
      <c r="I202" s="1"/>
      <c r="J202" s="109" t="s">
        <v>94</v>
      </c>
      <c r="K202" s="110" t="s">
        <v>95</v>
      </c>
      <c r="L202" s="111" t="s">
        <v>96</v>
      </c>
      <c r="M202" s="112" t="s">
        <v>97</v>
      </c>
      <c r="N202" s="112" t="s">
        <v>98</v>
      </c>
      <c r="O202" s="112" t="s">
        <v>99</v>
      </c>
      <c r="P202" s="4"/>
      <c r="Q202" s="3" t="s">
        <v>56</v>
      </c>
      <c r="R202" s="58">
        <f>(C212+C213+C214+C216+C215)*500</f>
        <v>0</v>
      </c>
      <c r="S202" s="63">
        <f>(C212+C213+C214+C216+C215)*500</f>
        <v>0</v>
      </c>
      <c r="T202" s="105"/>
      <c r="U202" s="3" t="s">
        <v>57</v>
      </c>
      <c r="V202" s="58">
        <f>G186*500000+V166-R195</f>
        <v>5343344.296875</v>
      </c>
      <c r="W202" s="63">
        <f>G186*500000+W166-R195</f>
        <v>5343344.296875</v>
      </c>
    </row>
    <row r="203" spans="1:23" x14ac:dyDescent="0.25">
      <c r="A203" s="120"/>
      <c r="B203" s="8" t="s">
        <v>60</v>
      </c>
      <c r="C203" s="8" t="s">
        <v>54</v>
      </c>
      <c r="D203" s="8" t="s">
        <v>61</v>
      </c>
      <c r="E203" s="8"/>
      <c r="F203" s="8"/>
      <c r="G203" s="39"/>
      <c r="H203" s="29"/>
      <c r="I203" s="1"/>
      <c r="J203" s="2">
        <f>K197+K198+K199+K200</f>
        <v>0</v>
      </c>
      <c r="K203" s="115">
        <v>0</v>
      </c>
      <c r="L203" s="113">
        <f>M197+M198+M199+M200</f>
        <v>0</v>
      </c>
      <c r="M203" s="2">
        <f>N197+N198+N199+N200</f>
        <v>1848344</v>
      </c>
      <c r="N203" s="2">
        <f>G184+G185+N167-K203*1.35</f>
        <v>4521825</v>
      </c>
      <c r="O203" s="108">
        <f>(L197+L198+L199+L200)/4</f>
        <v>0</v>
      </c>
      <c r="P203" s="4"/>
      <c r="Q203" s="3" t="s">
        <v>58</v>
      </c>
      <c r="R203" s="58">
        <f>(C212+C213+C214+C215+C216)*1000</f>
        <v>0</v>
      </c>
      <c r="S203" s="63">
        <f>(C212+C213+C214+C215+C216)*1000</f>
        <v>0</v>
      </c>
      <c r="T203" s="105"/>
      <c r="U203" s="3" t="s">
        <v>59</v>
      </c>
      <c r="V203" s="58">
        <f>V202+V201+V200+V199</f>
        <v>16574506.087834824</v>
      </c>
      <c r="W203" s="63">
        <f>W202+W201+W200+W199</f>
        <v>23967882.087834824</v>
      </c>
    </row>
    <row r="204" spans="1:23" x14ac:dyDescent="0.25">
      <c r="A204" s="120"/>
      <c r="B204" s="9">
        <v>0</v>
      </c>
      <c r="C204" s="9">
        <v>0</v>
      </c>
      <c r="D204" s="9">
        <v>0</v>
      </c>
      <c r="E204" s="8"/>
      <c r="F204" s="8"/>
      <c r="G204" s="39"/>
      <c r="H204" s="29"/>
      <c r="I204" s="1"/>
      <c r="J204" s="110" t="s">
        <v>100</v>
      </c>
      <c r="K204" s="110" t="s">
        <v>101</v>
      </c>
      <c r="L204" s="112" t="s">
        <v>102</v>
      </c>
      <c r="M204" s="112" t="s">
        <v>103</v>
      </c>
      <c r="N204" s="112" t="s">
        <v>104</v>
      </c>
      <c r="O204" s="112" t="s">
        <v>105</v>
      </c>
      <c r="P204" s="4"/>
      <c r="Q204" s="3" t="s">
        <v>62</v>
      </c>
      <c r="R204" s="58">
        <f>(C212+C213+C214+C215)*4500+C216*3750+(O148+O149+O150+O151-D212-D213-D214-D215)*9000+(N156-D216)*7500</f>
        <v>468000</v>
      </c>
      <c r="S204" s="63">
        <f>(C212+C213+C214+C215)*4500+C216*3750+(O148+O149+O150+O151-D212-D214-D213-D215)*9000+(N156-D216)*7500</f>
        <v>468000</v>
      </c>
      <c r="T204" s="105"/>
      <c r="U204" s="3" t="s">
        <v>63</v>
      </c>
      <c r="V204" s="58">
        <f>W170+G191-G192</f>
        <v>22011320.474252176</v>
      </c>
      <c r="W204" s="63">
        <f>G191+W170-G192</f>
        <v>22011320.474252176</v>
      </c>
    </row>
    <row r="205" spans="1:23" x14ac:dyDescent="0.25">
      <c r="A205" s="120"/>
      <c r="B205" s="8" t="s">
        <v>66</v>
      </c>
      <c r="C205" s="8" t="s">
        <v>67</v>
      </c>
      <c r="D205" s="8" t="s">
        <v>68</v>
      </c>
      <c r="E205" s="8"/>
      <c r="F205" s="8"/>
      <c r="G205" s="39"/>
      <c r="H205" s="29"/>
      <c r="I205" s="1"/>
      <c r="J205" s="115">
        <v>0</v>
      </c>
      <c r="K205" s="115">
        <v>0</v>
      </c>
      <c r="L205" s="2">
        <f>L192</f>
        <v>12</v>
      </c>
      <c r="M205" s="2">
        <f>N205+O197+O198+O199+O200</f>
        <v>58</v>
      </c>
      <c r="N205" s="2">
        <f>N192</f>
        <v>36</v>
      </c>
      <c r="O205" s="2">
        <f>O200+O199+O198+O197</f>
        <v>22</v>
      </c>
      <c r="P205" s="4"/>
      <c r="Q205" s="3" t="s">
        <v>64</v>
      </c>
      <c r="R205" s="63">
        <f>(D212+D213+D214+D215)*6000+D216*5000</f>
        <v>0</v>
      </c>
      <c r="S205" s="63">
        <f>(D212+D213+D214+D215)*6000+D216*5000</f>
        <v>0</v>
      </c>
      <c r="T205" s="105"/>
      <c r="U205" s="3" t="s">
        <v>65</v>
      </c>
      <c r="V205" s="58">
        <f>IF(2*J209=2*1,V184/2-(V194+W159),"0")</f>
        <v>1955229.3838385041</v>
      </c>
      <c r="W205" s="63">
        <f>IF(2*K209=2*1,W184/2-(W194+W159),"0")</f>
        <v>2967026.6258662264</v>
      </c>
    </row>
    <row r="206" spans="1:23" x14ac:dyDescent="0.25">
      <c r="A206" s="120"/>
      <c r="B206" s="9">
        <v>0</v>
      </c>
      <c r="C206" s="9">
        <v>0</v>
      </c>
      <c r="D206" s="9">
        <v>0</v>
      </c>
      <c r="E206" s="8"/>
      <c r="F206" s="8"/>
      <c r="G206" s="39"/>
      <c r="H206" s="29"/>
      <c r="I206" s="1"/>
      <c r="J206" s="7"/>
      <c r="K206" s="5"/>
      <c r="L206" s="5"/>
      <c r="M206" s="5"/>
      <c r="P206" s="4"/>
      <c r="Q206" s="3" t="s">
        <v>69</v>
      </c>
      <c r="R206" s="63">
        <f>W164*10%</f>
        <v>1123116.1790959823</v>
      </c>
      <c r="S206" s="63">
        <f>W164*10%</f>
        <v>1123116.1790959823</v>
      </c>
      <c r="T206" s="105"/>
      <c r="U206" s="3" t="s">
        <v>70</v>
      </c>
      <c r="V206" s="58">
        <f>V204+V205</f>
        <v>23966549.85809068</v>
      </c>
      <c r="W206" s="63">
        <f>W205+W204</f>
        <v>24978347.100118402</v>
      </c>
    </row>
    <row r="207" spans="1:23" x14ac:dyDescent="0.25">
      <c r="A207" s="120"/>
      <c r="B207" s="8" t="s">
        <v>73</v>
      </c>
      <c r="C207" s="8" t="s">
        <v>74</v>
      </c>
      <c r="D207" s="8" t="s">
        <v>75</v>
      </c>
      <c r="E207" s="8"/>
      <c r="F207" s="8"/>
      <c r="G207" s="39"/>
      <c r="H207" s="29"/>
      <c r="I207" s="1"/>
      <c r="J207" s="22"/>
      <c r="K207" s="22"/>
      <c r="P207" s="4"/>
      <c r="Q207" s="3" t="s">
        <v>71</v>
      </c>
      <c r="R207" s="58">
        <f>0.5*M190</f>
        <v>0</v>
      </c>
      <c r="S207" s="63">
        <f>0.5*M203</f>
        <v>924172</v>
      </c>
      <c r="T207" s="105"/>
      <c r="U207" s="3" t="s">
        <v>72</v>
      </c>
      <c r="V207" s="58">
        <f>V203-V206</f>
        <v>-7392043.7702558562</v>
      </c>
      <c r="W207" s="63">
        <f>W203-W206</f>
        <v>-1010465.0122835785</v>
      </c>
    </row>
    <row r="208" spans="1:23" x14ac:dyDescent="0.25">
      <c r="A208" s="120"/>
      <c r="B208" s="9">
        <v>0</v>
      </c>
      <c r="C208" s="9">
        <v>0</v>
      </c>
      <c r="D208" s="9">
        <v>0</v>
      </c>
      <c r="E208" s="8"/>
      <c r="F208" s="8"/>
      <c r="G208" s="39"/>
      <c r="H208" s="29"/>
      <c r="I208" s="24"/>
      <c r="J208" s="28" t="s">
        <v>114</v>
      </c>
      <c r="K208" s="28" t="s">
        <v>115</v>
      </c>
      <c r="P208" s="4"/>
      <c r="Q208" s="6"/>
      <c r="R208" s="64"/>
      <c r="S208" s="86"/>
      <c r="T208" s="64"/>
      <c r="U208" s="4"/>
      <c r="V208" s="64"/>
      <c r="W208" s="105"/>
    </row>
    <row r="209" spans="1:23" x14ac:dyDescent="0.25">
      <c r="A209" s="120"/>
      <c r="B209" s="8"/>
      <c r="C209" s="8"/>
      <c r="D209" s="8"/>
      <c r="E209" s="8"/>
      <c r="F209" s="8"/>
      <c r="G209" s="39"/>
      <c r="H209" s="29"/>
      <c r="I209" s="24"/>
      <c r="J209" s="27" t="str">
        <f>IF((W159+V194)&lt;=V184/2,"1","0")</f>
        <v>1</v>
      </c>
      <c r="K209" s="27" t="str">
        <f>IF((W159+W194)&lt;=W184/2,"1","0")</f>
        <v>1</v>
      </c>
      <c r="P209" s="4"/>
      <c r="Q209" s="3" t="s">
        <v>76</v>
      </c>
      <c r="R209" s="58">
        <f>V204*M1/4+M1*K73/4*3</f>
        <v>220113.20474252175</v>
      </c>
      <c r="S209" s="63">
        <f>W204*M1/4+W169*M1/4*3</f>
        <v>307738.44677024364</v>
      </c>
      <c r="T209" s="64"/>
      <c r="U209" s="4"/>
      <c r="V209" s="64"/>
      <c r="W209" s="105"/>
    </row>
    <row r="210" spans="1:23" x14ac:dyDescent="0.25">
      <c r="A210" s="120"/>
      <c r="B210" s="18" t="s">
        <v>126</v>
      </c>
      <c r="C210" s="8"/>
      <c r="D210" s="8"/>
      <c r="E210" s="8"/>
      <c r="F210" s="8"/>
      <c r="G210" s="39"/>
      <c r="H210" s="29"/>
      <c r="I210" s="24"/>
      <c r="J210" s="26" t="s">
        <v>117</v>
      </c>
      <c r="K210" s="27"/>
      <c r="P210" s="4"/>
      <c r="Q210" s="6"/>
      <c r="R210" s="64"/>
      <c r="S210" s="86"/>
      <c r="T210" s="64"/>
      <c r="U210" s="4"/>
      <c r="V210" s="64"/>
      <c r="W210" s="105"/>
    </row>
    <row r="211" spans="1:23" x14ac:dyDescent="0.25">
      <c r="A211" s="120"/>
      <c r="B211" s="8"/>
      <c r="C211" s="8" t="s">
        <v>78</v>
      </c>
      <c r="D211" s="8" t="s">
        <v>79</v>
      </c>
      <c r="E211" s="8"/>
      <c r="F211" s="8"/>
      <c r="G211" s="39"/>
      <c r="H211" s="29"/>
      <c r="I211" s="24"/>
      <c r="J211" s="27">
        <f>N167+G185-H184</f>
        <v>4521825</v>
      </c>
      <c r="K211" s="27"/>
      <c r="P211" s="4"/>
      <c r="Q211" s="3" t="s">
        <v>77</v>
      </c>
      <c r="R211" s="63">
        <f>(R185/(1+E1))*E1</f>
        <v>0</v>
      </c>
      <c r="S211" s="63">
        <f>S185/(1+E1)*E1</f>
        <v>0</v>
      </c>
      <c r="T211" s="64"/>
      <c r="U211" s="4"/>
      <c r="V211" s="64"/>
      <c r="W211" s="105"/>
    </row>
    <row r="212" spans="1:23" x14ac:dyDescent="0.25">
      <c r="A212" s="120"/>
      <c r="B212" s="8" t="s">
        <v>16</v>
      </c>
      <c r="C212" s="9">
        <v>0</v>
      </c>
      <c r="D212" s="9">
        <v>0</v>
      </c>
      <c r="E212" s="8"/>
      <c r="F212" s="8"/>
      <c r="G212" s="39"/>
      <c r="H212" s="29"/>
      <c r="I212" s="24"/>
      <c r="P212" s="4"/>
      <c r="Q212" s="3" t="s">
        <v>80</v>
      </c>
      <c r="R212" s="63">
        <f>R211*G1</f>
        <v>0</v>
      </c>
      <c r="S212" s="63">
        <f>S211*G1</f>
        <v>0</v>
      </c>
      <c r="T212" s="64"/>
      <c r="U212" s="4"/>
      <c r="V212" s="64"/>
      <c r="W212" s="105"/>
    </row>
    <row r="213" spans="1:23" x14ac:dyDescent="0.25">
      <c r="A213" s="120"/>
      <c r="B213" s="8" t="s">
        <v>19</v>
      </c>
      <c r="C213" s="9">
        <v>0</v>
      </c>
      <c r="D213" s="9">
        <v>0</v>
      </c>
      <c r="E213" s="8"/>
      <c r="F213" s="8"/>
      <c r="G213" s="39"/>
      <c r="H213" s="29"/>
      <c r="I213" s="24"/>
      <c r="P213" s="4"/>
      <c r="Q213" s="3" t="s">
        <v>81</v>
      </c>
      <c r="R213" s="63">
        <f>(R185/(1+E1)-(R198+R199+R209+R207+R206+R205+R204+R203+R187+R189+R188+R190+R191+R192+R193+R194+R195+R196+R202)-R212)*K1</f>
        <v>-2371403.3029908761</v>
      </c>
      <c r="S213" s="63">
        <f>(S185/(1+E1)-(S187+S188+S189+S190+S191+S192+S193+S194+S195+S196+S198+S199+S200+S202+S203+S204+S205+S206+S207+S209)-S212)*K1</f>
        <v>-776008.6134978066</v>
      </c>
      <c r="T213" s="64"/>
      <c r="U213" s="4"/>
      <c r="V213" s="64"/>
      <c r="W213" s="105"/>
    </row>
    <row r="214" spans="1:23" x14ac:dyDescent="0.25">
      <c r="A214" s="120"/>
      <c r="B214" s="8" t="s">
        <v>22</v>
      </c>
      <c r="C214" s="9">
        <v>0</v>
      </c>
      <c r="D214" s="9">
        <v>0</v>
      </c>
      <c r="E214" s="8"/>
      <c r="F214" s="8"/>
      <c r="G214" s="39"/>
      <c r="H214" s="29"/>
      <c r="I214" s="24"/>
      <c r="P214" s="4"/>
      <c r="Q214" s="3"/>
      <c r="R214" s="63" t="str">
        <f>IF(R213&lt;=0,"0",R213)</f>
        <v>0</v>
      </c>
      <c r="S214" s="63" t="str">
        <f>IF(S213&lt;=0,"0",S213)</f>
        <v>0</v>
      </c>
      <c r="T214" s="64"/>
      <c r="U214" s="4"/>
      <c r="V214" s="64"/>
      <c r="W214" s="105"/>
    </row>
    <row r="215" spans="1:23" x14ac:dyDescent="0.25">
      <c r="A215" s="120"/>
      <c r="B215" s="8" t="s">
        <v>24</v>
      </c>
      <c r="C215" s="9">
        <v>0</v>
      </c>
      <c r="D215" s="9">
        <v>0</v>
      </c>
      <c r="E215" s="8"/>
      <c r="F215" s="8"/>
      <c r="G215" s="39"/>
      <c r="H215" s="29"/>
      <c r="I215" s="24"/>
      <c r="P215" s="4"/>
      <c r="Q215" s="3" t="s">
        <v>82</v>
      </c>
      <c r="R215" s="63">
        <f>R187+R191+R194+R202+R203+R204+R188+R189+R190+R192+R193+R195+R196+R198+R199+R200+R205+R206+R207+R209+R211+R212+R214</f>
        <v>9485613.2119635027</v>
      </c>
      <c r="S215" s="63">
        <f>S187+S191+S194+S202+S203+S204+S188+S189+S190+S192+S193+S195+S196+S198+S199+S200+S205+S206+S207+S209+S211+S212+S214</f>
        <v>3104034.4539912264</v>
      </c>
      <c r="T215" s="64"/>
      <c r="U215" s="4"/>
      <c r="V215" s="64"/>
      <c r="W215" s="105"/>
    </row>
    <row r="216" spans="1:23" x14ac:dyDescent="0.25">
      <c r="A216" s="120"/>
      <c r="B216" s="8" t="s">
        <v>83</v>
      </c>
      <c r="C216" s="9">
        <v>0</v>
      </c>
      <c r="D216" s="9">
        <v>0</v>
      </c>
      <c r="E216" s="8"/>
      <c r="F216" s="8"/>
      <c r="G216" s="39"/>
      <c r="H216" s="29"/>
      <c r="I216" s="24"/>
      <c r="P216" s="4"/>
      <c r="Q216" s="59"/>
      <c r="R216" s="74"/>
      <c r="S216" s="90"/>
      <c r="T216" s="64"/>
      <c r="U216" s="4"/>
      <c r="V216" s="64"/>
      <c r="W216" s="105"/>
    </row>
    <row r="217" spans="1:23" ht="14.4" thickBot="1" x14ac:dyDescent="0.3">
      <c r="A217" s="121"/>
      <c r="B217" s="8"/>
      <c r="C217" s="9"/>
      <c r="D217" s="8"/>
      <c r="E217" s="8"/>
      <c r="F217" s="8"/>
      <c r="G217" s="39"/>
      <c r="H217" s="29"/>
      <c r="I217" s="25"/>
      <c r="P217" s="4"/>
      <c r="Q217" s="3" t="s">
        <v>84</v>
      </c>
      <c r="R217" s="58">
        <f>R185-R215</f>
        <v>-9485613.2119635027</v>
      </c>
      <c r="S217" s="63">
        <f>S185-S215</f>
        <v>-3104034.4539912264</v>
      </c>
      <c r="T217" s="116"/>
      <c r="U217" s="4"/>
      <c r="V217" s="64"/>
      <c r="W217" s="105"/>
    </row>
    <row r="218" spans="1:23" ht="15" thickTop="1" thickBot="1" x14ac:dyDescent="0.3">
      <c r="A218" s="119" t="s">
        <v>90</v>
      </c>
      <c r="B218" s="122" t="s">
        <v>3</v>
      </c>
      <c r="C218" s="123"/>
      <c r="D218" s="123"/>
      <c r="E218" s="123"/>
      <c r="F218" s="123"/>
      <c r="G218" s="123"/>
      <c r="H218" s="29"/>
      <c r="I218" s="1"/>
      <c r="J218" s="118" t="s">
        <v>112</v>
      </c>
      <c r="K218" s="118"/>
      <c r="L218" s="118"/>
      <c r="M218" s="118"/>
      <c r="N218" s="118"/>
      <c r="O218" s="118"/>
      <c r="P218" s="4"/>
      <c r="Q218" s="131" t="s">
        <v>1</v>
      </c>
      <c r="R218" s="130"/>
      <c r="S218" s="100" t="s">
        <v>111</v>
      </c>
      <c r="T218" s="105"/>
      <c r="U218" s="132" t="s">
        <v>2</v>
      </c>
      <c r="V218" s="132"/>
      <c r="W218" s="21" t="s">
        <v>111</v>
      </c>
    </row>
    <row r="219" spans="1:23" ht="14.4" thickTop="1" x14ac:dyDescent="0.25">
      <c r="A219" s="120"/>
      <c r="B219" s="18" t="s">
        <v>121</v>
      </c>
      <c r="C219" s="8"/>
      <c r="D219" s="8"/>
      <c r="E219" s="8"/>
      <c r="F219" s="18" t="s">
        <v>122</v>
      </c>
      <c r="G219" s="39"/>
      <c r="H219" s="45"/>
      <c r="I219" s="1"/>
      <c r="J219" s="2"/>
      <c r="K219" s="2" t="s">
        <v>7</v>
      </c>
      <c r="L219" s="2" t="s">
        <v>8</v>
      </c>
      <c r="M219" s="2" t="s">
        <v>9</v>
      </c>
      <c r="N219" s="2" t="s">
        <v>10</v>
      </c>
      <c r="O219" s="2" t="s">
        <v>11</v>
      </c>
      <c r="P219" s="4"/>
      <c r="Q219" s="3" t="s">
        <v>5</v>
      </c>
      <c r="R219" s="56" t="s">
        <v>6</v>
      </c>
      <c r="S219" s="56" t="s">
        <v>6</v>
      </c>
      <c r="T219" s="105"/>
      <c r="U219" s="3" t="s">
        <v>5</v>
      </c>
      <c r="V219" s="56" t="s">
        <v>6</v>
      </c>
      <c r="W219" s="56" t="s">
        <v>6</v>
      </c>
    </row>
    <row r="220" spans="1:23" x14ac:dyDescent="0.25">
      <c r="A220" s="120"/>
      <c r="B220" s="8"/>
      <c r="C220" s="8" t="s">
        <v>13</v>
      </c>
      <c r="D220" s="8" t="s">
        <v>14</v>
      </c>
      <c r="E220" s="8"/>
      <c r="F220" s="8" t="s">
        <v>15</v>
      </c>
      <c r="G220" s="40">
        <v>0</v>
      </c>
      <c r="H220" s="46"/>
      <c r="I220" s="1"/>
      <c r="J220" s="2" t="s">
        <v>16</v>
      </c>
      <c r="K220" s="2"/>
      <c r="L220" s="108"/>
      <c r="M220" s="2">
        <f>C232</f>
        <v>0</v>
      </c>
      <c r="N220" s="2">
        <f>C232-M220</f>
        <v>0</v>
      </c>
      <c r="O220" s="2">
        <f>O184+C248-D248</f>
        <v>5</v>
      </c>
      <c r="P220" s="4"/>
      <c r="Q220" s="59"/>
      <c r="R220" s="74"/>
      <c r="S220" s="90"/>
      <c r="T220" s="105"/>
      <c r="U220" s="3" t="s">
        <v>12</v>
      </c>
      <c r="V220" s="58">
        <f>R221</f>
        <v>0</v>
      </c>
      <c r="W220" s="63">
        <f>S221</f>
        <v>0</v>
      </c>
    </row>
    <row r="221" spans="1:23" x14ac:dyDescent="0.25">
      <c r="A221" s="120"/>
      <c r="B221" s="8" t="s">
        <v>16</v>
      </c>
      <c r="C221" s="9">
        <v>0</v>
      </c>
      <c r="D221" s="9">
        <v>0</v>
      </c>
      <c r="E221" s="8"/>
      <c r="F221" s="8" t="s">
        <v>18</v>
      </c>
      <c r="G221" s="40">
        <v>0</v>
      </c>
      <c r="H221" s="46"/>
      <c r="I221" s="1"/>
      <c r="J221" s="2" t="s">
        <v>19</v>
      </c>
      <c r="K221" s="2"/>
      <c r="L221" s="108"/>
      <c r="M221" s="2">
        <f>C233</f>
        <v>0</v>
      </c>
      <c r="N221" s="2">
        <f>C233-M221</f>
        <v>0</v>
      </c>
      <c r="O221" s="2">
        <f>O185+C249-D249</f>
        <v>6</v>
      </c>
      <c r="P221" s="4"/>
      <c r="Q221" s="3" t="s">
        <v>12</v>
      </c>
      <c r="R221" s="58">
        <f>C221*(C232+N197)+C222*(C233+N198)+C223*(C234+N199)+C224*(C235+N200)</f>
        <v>0</v>
      </c>
      <c r="S221" s="63">
        <f>C221*M233+M234*C222+C223*M235+M236*C224</f>
        <v>0</v>
      </c>
      <c r="T221" s="105"/>
      <c r="U221" s="3" t="s">
        <v>17</v>
      </c>
      <c r="V221" s="58">
        <f>G227</f>
        <v>0</v>
      </c>
      <c r="W221" s="63">
        <f>G227</f>
        <v>0</v>
      </c>
    </row>
    <row r="222" spans="1:23" x14ac:dyDescent="0.25">
      <c r="A222" s="120"/>
      <c r="B222" s="8" t="s">
        <v>19</v>
      </c>
      <c r="C222" s="9">
        <v>0</v>
      </c>
      <c r="D222" s="9">
        <v>0</v>
      </c>
      <c r="E222" s="8"/>
      <c r="F222" s="8" t="s">
        <v>21</v>
      </c>
      <c r="G222" s="40">
        <v>0</v>
      </c>
      <c r="H222" s="46"/>
      <c r="I222" s="1"/>
      <c r="J222" s="2" t="s">
        <v>22</v>
      </c>
      <c r="K222" s="2"/>
      <c r="L222" s="108"/>
      <c r="M222" s="2">
        <f>C234</f>
        <v>0</v>
      </c>
      <c r="N222" s="2">
        <f>C234-M222</f>
        <v>0</v>
      </c>
      <c r="O222" s="2">
        <f>C250+O186-D250</f>
        <v>5</v>
      </c>
      <c r="P222" s="4"/>
      <c r="Q222" s="59"/>
      <c r="R222" s="74"/>
      <c r="S222" s="90"/>
      <c r="T222" s="105"/>
      <c r="U222" s="3" t="s">
        <v>20</v>
      </c>
      <c r="V222" s="58">
        <f>V221+V220</f>
        <v>0</v>
      </c>
      <c r="W222" s="63">
        <f>W221+W220</f>
        <v>0</v>
      </c>
    </row>
    <row r="223" spans="1:23" x14ac:dyDescent="0.25">
      <c r="A223" s="120"/>
      <c r="B223" s="8" t="s">
        <v>22</v>
      </c>
      <c r="C223" s="9">
        <v>0</v>
      </c>
      <c r="D223" s="9">
        <v>0</v>
      </c>
      <c r="E223" s="8"/>
      <c r="F223" s="8"/>
      <c r="G223" s="39"/>
      <c r="H223" s="29"/>
      <c r="I223" s="1"/>
      <c r="J223" s="2" t="s">
        <v>24</v>
      </c>
      <c r="K223" s="2"/>
      <c r="L223" s="108"/>
      <c r="M223" s="2">
        <f>C235</f>
        <v>0</v>
      </c>
      <c r="N223" s="2">
        <f>C235-M223</f>
        <v>0</v>
      </c>
      <c r="O223" s="2">
        <f>O187+C251-D251</f>
        <v>6</v>
      </c>
      <c r="P223" s="4"/>
      <c r="Q223" s="3" t="s">
        <v>23</v>
      </c>
      <c r="R223" s="58">
        <f>C228</f>
        <v>0</v>
      </c>
      <c r="S223" s="63">
        <f>C228</f>
        <v>0</v>
      </c>
      <c r="T223" s="105"/>
      <c r="U223" s="3"/>
      <c r="V223" s="58"/>
      <c r="W223" s="63"/>
    </row>
    <row r="224" spans="1:23" x14ac:dyDescent="0.25">
      <c r="A224" s="120"/>
      <c r="B224" s="8" t="s">
        <v>24</v>
      </c>
      <c r="C224" s="9">
        <v>0</v>
      </c>
      <c r="D224" s="9">
        <v>0</v>
      </c>
      <c r="E224" s="8"/>
      <c r="F224" s="8"/>
      <c r="G224" s="39"/>
      <c r="H224" s="29"/>
      <c r="I224" s="1"/>
      <c r="J224" s="27"/>
      <c r="K224" s="2"/>
      <c r="L224" s="108"/>
      <c r="M224" s="2"/>
      <c r="N224" s="2"/>
      <c r="O224" s="2"/>
      <c r="P224" s="4"/>
      <c r="Q224" s="3" t="s">
        <v>25</v>
      </c>
      <c r="R224" s="58" t="str">
        <f>IF(C227=0,"0",IF(C227/K192&lt;=1.5,"10000",IF(C227/K192&lt;=2.5,"15000","20000")))</f>
        <v>0</v>
      </c>
      <c r="S224" s="63" t="str">
        <f>IF(K239=0,"0",IF(K239/K192&lt;=1.5,"10000",IF(K239/K192&lt;=2.5,"15000","20000")))</f>
        <v>0</v>
      </c>
      <c r="T224" s="105"/>
      <c r="U224" s="3" t="s">
        <v>26</v>
      </c>
      <c r="V224" s="58">
        <f>R223+R224+R225+R227+R228+R229+R230+R234+R235+R236+R238+R239+R240+R241+R242+R243+R245+R247+R248+R250</f>
        <v>2073910.4488731532</v>
      </c>
      <c r="W224" s="63">
        <f>S223+S224+S225+S227+S228+S229+S230+S234+S235+S236+S238+S239+S240+S241+S242+S243+S245+S247+S248+S250</f>
        <v>2998082.4488731534</v>
      </c>
    </row>
    <row r="225" spans="1:23" x14ac:dyDescent="0.25">
      <c r="A225" s="120"/>
      <c r="B225" s="8"/>
      <c r="C225" s="8"/>
      <c r="D225" s="8"/>
      <c r="E225" s="8"/>
      <c r="F225" s="8"/>
      <c r="G225" s="39"/>
      <c r="H225" s="29"/>
      <c r="I225" s="1"/>
      <c r="J225" s="109" t="s">
        <v>94</v>
      </c>
      <c r="K225" s="110" t="s">
        <v>95</v>
      </c>
      <c r="L225" s="111" t="s">
        <v>96</v>
      </c>
      <c r="M225" s="112" t="s">
        <v>97</v>
      </c>
      <c r="N225" s="112" t="s">
        <v>98</v>
      </c>
      <c r="O225" s="112" t="s">
        <v>99</v>
      </c>
      <c r="P225" s="4"/>
      <c r="Q225" s="3" t="s">
        <v>27</v>
      </c>
      <c r="R225" s="63" t="str">
        <f>IF(C227=0,"0",IF(((C227/K192)*8)&lt;=8,C227*1.2,IF(((C227/K192)*8)&lt;=12,K192*1.2+(C227-K192)*1.3,IF(((C227/K192)*8)&lt;=16,K192*1.2+(C227-K192)*1.4,IF(((C227/K192)*8)&lt;=20,K192*1.2+K192*1.4+(C227-2*K192)*1.5,K192*1.2+K192*1.4+(C227-2*K192)*1.6)))))</f>
        <v>0</v>
      </c>
      <c r="S225" s="63" t="str">
        <f>IF(K239=0,"0",IF(((K239/K192)*8)&lt;=8,K239*1.2,IF(((K239/K192)*8)&lt;=12,K192*1.2+(K239-K192)*1.3,IF(((K239/K192)*8)&lt;=16,L192*1.2+(K239-K192)*1.4,IF(((K239/K192)*8)&lt;=20,K192*1.2+K192*1.4+(K239-2*K192)*1.5,K192*1.2+K192*1.4+(K239-2*K192)*1.6)))))</f>
        <v>0</v>
      </c>
      <c r="T225" s="133" t="s">
        <v>120</v>
      </c>
      <c r="U225" s="3" t="s">
        <v>28</v>
      </c>
      <c r="V225" s="58">
        <f>G220*T191+G221*T191</f>
        <v>0</v>
      </c>
      <c r="W225" s="63">
        <f>G220*T191+G221*T191</f>
        <v>0</v>
      </c>
    </row>
    <row r="226" spans="1:23" x14ac:dyDescent="0.25">
      <c r="A226" s="120"/>
      <c r="B226" s="18" t="s">
        <v>124</v>
      </c>
      <c r="C226" s="8"/>
      <c r="D226" s="18" t="s">
        <v>116</v>
      </c>
      <c r="E226" s="8"/>
      <c r="F226" s="18" t="s">
        <v>123</v>
      </c>
      <c r="G226" s="40"/>
      <c r="H226" s="46"/>
      <c r="I226" s="1"/>
      <c r="J226" s="2">
        <f>K220+K221+K222+K223</f>
        <v>0</v>
      </c>
      <c r="K226" s="112">
        <f>C227</f>
        <v>0</v>
      </c>
      <c r="L226" s="113">
        <f>M220+M221+M222+M223</f>
        <v>0</v>
      </c>
      <c r="M226" s="2">
        <f>N220+N221+N222+N223</f>
        <v>0</v>
      </c>
      <c r="N226" s="2">
        <f>G220+G221+N190-C227*1.35</f>
        <v>4521825</v>
      </c>
      <c r="O226" s="108">
        <f>(L220+L221+L222+L223)/4</f>
        <v>0</v>
      </c>
      <c r="P226" s="4"/>
      <c r="Q226" s="84" t="s">
        <v>113</v>
      </c>
      <c r="R226" s="63">
        <f>((V225+W200)/(G220+G221+N190))*C227*1.35-1</f>
        <v>-1</v>
      </c>
      <c r="S226" s="63">
        <f>((W225+W200)/(G220+G221+N203))*K239*1.35-1</f>
        <v>-1</v>
      </c>
      <c r="T226" s="134"/>
      <c r="U226" s="3" t="s">
        <v>30</v>
      </c>
      <c r="V226" s="58">
        <f>G222*500000</f>
        <v>0</v>
      </c>
      <c r="W226" s="63">
        <f>G222*500000</f>
        <v>0</v>
      </c>
    </row>
    <row r="227" spans="1:23" x14ac:dyDescent="0.25">
      <c r="A227" s="120"/>
      <c r="B227" s="8" t="s">
        <v>33</v>
      </c>
      <c r="C227" s="9">
        <f>K205*3</f>
        <v>0</v>
      </c>
      <c r="D227" s="9">
        <f>(N190+G221)/1.35</f>
        <v>3349500</v>
      </c>
      <c r="E227" s="8"/>
      <c r="F227" s="8" t="s">
        <v>17</v>
      </c>
      <c r="G227" s="40">
        <v>0</v>
      </c>
      <c r="H227" s="46"/>
      <c r="I227" s="1"/>
      <c r="J227" s="110" t="s">
        <v>100</v>
      </c>
      <c r="K227" s="110" t="s">
        <v>101</v>
      </c>
      <c r="L227" s="112" t="s">
        <v>102</v>
      </c>
      <c r="M227" s="112" t="s">
        <v>103</v>
      </c>
      <c r="N227" s="112" t="s">
        <v>104</v>
      </c>
      <c r="O227" s="112" t="s">
        <v>105</v>
      </c>
      <c r="P227" s="4"/>
      <c r="Q227" s="3" t="s">
        <v>31</v>
      </c>
      <c r="R227" s="63" t="str">
        <f>IF(G220=0,"0",IF(G220&lt;=500000,"40000",IF(G220&lt;=1000000,"80000",IF(G220&lt;=1500000,"120000",IF(G220&lt;=2000000,"160000","200000")))))</f>
        <v>0</v>
      </c>
      <c r="S227" s="63" t="str">
        <f>IF(G220=0,"0",IF(G220&lt;=500000,"40000",IF(G220&lt;=1000000,"80000",IF(G220&lt;=1500000,"120000",IF(G220&lt;=2000000,"160000","200000")))))</f>
        <v>0</v>
      </c>
      <c r="T227" s="114">
        <v>1.48</v>
      </c>
      <c r="U227" s="3" t="s">
        <v>32</v>
      </c>
      <c r="V227" s="58">
        <f>G228</f>
        <v>0</v>
      </c>
      <c r="W227" s="63">
        <f>G228</f>
        <v>0</v>
      </c>
    </row>
    <row r="228" spans="1:23" x14ac:dyDescent="0.25">
      <c r="A228" s="120"/>
      <c r="B228" s="8" t="s">
        <v>36</v>
      </c>
      <c r="C228" s="9">
        <v>0</v>
      </c>
      <c r="D228" s="8"/>
      <c r="E228" s="8"/>
      <c r="F228" s="8" t="s">
        <v>32</v>
      </c>
      <c r="G228" s="40">
        <v>0</v>
      </c>
      <c r="H228" s="46"/>
      <c r="I228" s="1"/>
      <c r="J228" s="2">
        <f>J205*0.975+G222*50000</f>
        <v>0</v>
      </c>
      <c r="K228" s="2">
        <f>J228</f>
        <v>0</v>
      </c>
      <c r="L228" s="2">
        <f>L192+G222</f>
        <v>12</v>
      </c>
      <c r="M228" s="2">
        <f>N228+O220+O221+O222+O223</f>
        <v>58</v>
      </c>
      <c r="N228" s="2">
        <f>C252+N192</f>
        <v>36</v>
      </c>
      <c r="O228" s="2">
        <f>O223+O222+O221+O220</f>
        <v>22</v>
      </c>
      <c r="P228" s="4"/>
      <c r="Q228" s="3" t="s">
        <v>34</v>
      </c>
      <c r="R228" s="63">
        <f>G221*1</f>
        <v>0</v>
      </c>
      <c r="S228" s="63">
        <f>G221*1</f>
        <v>0</v>
      </c>
      <c r="T228" s="105"/>
      <c r="U228" s="3" t="s">
        <v>35</v>
      </c>
      <c r="V228" s="58">
        <f>G229</f>
        <v>0</v>
      </c>
      <c r="W228" s="63">
        <f>G229</f>
        <v>0</v>
      </c>
    </row>
    <row r="229" spans="1:23" x14ac:dyDescent="0.25">
      <c r="A229" s="120"/>
      <c r="B229" s="8"/>
      <c r="C229" s="8"/>
      <c r="D229" s="8"/>
      <c r="E229" s="8"/>
      <c r="F229" s="8" t="s">
        <v>35</v>
      </c>
      <c r="G229" s="40">
        <v>0</v>
      </c>
      <c r="H229" s="46"/>
      <c r="I229" s="1"/>
      <c r="P229" s="4"/>
      <c r="Q229" s="3" t="s">
        <v>37</v>
      </c>
      <c r="R229" s="58">
        <f>L192*12000</f>
        <v>144000</v>
      </c>
      <c r="S229" s="63">
        <f>L192*12000</f>
        <v>144000</v>
      </c>
      <c r="T229" s="105"/>
      <c r="U229" s="3" t="s">
        <v>38</v>
      </c>
      <c r="V229" s="58">
        <f>V224+V225+V226+V227+V228</f>
        <v>2073910.4488731532</v>
      </c>
      <c r="W229" s="63">
        <f>W228+W227+W226+W225+W224</f>
        <v>2998082.4488731534</v>
      </c>
    </row>
    <row r="230" spans="1:23" x14ac:dyDescent="0.25">
      <c r="A230" s="120"/>
      <c r="B230" s="18" t="s">
        <v>125</v>
      </c>
      <c r="C230" s="8"/>
      <c r="D230" s="8"/>
      <c r="E230" s="8"/>
      <c r="F230" s="8"/>
      <c r="G230" s="39"/>
      <c r="H230" s="29"/>
      <c r="I230" s="1"/>
      <c r="P230" s="4"/>
      <c r="Q230" s="3" t="s">
        <v>39</v>
      </c>
      <c r="R230" s="58">
        <f>G222*100000</f>
        <v>0</v>
      </c>
      <c r="S230" s="63">
        <f>G222*100000</f>
        <v>0</v>
      </c>
      <c r="T230" s="105"/>
      <c r="U230" s="3" t="s">
        <v>40</v>
      </c>
      <c r="V230" s="58">
        <f>V222-V229</f>
        <v>-2073910.4488731532</v>
      </c>
      <c r="W230" s="63">
        <f>W222-W229</f>
        <v>-2998082.4488731534</v>
      </c>
    </row>
    <row r="231" spans="1:23" x14ac:dyDescent="0.25">
      <c r="A231" s="120"/>
      <c r="B231" s="8"/>
      <c r="C231" s="8" t="s">
        <v>43</v>
      </c>
      <c r="D231" s="10"/>
      <c r="E231" s="8"/>
      <c r="F231" s="8"/>
      <c r="G231" s="39"/>
      <c r="H231" s="29"/>
      <c r="I231" s="1"/>
      <c r="J231" s="118" t="s">
        <v>118</v>
      </c>
      <c r="K231" s="118"/>
      <c r="L231" s="118"/>
      <c r="M231" s="118"/>
      <c r="N231" s="118"/>
      <c r="O231" s="118"/>
      <c r="P231" s="4"/>
      <c r="Q231" s="3" t="s">
        <v>41</v>
      </c>
      <c r="R231" s="58">
        <f>V202*2.5%</f>
        <v>133583.607421875</v>
      </c>
      <c r="S231" s="63">
        <f>V202*2.5%</f>
        <v>133583.607421875</v>
      </c>
      <c r="T231" s="105"/>
      <c r="U231" s="3" t="s">
        <v>42</v>
      </c>
      <c r="V231" s="58">
        <f>IF(2*J245=2*1,(V220/2),(V230+W195))</f>
        <v>0</v>
      </c>
      <c r="W231" s="63">
        <f>IF(2*K245=2*1,(W220/2),(W230+W195))</f>
        <v>0</v>
      </c>
    </row>
    <row r="232" spans="1:23" x14ac:dyDescent="0.25">
      <c r="A232" s="120"/>
      <c r="B232" s="8" t="s">
        <v>16</v>
      </c>
      <c r="C232" s="9">
        <v>0</v>
      </c>
      <c r="D232" s="9">
        <f>C227-C232-C233-C234-C235</f>
        <v>0</v>
      </c>
      <c r="E232" s="8"/>
      <c r="F232" s="17"/>
      <c r="G232" s="39"/>
      <c r="H232" s="29"/>
      <c r="I232" s="1"/>
      <c r="J232" s="2"/>
      <c r="K232" s="2" t="s">
        <v>7</v>
      </c>
      <c r="L232" s="2" t="s">
        <v>8</v>
      </c>
      <c r="M232" s="2" t="s">
        <v>9</v>
      </c>
      <c r="N232" s="2" t="s">
        <v>10</v>
      </c>
      <c r="O232" s="2" t="s">
        <v>11</v>
      </c>
      <c r="P232" s="4"/>
      <c r="Q232" s="3" t="s">
        <v>44</v>
      </c>
      <c r="R232" s="58">
        <f>W201-V237</f>
        <v>7393376</v>
      </c>
      <c r="S232" s="63">
        <f>W201-W237</f>
        <v>0</v>
      </c>
      <c r="T232" s="105"/>
      <c r="U232" s="3"/>
      <c r="V232" s="58"/>
      <c r="W232" s="63"/>
    </row>
    <row r="233" spans="1:23" x14ac:dyDescent="0.25">
      <c r="A233" s="120"/>
      <c r="B233" s="8" t="s">
        <v>19</v>
      </c>
      <c r="C233" s="9">
        <v>0</v>
      </c>
      <c r="D233" s="9"/>
      <c r="E233" s="8"/>
      <c r="F233" s="8"/>
      <c r="G233" s="39"/>
      <c r="H233" s="29"/>
      <c r="I233" s="1"/>
      <c r="J233" s="2" t="s">
        <v>16</v>
      </c>
      <c r="K233" s="2">
        <v>0</v>
      </c>
      <c r="L233" s="108">
        <v>0</v>
      </c>
      <c r="M233" s="115">
        <v>0</v>
      </c>
      <c r="N233" s="2">
        <f>C232+N197-M233</f>
        <v>445549</v>
      </c>
      <c r="O233" s="2">
        <f>O220</f>
        <v>5</v>
      </c>
      <c r="P233" s="4"/>
      <c r="Q233" s="6"/>
      <c r="R233" s="64"/>
      <c r="S233" s="86"/>
      <c r="T233" s="64"/>
      <c r="U233" s="55"/>
      <c r="V233" s="87"/>
      <c r="W233" s="105"/>
    </row>
    <row r="234" spans="1:23" x14ac:dyDescent="0.25">
      <c r="A234" s="120"/>
      <c r="B234" s="8" t="s">
        <v>22</v>
      </c>
      <c r="C234" s="9">
        <v>0</v>
      </c>
      <c r="D234" s="9"/>
      <c r="E234" s="8"/>
      <c r="F234" s="8"/>
      <c r="G234" s="39"/>
      <c r="H234" s="29"/>
      <c r="I234" s="1"/>
      <c r="J234" s="2" t="s">
        <v>19</v>
      </c>
      <c r="K234" s="2">
        <v>0</v>
      </c>
      <c r="L234" s="108">
        <v>0</v>
      </c>
      <c r="M234" s="115">
        <v>0</v>
      </c>
      <c r="N234" s="2">
        <f>C233+N198-M234</f>
        <v>485805</v>
      </c>
      <c r="O234" s="2">
        <f>O221</f>
        <v>6</v>
      </c>
      <c r="P234" s="4"/>
      <c r="Q234" s="3" t="s">
        <v>45</v>
      </c>
      <c r="R234" s="58">
        <f>D221+D222+D223+D224</f>
        <v>0</v>
      </c>
      <c r="S234" s="63">
        <f>D221+D222+D223+D224</f>
        <v>0</v>
      </c>
      <c r="T234" s="105"/>
      <c r="U234" s="132" t="s">
        <v>46</v>
      </c>
      <c r="V234" s="132"/>
      <c r="W234" s="63"/>
    </row>
    <row r="235" spans="1:23" x14ac:dyDescent="0.25">
      <c r="A235" s="120"/>
      <c r="B235" s="8" t="s">
        <v>24</v>
      </c>
      <c r="C235" s="9">
        <v>0</v>
      </c>
      <c r="D235" s="9"/>
      <c r="E235" s="8"/>
      <c r="F235" s="8"/>
      <c r="G235" s="39"/>
      <c r="H235" s="29"/>
      <c r="I235" s="1"/>
      <c r="J235" s="2" t="s">
        <v>22</v>
      </c>
      <c r="K235" s="2">
        <v>0</v>
      </c>
      <c r="L235" s="108">
        <v>0</v>
      </c>
      <c r="M235" s="115">
        <v>0</v>
      </c>
      <c r="N235" s="2">
        <f>C234+N199-M235</f>
        <v>455728</v>
      </c>
      <c r="O235" s="2">
        <f>O222</f>
        <v>5</v>
      </c>
      <c r="P235" s="4"/>
      <c r="Q235" s="3" t="s">
        <v>47</v>
      </c>
      <c r="R235" s="58">
        <f>C232*0.4+C233*0.1+C234*0.4+C235*0.5</f>
        <v>0</v>
      </c>
      <c r="S235" s="63">
        <f>C232*0.4+C233*0.1+C234*0.4+C235*0.5</f>
        <v>0</v>
      </c>
      <c r="T235" s="105"/>
      <c r="U235" s="3" t="s">
        <v>48</v>
      </c>
      <c r="V235" s="58">
        <f>V231</f>
        <v>0</v>
      </c>
      <c r="W235" s="63">
        <f>W231</f>
        <v>0</v>
      </c>
    </row>
    <row r="236" spans="1:23" x14ac:dyDescent="0.25">
      <c r="A236" s="120"/>
      <c r="B236" s="11" t="s">
        <v>51</v>
      </c>
      <c r="C236" s="8"/>
      <c r="D236" s="8"/>
      <c r="E236" s="8"/>
      <c r="F236" s="8"/>
      <c r="G236" s="39"/>
      <c r="H236" s="29"/>
      <c r="I236" s="1"/>
      <c r="J236" s="2" t="s">
        <v>24</v>
      </c>
      <c r="K236" s="2">
        <v>0</v>
      </c>
      <c r="L236" s="108">
        <v>0</v>
      </c>
      <c r="M236" s="115">
        <v>0</v>
      </c>
      <c r="N236" s="2">
        <f>C235+N200-M236</f>
        <v>461262</v>
      </c>
      <c r="O236" s="2">
        <f>O223</f>
        <v>6</v>
      </c>
      <c r="P236" s="4"/>
      <c r="Q236" s="3" t="s">
        <v>49</v>
      </c>
      <c r="R236" s="58">
        <f>B238*0.4+C238*0.7+D238*0.8+B240*0.4+C240*0.4+D240*0.5+B242*0.7+C242*0.4+D242*0.4+B244*0.8+C244*0.5+D244*0.4</f>
        <v>0</v>
      </c>
      <c r="S236" s="63">
        <f>B238*0.4+C238*0.7+D238*0.8+B240*0.4+C240*0.4+D240*0.5+B242*0.7+C242*0.4+D242*0.4+B244*0.8+C244*0.5+D244*0.4</f>
        <v>0</v>
      </c>
      <c r="T236" s="105"/>
      <c r="U236" s="3" t="s">
        <v>50</v>
      </c>
      <c r="V236" s="58">
        <f>N226*((V225+W200)/(G220+G221+N203))</f>
        <v>11231161.790959824</v>
      </c>
      <c r="W236" s="63">
        <f>N239*((W225+W200)/(G220+G221+N190))</f>
        <v>11231161.790959824</v>
      </c>
    </row>
    <row r="237" spans="1:23" x14ac:dyDescent="0.25">
      <c r="A237" s="120"/>
      <c r="B237" s="8" t="s">
        <v>53</v>
      </c>
      <c r="C237" s="8" t="s">
        <v>54</v>
      </c>
      <c r="D237" s="8" t="s">
        <v>55</v>
      </c>
      <c r="E237" s="8"/>
      <c r="F237" s="9"/>
      <c r="G237" s="39"/>
      <c r="H237" s="29"/>
      <c r="I237" s="1"/>
      <c r="J237" s="27"/>
      <c r="K237" s="2"/>
      <c r="L237" s="108"/>
      <c r="M237" s="2"/>
      <c r="N237" s="2"/>
      <c r="O237" s="2"/>
      <c r="P237" s="4"/>
      <c r="Q237" s="6"/>
      <c r="R237" s="64"/>
      <c r="S237" s="99"/>
      <c r="T237" s="105"/>
      <c r="U237" s="3" t="s">
        <v>52</v>
      </c>
      <c r="V237" s="58">
        <f>4*M226</f>
        <v>0</v>
      </c>
      <c r="W237" s="63">
        <f>4*M239</f>
        <v>7393376</v>
      </c>
    </row>
    <row r="238" spans="1:23" x14ac:dyDescent="0.25">
      <c r="A238" s="120"/>
      <c r="B238" s="9">
        <v>0</v>
      </c>
      <c r="C238" s="9">
        <v>0</v>
      </c>
      <c r="D238" s="9">
        <v>0</v>
      </c>
      <c r="E238" s="8"/>
      <c r="F238" s="8"/>
      <c r="G238" s="39"/>
      <c r="H238" s="29"/>
      <c r="I238" s="1"/>
      <c r="J238" s="109" t="s">
        <v>94</v>
      </c>
      <c r="K238" s="110" t="s">
        <v>95</v>
      </c>
      <c r="L238" s="111" t="s">
        <v>96</v>
      </c>
      <c r="M238" s="112" t="s">
        <v>97</v>
      </c>
      <c r="N238" s="112" t="s">
        <v>98</v>
      </c>
      <c r="O238" s="112" t="s">
        <v>99</v>
      </c>
      <c r="P238" s="4"/>
      <c r="Q238" s="3" t="s">
        <v>56</v>
      </c>
      <c r="R238" s="58">
        <f>(C248+C249+C250+C252+C251)*500</f>
        <v>0</v>
      </c>
      <c r="S238" s="63">
        <f>(C248+C249+C250+C252+C251)*500</f>
        <v>0</v>
      </c>
      <c r="T238" s="105"/>
      <c r="U238" s="3" t="s">
        <v>57</v>
      </c>
      <c r="V238" s="58">
        <f>G222*500000+V202-R231</f>
        <v>5209760.689453125</v>
      </c>
      <c r="W238" s="63">
        <f>G222*500000+W202-R231</f>
        <v>5209760.689453125</v>
      </c>
    </row>
    <row r="239" spans="1:23" x14ac:dyDescent="0.25">
      <c r="A239" s="120"/>
      <c r="B239" s="8" t="s">
        <v>60</v>
      </c>
      <c r="C239" s="8" t="s">
        <v>54</v>
      </c>
      <c r="D239" s="8" t="s">
        <v>61</v>
      </c>
      <c r="E239" s="8"/>
      <c r="F239" s="8"/>
      <c r="G239" s="39"/>
      <c r="H239" s="29"/>
      <c r="I239" s="1"/>
      <c r="J239" s="2">
        <f>K233+K234+K235+K236</f>
        <v>0</v>
      </c>
      <c r="K239" s="115">
        <v>0</v>
      </c>
      <c r="L239" s="113">
        <f>M233+M234+M235+M236</f>
        <v>0</v>
      </c>
      <c r="M239" s="2">
        <f>N233+N234+N235+N236</f>
        <v>1848344</v>
      </c>
      <c r="N239" s="2">
        <f>G220+G221+N203-K239*1.35</f>
        <v>4521825</v>
      </c>
      <c r="O239" s="108">
        <f>(L233+L234+L235+L236)/4</f>
        <v>0</v>
      </c>
      <c r="P239" s="4"/>
      <c r="Q239" s="3" t="s">
        <v>58</v>
      </c>
      <c r="R239" s="63">
        <f>(C248+C249+C250+C251+C252)*1000</f>
        <v>0</v>
      </c>
      <c r="S239" s="63">
        <f>(C248+C249+C250+C251+C252)*1000</f>
        <v>0</v>
      </c>
      <c r="T239" s="105"/>
      <c r="U239" s="3" t="s">
        <v>59</v>
      </c>
      <c r="V239" s="58">
        <f>V238+V237+V236+V235</f>
        <v>16440922.480412949</v>
      </c>
      <c r="W239" s="63">
        <f>W238+W237+W236+W235</f>
        <v>23834298.480412949</v>
      </c>
    </row>
    <row r="240" spans="1:23" x14ac:dyDescent="0.25">
      <c r="A240" s="120"/>
      <c r="B240" s="9">
        <v>0</v>
      </c>
      <c r="C240" s="9">
        <v>0</v>
      </c>
      <c r="D240" s="9">
        <v>0</v>
      </c>
      <c r="E240" s="8"/>
      <c r="F240" s="8"/>
      <c r="G240" s="39"/>
      <c r="H240" s="29"/>
      <c r="I240" s="1"/>
      <c r="J240" s="110" t="s">
        <v>100</v>
      </c>
      <c r="K240" s="110" t="s">
        <v>101</v>
      </c>
      <c r="L240" s="112" t="s">
        <v>102</v>
      </c>
      <c r="M240" s="112" t="s">
        <v>103</v>
      </c>
      <c r="N240" s="112" t="s">
        <v>104</v>
      </c>
      <c r="O240" s="112" t="s">
        <v>105</v>
      </c>
      <c r="P240" s="4"/>
      <c r="Q240" s="3" t="s">
        <v>62</v>
      </c>
      <c r="R240" s="63">
        <f>(C248+C249+C250+C251)*4500+C252*3750+(O184+O185+O186+O187-D248-D249-D250-D251)*9000+(N192-D252)*7500</f>
        <v>468000</v>
      </c>
      <c r="S240" s="63">
        <f>(C248+C249+C250+C251)*4500+C252*3750+(O184+O185+O186+O187-D248-D249-D250-D251)*9000+(N192-D252)*7500</f>
        <v>468000</v>
      </c>
      <c r="T240" s="105"/>
      <c r="U240" s="3" t="s">
        <v>63</v>
      </c>
      <c r="V240" s="58">
        <f>G227+W206-G228</f>
        <v>24978347.100118402</v>
      </c>
      <c r="W240" s="63">
        <f>G227+W206-G228</f>
        <v>24978347.100118402</v>
      </c>
    </row>
    <row r="241" spans="1:23" x14ac:dyDescent="0.25">
      <c r="A241" s="120"/>
      <c r="B241" s="8" t="s">
        <v>66</v>
      </c>
      <c r="C241" s="8" t="s">
        <v>67</v>
      </c>
      <c r="D241" s="8" t="s">
        <v>68</v>
      </c>
      <c r="E241" s="8"/>
      <c r="F241" s="8"/>
      <c r="G241" s="39"/>
      <c r="H241" s="29"/>
      <c r="I241" s="1"/>
      <c r="J241" s="115">
        <v>0</v>
      </c>
      <c r="K241" s="115">
        <v>0</v>
      </c>
      <c r="L241" s="2">
        <f>L228</f>
        <v>12</v>
      </c>
      <c r="M241" s="2">
        <f>N241+O233+O234+O235+O236</f>
        <v>58</v>
      </c>
      <c r="N241" s="2">
        <f>N228</f>
        <v>36</v>
      </c>
      <c r="O241" s="2">
        <f>O236+O235+O234+O233</f>
        <v>22</v>
      </c>
      <c r="P241" s="4"/>
      <c r="Q241" s="3" t="s">
        <v>64</v>
      </c>
      <c r="R241" s="63">
        <f>(D248+D249+D250+D251)*6000+D252*5000</f>
        <v>0</v>
      </c>
      <c r="S241" s="63">
        <f>(D248+D249+D250+D251)*6000+D252*5000</f>
        <v>0</v>
      </c>
      <c r="T241" s="105"/>
      <c r="U241" s="3" t="s">
        <v>65</v>
      </c>
      <c r="V241" s="58">
        <f>IF(2*J245=2*1,V220/2-(V230+W195),"0")</f>
        <v>2073910.4488731532</v>
      </c>
      <c r="W241" s="63">
        <f>IF(2*K245=2*1,W220/2-(W230+W195),"0")</f>
        <v>2998082.4488731534</v>
      </c>
    </row>
    <row r="242" spans="1:23" x14ac:dyDescent="0.25">
      <c r="A242" s="120"/>
      <c r="B242" s="9">
        <v>0</v>
      </c>
      <c r="C242" s="9">
        <v>0</v>
      </c>
      <c r="D242" s="9">
        <v>0</v>
      </c>
      <c r="E242" s="8"/>
      <c r="F242" s="8"/>
      <c r="G242" s="39"/>
      <c r="H242" s="29"/>
      <c r="I242" s="1"/>
      <c r="J242" s="7"/>
      <c r="K242" s="5"/>
      <c r="L242" s="5"/>
      <c r="M242" s="5"/>
      <c r="P242" s="4"/>
      <c r="Q242" s="3" t="s">
        <v>69</v>
      </c>
      <c r="R242" s="63">
        <f>W200*10%</f>
        <v>1123116.1790959823</v>
      </c>
      <c r="S242" s="63">
        <f>W200*10%</f>
        <v>1123116.1790959823</v>
      </c>
      <c r="T242" s="105"/>
      <c r="U242" s="3" t="s">
        <v>70</v>
      </c>
      <c r="V242" s="58">
        <f>V240+V241</f>
        <v>27052257.548991557</v>
      </c>
      <c r="W242" s="63">
        <f>W241+W240</f>
        <v>27976429.548991557</v>
      </c>
    </row>
    <row r="243" spans="1:23" x14ac:dyDescent="0.25">
      <c r="A243" s="120"/>
      <c r="B243" s="8" t="s">
        <v>73</v>
      </c>
      <c r="C243" s="8" t="s">
        <v>74</v>
      </c>
      <c r="D243" s="8" t="s">
        <v>75</v>
      </c>
      <c r="E243" s="8"/>
      <c r="F243" s="8"/>
      <c r="G243" s="39"/>
      <c r="H243" s="29"/>
      <c r="I243" s="1"/>
      <c r="J243" s="22"/>
      <c r="K243" s="22"/>
      <c r="P243" s="4"/>
      <c r="Q243" s="3" t="s">
        <v>71</v>
      </c>
      <c r="R243" s="58">
        <f>0.5*M226</f>
        <v>0</v>
      </c>
      <c r="S243" s="63">
        <f>0.5*M239</f>
        <v>924172</v>
      </c>
      <c r="T243" s="105"/>
      <c r="U243" s="3" t="s">
        <v>72</v>
      </c>
      <c r="V243" s="58">
        <f>V239-V242</f>
        <v>-10611335.068578608</v>
      </c>
      <c r="W243" s="63">
        <f>W239-W242</f>
        <v>-4142131.0685786083</v>
      </c>
    </row>
    <row r="244" spans="1:23" x14ac:dyDescent="0.25">
      <c r="A244" s="120"/>
      <c r="B244" s="9">
        <v>0</v>
      </c>
      <c r="C244" s="9">
        <v>0</v>
      </c>
      <c r="D244" s="9">
        <v>0</v>
      </c>
      <c r="E244" s="8"/>
      <c r="F244" s="8"/>
      <c r="G244" s="39"/>
      <c r="H244" s="29"/>
      <c r="I244" s="24"/>
      <c r="J244" s="28" t="s">
        <v>114</v>
      </c>
      <c r="K244" s="28" t="s">
        <v>115</v>
      </c>
      <c r="P244" s="4"/>
      <c r="Q244" s="59"/>
      <c r="R244" s="74"/>
      <c r="S244" s="90"/>
      <c r="T244" s="64"/>
      <c r="U244" s="4"/>
      <c r="V244" s="64"/>
      <c r="W244" s="105"/>
    </row>
    <row r="245" spans="1:23" x14ac:dyDescent="0.25">
      <c r="A245" s="120"/>
      <c r="B245" s="8"/>
      <c r="C245" s="8"/>
      <c r="D245" s="8"/>
      <c r="E245" s="8"/>
      <c r="F245" s="8"/>
      <c r="G245" s="39"/>
      <c r="H245" s="29"/>
      <c r="I245" s="24"/>
      <c r="J245" s="27" t="str">
        <f>IF((W195+V230)&lt;=V220/2,"1","0")</f>
        <v>1</v>
      </c>
      <c r="K245" s="27" t="str">
        <f>IF((W195+W230)&lt;=W220/2,"1","0")</f>
        <v>1</v>
      </c>
      <c r="P245" s="4"/>
      <c r="Q245" s="3" t="s">
        <v>76</v>
      </c>
      <c r="R245" s="58">
        <f>V240*M1/4+W205*M1/4*3</f>
        <v>338794.26977717085</v>
      </c>
      <c r="S245" s="63">
        <f>W240*M1/4+W205*M1/4*3</f>
        <v>338794.26977717085</v>
      </c>
      <c r="T245" s="64"/>
      <c r="U245" s="4"/>
      <c r="V245" s="64"/>
      <c r="W245" s="105"/>
    </row>
    <row r="246" spans="1:23" x14ac:dyDescent="0.25">
      <c r="A246" s="120"/>
      <c r="B246" s="18" t="s">
        <v>126</v>
      </c>
      <c r="C246" s="8"/>
      <c r="D246" s="8"/>
      <c r="E246" s="8"/>
      <c r="F246" s="8"/>
      <c r="G246" s="39"/>
      <c r="H246" s="29"/>
      <c r="I246" s="24"/>
      <c r="J246" s="26" t="s">
        <v>117</v>
      </c>
      <c r="K246" s="27"/>
      <c r="P246" s="4"/>
      <c r="Q246" s="6"/>
      <c r="R246" s="64"/>
      <c r="S246" s="99"/>
      <c r="T246" s="64"/>
      <c r="U246" s="4"/>
      <c r="V246" s="64"/>
      <c r="W246" s="105"/>
    </row>
    <row r="247" spans="1:23" x14ac:dyDescent="0.25">
      <c r="A247" s="120"/>
      <c r="B247" s="8"/>
      <c r="C247" s="8" t="s">
        <v>78</v>
      </c>
      <c r="D247" s="8" t="s">
        <v>79</v>
      </c>
      <c r="E247" s="8"/>
      <c r="F247" s="8"/>
      <c r="G247" s="39"/>
      <c r="H247" s="29"/>
      <c r="I247" s="24"/>
      <c r="J247" s="27">
        <f>N203+G221-H220</f>
        <v>4521825</v>
      </c>
      <c r="K247" s="27"/>
      <c r="P247" s="4"/>
      <c r="Q247" s="3" t="s">
        <v>77</v>
      </c>
      <c r="R247" s="67">
        <f>(R221/(1+E1))*E1</f>
        <v>0</v>
      </c>
      <c r="S247" s="63">
        <f>S221/(1+E1)*E1</f>
        <v>0</v>
      </c>
      <c r="T247" s="64"/>
      <c r="U247" s="4"/>
      <c r="V247" s="64"/>
      <c r="W247" s="105"/>
    </row>
    <row r="248" spans="1:23" x14ac:dyDescent="0.25">
      <c r="A248" s="120"/>
      <c r="B248" s="8" t="s">
        <v>16</v>
      </c>
      <c r="C248" s="9">
        <v>0</v>
      </c>
      <c r="D248" s="9">
        <v>0</v>
      </c>
      <c r="E248" s="8"/>
      <c r="F248" s="8"/>
      <c r="G248" s="39"/>
      <c r="H248" s="29"/>
      <c r="I248" s="24"/>
      <c r="P248" s="4"/>
      <c r="Q248" s="3" t="s">
        <v>80</v>
      </c>
      <c r="R248" s="63">
        <f>R247*G1</f>
        <v>0</v>
      </c>
      <c r="S248" s="63">
        <f>S247*G1</f>
        <v>0</v>
      </c>
      <c r="T248" s="64"/>
      <c r="U248" s="4"/>
      <c r="V248" s="64"/>
      <c r="W248" s="105"/>
    </row>
    <row r="249" spans="1:23" x14ac:dyDescent="0.25">
      <c r="A249" s="120"/>
      <c r="B249" s="8" t="s">
        <v>19</v>
      </c>
      <c r="C249" s="9">
        <v>0</v>
      </c>
      <c r="D249" s="9">
        <v>0</v>
      </c>
      <c r="E249" s="8"/>
      <c r="F249" s="8"/>
      <c r="G249" s="39"/>
      <c r="H249" s="29"/>
      <c r="I249" s="24"/>
      <c r="P249" s="4"/>
      <c r="Q249" s="3" t="s">
        <v>81</v>
      </c>
      <c r="R249" s="63">
        <f>(R221/(1+E1)-(R234+R235+R245+R243+R242+R241+R240+R239+R223+R225+R224+R226+R227+R228+R229+R230+R231+R232+R238)-R248)*K1</f>
        <v>-2400217.264073757</v>
      </c>
      <c r="S249" s="63">
        <f>(S221/(1+E1)-(S223+S224+S225+S226+S227+S228+S229+S230+S231+S232+S234+S235+S236+S238+S239+S240+S241+S242+S243+S245)-S248)*K1</f>
        <v>-782916.26407375711</v>
      </c>
      <c r="T249" s="64"/>
      <c r="U249" s="4"/>
      <c r="V249" s="64"/>
      <c r="W249" s="105"/>
    </row>
    <row r="250" spans="1:23" x14ac:dyDescent="0.25">
      <c r="A250" s="120"/>
      <c r="B250" s="8" t="s">
        <v>22</v>
      </c>
      <c r="C250" s="9">
        <v>0</v>
      </c>
      <c r="D250" s="9">
        <v>0</v>
      </c>
      <c r="E250" s="8"/>
      <c r="F250" s="8"/>
      <c r="G250" s="39"/>
      <c r="H250" s="29"/>
      <c r="I250" s="24"/>
      <c r="P250" s="4"/>
      <c r="Q250" s="3"/>
      <c r="R250" s="63" t="str">
        <f>IF(R249&lt;=0,"0",R249)</f>
        <v>0</v>
      </c>
      <c r="S250" s="63" t="str">
        <f>IF(S249&lt;=0,"0",S249)</f>
        <v>0</v>
      </c>
      <c r="T250" s="64"/>
      <c r="U250" s="4"/>
      <c r="V250" s="64"/>
      <c r="W250" s="105"/>
    </row>
    <row r="251" spans="1:23" x14ac:dyDescent="0.25">
      <c r="A251" s="120"/>
      <c r="B251" s="8" t="s">
        <v>24</v>
      </c>
      <c r="C251" s="9">
        <v>0</v>
      </c>
      <c r="D251" s="9">
        <v>0</v>
      </c>
      <c r="E251" s="8"/>
      <c r="F251" s="8"/>
      <c r="G251" s="39"/>
      <c r="H251" s="29"/>
      <c r="I251" s="24"/>
      <c r="P251" s="4"/>
      <c r="Q251" s="3" t="s">
        <v>82</v>
      </c>
      <c r="R251" s="63">
        <f>R223+R227+R230+R238+R239+R240+R224+R225+R226+R228+R229+R231+R232+R234+R235+R236+R241+R242+R243+R245+R247+R248+R250</f>
        <v>9600869.056295028</v>
      </c>
      <c r="S251" s="63">
        <f>S223+S227+S230+S238+S239+S240+S224+S225+S226+S228+S229+S231+S232+S234+S235+S236+S241+S242+S243+S245+S247+S248+S250</f>
        <v>3131665.0562950284</v>
      </c>
      <c r="T251" s="64"/>
      <c r="U251" s="4"/>
      <c r="V251" s="64"/>
      <c r="W251" s="105"/>
    </row>
    <row r="252" spans="1:23" x14ac:dyDescent="0.25">
      <c r="A252" s="120"/>
      <c r="B252" s="8" t="s">
        <v>83</v>
      </c>
      <c r="C252" s="9">
        <v>0</v>
      </c>
      <c r="D252" s="9">
        <v>0</v>
      </c>
      <c r="E252" s="8"/>
      <c r="F252" s="8"/>
      <c r="G252" s="39"/>
      <c r="H252" s="29"/>
      <c r="I252" s="24"/>
      <c r="P252" s="4"/>
      <c r="Q252" s="59"/>
      <c r="R252" s="74"/>
      <c r="S252" s="90"/>
      <c r="T252" s="64"/>
      <c r="U252" s="4"/>
      <c r="V252" s="64"/>
      <c r="W252" s="105"/>
    </row>
    <row r="253" spans="1:23" ht="14.4" thickBot="1" x14ac:dyDescent="0.3">
      <c r="A253" s="121"/>
      <c r="B253" s="8"/>
      <c r="C253" s="9"/>
      <c r="D253" s="8"/>
      <c r="E253" s="8"/>
      <c r="F253" s="8"/>
      <c r="G253" s="39"/>
      <c r="H253" s="29"/>
      <c r="I253" s="25"/>
      <c r="P253" s="4"/>
      <c r="Q253" s="3" t="s">
        <v>84</v>
      </c>
      <c r="R253" s="58">
        <f>R221-R251</f>
        <v>-9600869.056295028</v>
      </c>
      <c r="S253" s="63">
        <f>S221-S251</f>
        <v>-3131665.0562950284</v>
      </c>
      <c r="T253" s="116"/>
      <c r="U253" s="4"/>
      <c r="V253" s="64"/>
      <c r="W253" s="105"/>
    </row>
    <row r="254" spans="1:23" ht="15" thickTop="1" thickBot="1" x14ac:dyDescent="0.3">
      <c r="A254" s="119" t="s">
        <v>91</v>
      </c>
      <c r="B254" s="122" t="s">
        <v>3</v>
      </c>
      <c r="C254" s="123"/>
      <c r="D254" s="123"/>
      <c r="E254" s="123"/>
      <c r="F254" s="123"/>
      <c r="G254" s="123"/>
      <c r="H254" s="29"/>
      <c r="I254" s="1"/>
      <c r="J254" s="118" t="s">
        <v>112</v>
      </c>
      <c r="K254" s="118"/>
      <c r="L254" s="118"/>
      <c r="M254" s="118"/>
      <c r="N254" s="118"/>
      <c r="O254" s="118"/>
      <c r="P254" s="4"/>
      <c r="Q254" s="131" t="s">
        <v>1</v>
      </c>
      <c r="R254" s="130"/>
      <c r="S254" s="100" t="s">
        <v>111</v>
      </c>
      <c r="T254" s="105"/>
      <c r="U254" s="132" t="s">
        <v>2</v>
      </c>
      <c r="V254" s="132"/>
      <c r="W254" s="21" t="s">
        <v>111</v>
      </c>
    </row>
    <row r="255" spans="1:23" ht="14.4" thickTop="1" x14ac:dyDescent="0.25">
      <c r="A255" s="120"/>
      <c r="B255" s="18" t="s">
        <v>121</v>
      </c>
      <c r="C255" s="8"/>
      <c r="D255" s="8"/>
      <c r="E255" s="8"/>
      <c r="F255" s="18" t="s">
        <v>122</v>
      </c>
      <c r="G255" s="39"/>
      <c r="H255" s="45"/>
      <c r="I255" s="1"/>
      <c r="J255" s="2"/>
      <c r="K255" s="2" t="s">
        <v>7</v>
      </c>
      <c r="L255" s="2" t="s">
        <v>8</v>
      </c>
      <c r="M255" s="2" t="s">
        <v>9</v>
      </c>
      <c r="N255" s="2" t="s">
        <v>10</v>
      </c>
      <c r="O255" s="2" t="s">
        <v>11</v>
      </c>
      <c r="P255" s="4"/>
      <c r="Q255" s="3" t="s">
        <v>5</v>
      </c>
      <c r="R255" s="66" t="s">
        <v>6</v>
      </c>
      <c r="S255" s="97" t="s">
        <v>6</v>
      </c>
      <c r="T255" s="105"/>
      <c r="U255" s="3" t="s">
        <v>5</v>
      </c>
      <c r="V255" s="56" t="s">
        <v>6</v>
      </c>
      <c r="W255" s="56" t="s">
        <v>6</v>
      </c>
    </row>
    <row r="256" spans="1:23" x14ac:dyDescent="0.25">
      <c r="A256" s="120"/>
      <c r="B256" s="8"/>
      <c r="C256" s="8" t="s">
        <v>13</v>
      </c>
      <c r="D256" s="8" t="s">
        <v>14</v>
      </c>
      <c r="E256" s="8"/>
      <c r="F256" s="8" t="s">
        <v>15</v>
      </c>
      <c r="G256" s="40">
        <v>0</v>
      </c>
      <c r="H256" s="46"/>
      <c r="I256" s="1"/>
      <c r="J256" s="2" t="s">
        <v>16</v>
      </c>
      <c r="K256" s="2"/>
      <c r="L256" s="108"/>
      <c r="M256" s="2">
        <f>C268</f>
        <v>0</v>
      </c>
      <c r="N256" s="2">
        <f>C268-M256</f>
        <v>0</v>
      </c>
      <c r="O256" s="2">
        <f>O220+C284-D284</f>
        <v>5</v>
      </c>
      <c r="P256" s="4"/>
      <c r="Q256" s="59"/>
      <c r="R256" s="74"/>
      <c r="S256" s="90"/>
      <c r="T256" s="105"/>
      <c r="U256" s="3" t="s">
        <v>12</v>
      </c>
      <c r="V256" s="58">
        <f>R257</f>
        <v>0</v>
      </c>
      <c r="W256" s="63">
        <f>S257</f>
        <v>0</v>
      </c>
    </row>
    <row r="257" spans="1:23" x14ac:dyDescent="0.25">
      <c r="A257" s="120"/>
      <c r="B257" s="8" t="s">
        <v>16</v>
      </c>
      <c r="C257" s="9">
        <v>0</v>
      </c>
      <c r="D257" s="9">
        <v>0</v>
      </c>
      <c r="E257" s="8"/>
      <c r="F257" s="8" t="s">
        <v>18</v>
      </c>
      <c r="G257" s="40">
        <v>0</v>
      </c>
      <c r="H257" s="46"/>
      <c r="I257" s="1"/>
      <c r="J257" s="2" t="s">
        <v>19</v>
      </c>
      <c r="K257" s="2"/>
      <c r="L257" s="108"/>
      <c r="M257" s="2">
        <f>C269</f>
        <v>0</v>
      </c>
      <c r="N257" s="2">
        <f>C269-M257</f>
        <v>0</v>
      </c>
      <c r="O257" s="2">
        <f>O221+C285-D285</f>
        <v>6</v>
      </c>
      <c r="P257" s="4"/>
      <c r="Q257" s="3" t="s">
        <v>12</v>
      </c>
      <c r="R257" s="58">
        <f>C257*(C268+N233)+C258*(C269+N234)+C259*(C270+N235)+C260*(C271+N236)</f>
        <v>0</v>
      </c>
      <c r="S257" s="63">
        <f>C257*M269+M270*C258+C259*M271+M272*C260</f>
        <v>0</v>
      </c>
      <c r="T257" s="105"/>
      <c r="U257" s="3" t="s">
        <v>17</v>
      </c>
      <c r="V257" s="58">
        <f>G263</f>
        <v>0</v>
      </c>
      <c r="W257" s="63">
        <f>G263</f>
        <v>0</v>
      </c>
    </row>
    <row r="258" spans="1:23" x14ac:dyDescent="0.25">
      <c r="A258" s="120"/>
      <c r="B258" s="8" t="s">
        <v>19</v>
      </c>
      <c r="C258" s="9">
        <v>0</v>
      </c>
      <c r="D258" s="9">
        <v>0</v>
      </c>
      <c r="E258" s="8"/>
      <c r="F258" s="8" t="s">
        <v>21</v>
      </c>
      <c r="G258" s="40">
        <v>0</v>
      </c>
      <c r="H258" s="46"/>
      <c r="I258" s="1"/>
      <c r="J258" s="2" t="s">
        <v>22</v>
      </c>
      <c r="K258" s="2"/>
      <c r="L258" s="108"/>
      <c r="M258" s="2">
        <f>C270</f>
        <v>0</v>
      </c>
      <c r="N258" s="2">
        <f>C270-M258</f>
        <v>0</v>
      </c>
      <c r="O258" s="2">
        <f>C286+O222-D286</f>
        <v>5</v>
      </c>
      <c r="P258" s="4"/>
      <c r="Q258" s="59"/>
      <c r="R258" s="74"/>
      <c r="S258" s="90"/>
      <c r="T258" s="105"/>
      <c r="U258" s="3" t="s">
        <v>20</v>
      </c>
      <c r="V258" s="58">
        <f>V257+V256</f>
        <v>0</v>
      </c>
      <c r="W258" s="63">
        <f>W257+W256</f>
        <v>0</v>
      </c>
    </row>
    <row r="259" spans="1:23" x14ac:dyDescent="0.25">
      <c r="A259" s="120"/>
      <c r="B259" s="8" t="s">
        <v>22</v>
      </c>
      <c r="C259" s="9">
        <v>0</v>
      </c>
      <c r="D259" s="9">
        <v>0</v>
      </c>
      <c r="E259" s="8"/>
      <c r="F259" s="8"/>
      <c r="G259" s="39"/>
      <c r="H259" s="29"/>
      <c r="I259" s="1"/>
      <c r="J259" s="2" t="s">
        <v>24</v>
      </c>
      <c r="K259" s="2"/>
      <c r="L259" s="108"/>
      <c r="M259" s="2">
        <f>C271</f>
        <v>0</v>
      </c>
      <c r="N259" s="2">
        <f>C271-M259</f>
        <v>0</v>
      </c>
      <c r="O259" s="2">
        <f>O223+C287-D287</f>
        <v>6</v>
      </c>
      <c r="P259" s="4"/>
      <c r="Q259" s="3" t="s">
        <v>23</v>
      </c>
      <c r="R259" s="58">
        <f>C264</f>
        <v>0</v>
      </c>
      <c r="S259" s="63">
        <f>C264</f>
        <v>0</v>
      </c>
      <c r="T259" s="105"/>
      <c r="U259" s="3"/>
      <c r="V259" s="58"/>
      <c r="W259" s="63"/>
    </row>
    <row r="260" spans="1:23" x14ac:dyDescent="0.25">
      <c r="A260" s="120"/>
      <c r="B260" s="8" t="s">
        <v>24</v>
      </c>
      <c r="C260" s="9">
        <v>0</v>
      </c>
      <c r="D260" s="9">
        <v>0</v>
      </c>
      <c r="E260" s="8"/>
      <c r="F260" s="8"/>
      <c r="G260" s="39"/>
      <c r="H260" s="29"/>
      <c r="I260" s="1"/>
      <c r="J260" s="27"/>
      <c r="K260" s="2"/>
      <c r="L260" s="108"/>
      <c r="M260" s="2"/>
      <c r="N260" s="2"/>
      <c r="O260" s="2"/>
      <c r="P260" s="4"/>
      <c r="Q260" s="3" t="s">
        <v>25</v>
      </c>
      <c r="R260" s="63" t="str">
        <f>IF(C263=0,"0",IF(C263/K228&lt;=1.5,"10000",IF(C263/K228&lt;=2.5,"15000","20000")))</f>
        <v>0</v>
      </c>
      <c r="S260" s="63" t="str">
        <f>IF(K275=0,"0",IF(K275/K228&lt;=1.5,"10000",IF(K275/K228&lt;=2.5,"15000","20000")))</f>
        <v>0</v>
      </c>
      <c r="T260" s="105"/>
      <c r="U260" s="3" t="s">
        <v>26</v>
      </c>
      <c r="V260" s="58">
        <f>R259+R260+R261+R263+R264+R265+R266+R270+R271+R272+R274+R275+R276+R277+R278+R279+R281+R283+R284+R286</f>
        <v>2104822.9480520925</v>
      </c>
      <c r="W260" s="63">
        <f>S259+S260+S261+S263+S264+S265+S266+S270+S271+S272+S274+S275+S276+S277+S278+S279+S281+S283+S284+S286</f>
        <v>3028994.9480520929</v>
      </c>
    </row>
    <row r="261" spans="1:23" x14ac:dyDescent="0.25">
      <c r="A261" s="120"/>
      <c r="B261" s="8"/>
      <c r="C261" s="8"/>
      <c r="D261" s="8"/>
      <c r="E261" s="8"/>
      <c r="F261" s="8"/>
      <c r="G261" s="39"/>
      <c r="H261" s="29"/>
      <c r="I261" s="1"/>
      <c r="J261" s="109" t="s">
        <v>94</v>
      </c>
      <c r="K261" s="110" t="s">
        <v>95</v>
      </c>
      <c r="L261" s="111" t="s">
        <v>96</v>
      </c>
      <c r="M261" s="112" t="s">
        <v>97</v>
      </c>
      <c r="N261" s="112" t="s">
        <v>98</v>
      </c>
      <c r="O261" s="112" t="s">
        <v>99</v>
      </c>
      <c r="P261" s="4"/>
      <c r="Q261" s="3" t="s">
        <v>27</v>
      </c>
      <c r="R261" s="63" t="str">
        <f>IF(C263=0,"0",IF(((C263/K228)*8)&lt;=8,C263*1.2,IF(((C263/K228)*8)&lt;=12,K228*1.2+(C263-K228)*1.3,IF(((C263/K228)*8)&lt;=16,K228*1.2+(C263-K228)*1.4,IF(((C263/K228)*8)&lt;=20,K228*1.2+K228*1.4+(C263-2*K228)*1.5,K228*1.2+K228*1.4+(C263-2*K228)*1.6)))))</f>
        <v>0</v>
      </c>
      <c r="S261" s="63" t="str">
        <f>IF(K275=0,"0",IF(((K275/K228)*8)&lt;=8,K275*1.2,IF(((K275/K228)*8)&lt;=12,K228*1.2+(K275-K228)*1.3,IF(((K275/K228)*8)&lt;=16,L228*1.2+(K275-K228)*1.4,IF(((K275/K228)*8)&lt;=20,K228*1.2+K228*1.4+(K275-2*K228)*1.5,K228*1.2+K228*1.4+(K275-2*K228)*1.6)))))</f>
        <v>0</v>
      </c>
      <c r="T261" s="133" t="s">
        <v>120</v>
      </c>
      <c r="U261" s="3" t="s">
        <v>28</v>
      </c>
      <c r="V261" s="58">
        <f>G256*T227+G257*T227</f>
        <v>0</v>
      </c>
      <c r="W261" s="63">
        <f>G256*T227+G257*T227</f>
        <v>0</v>
      </c>
    </row>
    <row r="262" spans="1:23" x14ac:dyDescent="0.25">
      <c r="A262" s="120"/>
      <c r="B262" s="18" t="s">
        <v>124</v>
      </c>
      <c r="C262" s="8"/>
      <c r="D262" s="18" t="s">
        <v>116</v>
      </c>
      <c r="E262" s="8"/>
      <c r="F262" s="18" t="s">
        <v>123</v>
      </c>
      <c r="G262" s="40"/>
      <c r="H262" s="46"/>
      <c r="I262" s="1"/>
      <c r="J262" s="2">
        <f>K256+K257+K258+K259</f>
        <v>0</v>
      </c>
      <c r="K262" s="112">
        <f>C263</f>
        <v>0</v>
      </c>
      <c r="L262" s="113">
        <f>M256+M257+M258+M259</f>
        <v>0</v>
      </c>
      <c r="M262" s="2">
        <f>N256+N257+N258+N259</f>
        <v>0</v>
      </c>
      <c r="N262" s="2">
        <f>G256+G257+N239-C263*1.35</f>
        <v>4521825</v>
      </c>
      <c r="O262" s="108">
        <f>(L256+L257+L258+L259)/4</f>
        <v>0</v>
      </c>
      <c r="P262" s="4"/>
      <c r="Q262" s="84" t="s">
        <v>113</v>
      </c>
      <c r="R262" s="63">
        <f>((V261+W236)/(G256+G257+N226))*C263*1.35-1</f>
        <v>-1</v>
      </c>
      <c r="S262" s="63">
        <f>((W261+W236)/(G256+G257+N239))*K275*1.35-1</f>
        <v>-1</v>
      </c>
      <c r="T262" s="134"/>
      <c r="U262" s="3" t="s">
        <v>30</v>
      </c>
      <c r="V262" s="58">
        <f>G258*500000</f>
        <v>0</v>
      </c>
      <c r="W262" s="63">
        <f>G258*500000</f>
        <v>0</v>
      </c>
    </row>
    <row r="263" spans="1:23" x14ac:dyDescent="0.25">
      <c r="A263" s="120"/>
      <c r="B263" s="8" t="s">
        <v>33</v>
      </c>
      <c r="C263" s="9">
        <f>K241*3</f>
        <v>0</v>
      </c>
      <c r="D263" s="9">
        <f>(N226+G257)/1.35</f>
        <v>3349500</v>
      </c>
      <c r="E263" s="8"/>
      <c r="F263" s="8" t="s">
        <v>17</v>
      </c>
      <c r="G263" s="40">
        <v>0</v>
      </c>
      <c r="H263" s="46"/>
      <c r="I263" s="1"/>
      <c r="J263" s="110" t="s">
        <v>100</v>
      </c>
      <c r="K263" s="110" t="s">
        <v>101</v>
      </c>
      <c r="L263" s="112" t="s">
        <v>102</v>
      </c>
      <c r="M263" s="112" t="s">
        <v>103</v>
      </c>
      <c r="N263" s="112" t="s">
        <v>104</v>
      </c>
      <c r="O263" s="112" t="s">
        <v>105</v>
      </c>
      <c r="P263" s="4"/>
      <c r="Q263" s="3" t="s">
        <v>31</v>
      </c>
      <c r="R263" s="63" t="str">
        <f>IF(G256=0,"0",IF(G256&lt;=500000,"40000",IF(G256&lt;=1000000,"80000",IF(G256&lt;=1500000,"120000",IF(G256&lt;=2000000,"160000","200000")))))</f>
        <v>0</v>
      </c>
      <c r="S263" s="63" t="str">
        <f>IF(G256=0,"0",IF(G256&lt;=500000,"40000",IF(G256&lt;=1000000,"80000",IF(G256&lt;=1500000,"120000",IF(G256&lt;=2000000,"160000","200000")))))</f>
        <v>0</v>
      </c>
      <c r="T263" s="114">
        <v>1.58</v>
      </c>
      <c r="U263" s="3" t="s">
        <v>32</v>
      </c>
      <c r="V263" s="58">
        <f>G264</f>
        <v>0</v>
      </c>
      <c r="W263" s="63">
        <f>G264</f>
        <v>0</v>
      </c>
    </row>
    <row r="264" spans="1:23" x14ac:dyDescent="0.25">
      <c r="A264" s="120"/>
      <c r="B264" s="8" t="s">
        <v>36</v>
      </c>
      <c r="C264" s="9">
        <v>0</v>
      </c>
      <c r="D264" s="8"/>
      <c r="E264" s="8"/>
      <c r="F264" s="8" t="s">
        <v>32</v>
      </c>
      <c r="G264" s="40">
        <v>0</v>
      </c>
      <c r="H264" s="46"/>
      <c r="I264" s="1"/>
      <c r="J264" s="2">
        <f>J241*0.975+G258*50000</f>
        <v>0</v>
      </c>
      <c r="K264" s="2">
        <f>J264</f>
        <v>0</v>
      </c>
      <c r="L264" s="2">
        <f>L228+G258</f>
        <v>12</v>
      </c>
      <c r="M264" s="2">
        <f>N264+O256+O257+O258+O259</f>
        <v>58</v>
      </c>
      <c r="N264" s="2">
        <f>C288+N228-D288</f>
        <v>36</v>
      </c>
      <c r="O264" s="2">
        <f>O259+O258+O257+O256</f>
        <v>22</v>
      </c>
      <c r="P264" s="4"/>
      <c r="Q264" s="3" t="s">
        <v>34</v>
      </c>
      <c r="R264" s="63">
        <f>G257*1</f>
        <v>0</v>
      </c>
      <c r="S264" s="63">
        <f>G257*1</f>
        <v>0</v>
      </c>
      <c r="T264" s="105"/>
      <c r="U264" s="3" t="s">
        <v>35</v>
      </c>
      <c r="V264" s="58">
        <f>G265</f>
        <v>0</v>
      </c>
      <c r="W264" s="63">
        <f>G265</f>
        <v>0</v>
      </c>
    </row>
    <row r="265" spans="1:23" x14ac:dyDescent="0.25">
      <c r="A265" s="120"/>
      <c r="B265" s="8"/>
      <c r="C265" s="8"/>
      <c r="D265" s="8"/>
      <c r="E265" s="8"/>
      <c r="F265" s="8" t="s">
        <v>35</v>
      </c>
      <c r="G265" s="40">
        <v>0</v>
      </c>
      <c r="H265" s="46"/>
      <c r="I265" s="1"/>
      <c r="P265" s="4"/>
      <c r="Q265" s="3" t="s">
        <v>37</v>
      </c>
      <c r="R265" s="58">
        <f>L228*12000</f>
        <v>144000</v>
      </c>
      <c r="S265" s="63">
        <f>L228*12000</f>
        <v>144000</v>
      </c>
      <c r="T265" s="105"/>
      <c r="U265" s="3" t="s">
        <v>38</v>
      </c>
      <c r="V265" s="58">
        <f>V260+V261+V262+V263+V264</f>
        <v>2104822.9480520925</v>
      </c>
      <c r="W265" s="63">
        <f>W264+W263+W262+W261+W260</f>
        <v>3028994.9480520929</v>
      </c>
    </row>
    <row r="266" spans="1:23" x14ac:dyDescent="0.25">
      <c r="A266" s="120"/>
      <c r="B266" s="18" t="s">
        <v>125</v>
      </c>
      <c r="C266" s="8"/>
      <c r="D266" s="8"/>
      <c r="E266" s="8"/>
      <c r="F266" s="8"/>
      <c r="G266" s="39"/>
      <c r="H266" s="29"/>
      <c r="I266" s="1"/>
      <c r="P266" s="4"/>
      <c r="Q266" s="3" t="s">
        <v>39</v>
      </c>
      <c r="R266" s="58">
        <f>G258*100000</f>
        <v>0</v>
      </c>
      <c r="S266" s="63">
        <f>G258*100000</f>
        <v>0</v>
      </c>
      <c r="T266" s="105"/>
      <c r="U266" s="3" t="s">
        <v>40</v>
      </c>
      <c r="V266" s="58">
        <f>V258-V265</f>
        <v>-2104822.9480520925</v>
      </c>
      <c r="W266" s="63">
        <f>W258-W265</f>
        <v>-3028994.9480520929</v>
      </c>
    </row>
    <row r="267" spans="1:23" x14ac:dyDescent="0.25">
      <c r="A267" s="120"/>
      <c r="B267" s="8"/>
      <c r="C267" s="8" t="s">
        <v>43</v>
      </c>
      <c r="D267" s="10"/>
      <c r="E267" s="8"/>
      <c r="F267" s="8"/>
      <c r="G267" s="39"/>
      <c r="H267" s="29"/>
      <c r="I267" s="1"/>
      <c r="J267" s="118" t="s">
        <v>118</v>
      </c>
      <c r="K267" s="118"/>
      <c r="L267" s="118"/>
      <c r="M267" s="118"/>
      <c r="N267" s="118"/>
      <c r="O267" s="118"/>
      <c r="P267" s="4"/>
      <c r="Q267" s="3" t="s">
        <v>41</v>
      </c>
      <c r="R267" s="58">
        <f>V238*2.5%</f>
        <v>130244.01723632813</v>
      </c>
      <c r="S267" s="63">
        <f>V238*2.5%</f>
        <v>130244.01723632813</v>
      </c>
      <c r="T267" s="105"/>
      <c r="U267" s="3" t="s">
        <v>42</v>
      </c>
      <c r="V267" s="58">
        <f>IF(2*J281=2*1,(V256/2),(V266+W231))</f>
        <v>0</v>
      </c>
      <c r="W267" s="63">
        <f>IF(2*K281=2*1,(W256/2),(W266+W231))</f>
        <v>0</v>
      </c>
    </row>
    <row r="268" spans="1:23" x14ac:dyDescent="0.25">
      <c r="A268" s="120"/>
      <c r="B268" s="8" t="s">
        <v>16</v>
      </c>
      <c r="C268" s="9">
        <v>0</v>
      </c>
      <c r="D268" s="9">
        <f>C263-C268-C269-C270-C271</f>
        <v>0</v>
      </c>
      <c r="E268" s="8"/>
      <c r="F268" s="17"/>
      <c r="G268" s="39"/>
      <c r="H268" s="29"/>
      <c r="I268" s="1"/>
      <c r="J268" s="2"/>
      <c r="K268" s="2" t="s">
        <v>7</v>
      </c>
      <c r="L268" s="2" t="s">
        <v>8</v>
      </c>
      <c r="M268" s="2" t="s">
        <v>9</v>
      </c>
      <c r="N268" s="2" t="s">
        <v>10</v>
      </c>
      <c r="O268" s="2" t="s">
        <v>11</v>
      </c>
      <c r="P268" s="4"/>
      <c r="Q268" s="3" t="s">
        <v>44</v>
      </c>
      <c r="R268" s="58">
        <f>W237-V273</f>
        <v>7393376</v>
      </c>
      <c r="S268" s="63">
        <f>W237-W273</f>
        <v>0</v>
      </c>
      <c r="T268" s="105"/>
      <c r="U268" s="3"/>
      <c r="V268" s="58"/>
      <c r="W268" s="63"/>
    </row>
    <row r="269" spans="1:23" x14ac:dyDescent="0.25">
      <c r="A269" s="120"/>
      <c r="B269" s="8" t="s">
        <v>19</v>
      </c>
      <c r="C269" s="9">
        <v>0</v>
      </c>
      <c r="D269" s="9"/>
      <c r="E269" s="8"/>
      <c r="F269" s="8"/>
      <c r="G269" s="39"/>
      <c r="H269" s="29"/>
      <c r="I269" s="1"/>
      <c r="J269" s="2" t="s">
        <v>16</v>
      </c>
      <c r="K269" s="2">
        <v>0</v>
      </c>
      <c r="L269" s="108">
        <v>0</v>
      </c>
      <c r="M269" s="115">
        <v>0</v>
      </c>
      <c r="N269" s="2">
        <f>C268+N233-M269</f>
        <v>445549</v>
      </c>
      <c r="O269" s="2">
        <f>O256</f>
        <v>5</v>
      </c>
      <c r="P269" s="4"/>
      <c r="Q269" s="6"/>
      <c r="R269" s="64"/>
      <c r="S269" s="99"/>
      <c r="T269" s="64"/>
      <c r="U269" s="55"/>
      <c r="V269" s="87"/>
      <c r="W269" s="105"/>
    </row>
    <row r="270" spans="1:23" x14ac:dyDescent="0.25">
      <c r="A270" s="120"/>
      <c r="B270" s="8" t="s">
        <v>22</v>
      </c>
      <c r="C270" s="9">
        <v>0</v>
      </c>
      <c r="D270" s="9"/>
      <c r="E270" s="8"/>
      <c r="F270" s="8"/>
      <c r="G270" s="39"/>
      <c r="H270" s="29"/>
      <c r="I270" s="1"/>
      <c r="J270" s="2" t="s">
        <v>19</v>
      </c>
      <c r="K270" s="2">
        <v>0</v>
      </c>
      <c r="L270" s="108">
        <v>0</v>
      </c>
      <c r="M270" s="115">
        <v>0</v>
      </c>
      <c r="N270" s="2">
        <f>C269+N234-M270</f>
        <v>485805</v>
      </c>
      <c r="O270" s="2">
        <f>O257</f>
        <v>6</v>
      </c>
      <c r="P270" s="4"/>
      <c r="Q270" s="3" t="s">
        <v>45</v>
      </c>
      <c r="R270" s="58">
        <f>D257+D258+D259+D260</f>
        <v>0</v>
      </c>
      <c r="S270" s="63">
        <f>D257+D258+D259+D260</f>
        <v>0</v>
      </c>
      <c r="T270" s="105"/>
      <c r="U270" s="132" t="s">
        <v>46</v>
      </c>
      <c r="V270" s="132"/>
      <c r="W270" s="63"/>
    </row>
    <row r="271" spans="1:23" x14ac:dyDescent="0.25">
      <c r="A271" s="120"/>
      <c r="B271" s="8" t="s">
        <v>24</v>
      </c>
      <c r="C271" s="9">
        <v>0</v>
      </c>
      <c r="D271" s="9"/>
      <c r="E271" s="8"/>
      <c r="F271" s="8"/>
      <c r="G271" s="39"/>
      <c r="H271" s="29"/>
      <c r="I271" s="1"/>
      <c r="J271" s="2" t="s">
        <v>22</v>
      </c>
      <c r="K271" s="2">
        <v>0</v>
      </c>
      <c r="L271" s="108">
        <v>0</v>
      </c>
      <c r="M271" s="115">
        <v>0</v>
      </c>
      <c r="N271" s="2">
        <f>C270+N235-M271</f>
        <v>455728</v>
      </c>
      <c r="O271" s="2">
        <f>O258</f>
        <v>5</v>
      </c>
      <c r="P271" s="4"/>
      <c r="Q271" s="3" t="s">
        <v>47</v>
      </c>
      <c r="R271" s="58">
        <f>C268*0.4+C269*0.1+C270*0.4+C271*0.5</f>
        <v>0</v>
      </c>
      <c r="S271" s="63">
        <f>C268*0.4+C269*0.1+C270*0.4+C271*0.5</f>
        <v>0</v>
      </c>
      <c r="T271" s="105"/>
      <c r="U271" s="3" t="s">
        <v>48</v>
      </c>
      <c r="V271" s="58">
        <f>V267</f>
        <v>0</v>
      </c>
      <c r="W271" s="63">
        <f>W267</f>
        <v>0</v>
      </c>
    </row>
    <row r="272" spans="1:23" x14ac:dyDescent="0.25">
      <c r="A272" s="120"/>
      <c r="B272" s="11" t="s">
        <v>51</v>
      </c>
      <c r="C272" s="8"/>
      <c r="D272" s="8"/>
      <c r="E272" s="8"/>
      <c r="F272" s="8"/>
      <c r="G272" s="39"/>
      <c r="H272" s="29"/>
      <c r="I272" s="1"/>
      <c r="J272" s="2" t="s">
        <v>24</v>
      </c>
      <c r="K272" s="2">
        <v>0</v>
      </c>
      <c r="L272" s="108">
        <v>0</v>
      </c>
      <c r="M272" s="115">
        <v>0</v>
      </c>
      <c r="N272" s="2">
        <f>C271+N236-M272</f>
        <v>461262</v>
      </c>
      <c r="O272" s="2">
        <f>O259</f>
        <v>6</v>
      </c>
      <c r="P272" s="4"/>
      <c r="Q272" s="3" t="s">
        <v>49</v>
      </c>
      <c r="R272" s="58">
        <f>B274*0.4+C274*0.7+D274*0.8+B276*0.4+C276*0.4+D276*0.5+B278*0.7+C278*0.4+D278*0.4+B280*0.8+C280*0.5+D280*0.4</f>
        <v>0</v>
      </c>
      <c r="S272" s="63">
        <f>B274*0.4+C274*0.7+D274*0.8+B276*0.4+C276*0.4+D276*0.5+B278*0.7+C278*0.4+D278*0.4+B280*0.8+C280*0.5+D280*0.4</f>
        <v>0</v>
      </c>
      <c r="T272" s="105"/>
      <c r="U272" s="3" t="s">
        <v>50</v>
      </c>
      <c r="V272" s="58">
        <f>N262*((V261+W236)/(G256+G257+N239))</f>
        <v>11231161.790959824</v>
      </c>
      <c r="W272" s="63">
        <f>N275*((W261+W236)/(G256+G257+N226))</f>
        <v>11231161.790959824</v>
      </c>
    </row>
    <row r="273" spans="1:23" x14ac:dyDescent="0.25">
      <c r="A273" s="120"/>
      <c r="B273" s="8" t="s">
        <v>53</v>
      </c>
      <c r="C273" s="8" t="s">
        <v>54</v>
      </c>
      <c r="D273" s="8" t="s">
        <v>55</v>
      </c>
      <c r="E273" s="8"/>
      <c r="F273" s="9"/>
      <c r="G273" s="39"/>
      <c r="H273" s="29"/>
      <c r="I273" s="1"/>
      <c r="J273" s="27"/>
      <c r="K273" s="2"/>
      <c r="L273" s="108"/>
      <c r="M273" s="2"/>
      <c r="N273" s="2"/>
      <c r="O273" s="2"/>
      <c r="P273" s="4"/>
      <c r="Q273" s="6"/>
      <c r="R273" s="64"/>
      <c r="S273" s="99"/>
      <c r="T273" s="105"/>
      <c r="U273" s="3" t="s">
        <v>52</v>
      </c>
      <c r="V273" s="58">
        <f>4*M262</f>
        <v>0</v>
      </c>
      <c r="W273" s="63">
        <f>4*M275</f>
        <v>7393376</v>
      </c>
    </row>
    <row r="274" spans="1:23" x14ac:dyDescent="0.25">
      <c r="A274" s="120"/>
      <c r="B274" s="9">
        <v>0</v>
      </c>
      <c r="C274" s="9">
        <v>0</v>
      </c>
      <c r="D274" s="9">
        <v>0</v>
      </c>
      <c r="E274" s="8"/>
      <c r="F274" s="8"/>
      <c r="G274" s="39"/>
      <c r="H274" s="29"/>
      <c r="I274" s="1"/>
      <c r="J274" s="109" t="s">
        <v>94</v>
      </c>
      <c r="K274" s="110" t="s">
        <v>95</v>
      </c>
      <c r="L274" s="111" t="s">
        <v>96</v>
      </c>
      <c r="M274" s="112" t="s">
        <v>97</v>
      </c>
      <c r="N274" s="112" t="s">
        <v>98</v>
      </c>
      <c r="O274" s="112" t="s">
        <v>99</v>
      </c>
      <c r="P274" s="4"/>
      <c r="Q274" s="3" t="s">
        <v>56</v>
      </c>
      <c r="R274" s="58">
        <f>(C284+C285+C286+C288+C287)*500</f>
        <v>0</v>
      </c>
      <c r="S274" s="63">
        <f>(C284+C285+C286+C288+C287)*500</f>
        <v>0</v>
      </c>
      <c r="T274" s="105"/>
      <c r="U274" s="3" t="s">
        <v>57</v>
      </c>
      <c r="V274" s="58">
        <f>G258*500000+V238-R267</f>
        <v>5079516.6722167972</v>
      </c>
      <c r="W274" s="63">
        <f>G258*500000+W238-R267</f>
        <v>5079516.6722167972</v>
      </c>
    </row>
    <row r="275" spans="1:23" x14ac:dyDescent="0.25">
      <c r="A275" s="120"/>
      <c r="B275" s="8" t="s">
        <v>60</v>
      </c>
      <c r="C275" s="8" t="s">
        <v>54</v>
      </c>
      <c r="D275" s="8" t="s">
        <v>61</v>
      </c>
      <c r="E275" s="8"/>
      <c r="F275" s="8"/>
      <c r="G275" s="39"/>
      <c r="H275" s="29"/>
      <c r="I275" s="1"/>
      <c r="J275" s="2">
        <f>K269+K270+K271+K272</f>
        <v>0</v>
      </c>
      <c r="K275" s="115">
        <v>0</v>
      </c>
      <c r="L275" s="113">
        <f>M269+M270+M271+M272</f>
        <v>0</v>
      </c>
      <c r="M275" s="2">
        <f>N269+N270+N271+N272</f>
        <v>1848344</v>
      </c>
      <c r="N275" s="2">
        <f>G256+G257+N239-K275*1.35</f>
        <v>4521825</v>
      </c>
      <c r="O275" s="108">
        <f>(L269+L270+L271+L272)/4</f>
        <v>0</v>
      </c>
      <c r="P275" s="4"/>
      <c r="Q275" s="3" t="s">
        <v>58</v>
      </c>
      <c r="R275" s="58">
        <f>(C284+C285+C286+C287+C288)*1000</f>
        <v>0</v>
      </c>
      <c r="S275" s="63">
        <f>(C284+C285+C286+C287+C288)*1000</f>
        <v>0</v>
      </c>
      <c r="T275" s="105"/>
      <c r="U275" s="3" t="s">
        <v>59</v>
      </c>
      <c r="V275" s="58">
        <f>V274+V273+V272+V271</f>
        <v>16310678.463176621</v>
      </c>
      <c r="W275" s="63">
        <f>W274+W273+W272+W271</f>
        <v>23704054.463176623</v>
      </c>
    </row>
    <row r="276" spans="1:23" x14ac:dyDescent="0.25">
      <c r="A276" s="120"/>
      <c r="B276" s="9">
        <v>0</v>
      </c>
      <c r="C276" s="9">
        <v>0</v>
      </c>
      <c r="D276" s="9">
        <v>0</v>
      </c>
      <c r="E276" s="8"/>
      <c r="F276" s="8"/>
      <c r="G276" s="39"/>
      <c r="H276" s="29"/>
      <c r="I276" s="1"/>
      <c r="J276" s="110" t="s">
        <v>100</v>
      </c>
      <c r="K276" s="110" t="s">
        <v>101</v>
      </c>
      <c r="L276" s="112" t="s">
        <v>102</v>
      </c>
      <c r="M276" s="112" t="s">
        <v>103</v>
      </c>
      <c r="N276" s="112" t="s">
        <v>104</v>
      </c>
      <c r="O276" s="112" t="s">
        <v>105</v>
      </c>
      <c r="P276" s="4"/>
      <c r="Q276" s="3" t="s">
        <v>62</v>
      </c>
      <c r="R276" s="63">
        <f>(C284+C285+C286+C287)*4500+C288*3750+(O220+O221+O222+O223-D284-D285-D286-D287)*9000+(N228-D288)*7500</f>
        <v>468000</v>
      </c>
      <c r="S276" s="63">
        <f>(C284+C285+C286+C287)*4500+C288*3750+(O220+O221+O222+O223-D284-D286-D285-D287)*9000+(N228-D288)*7500</f>
        <v>468000</v>
      </c>
      <c r="T276" s="105"/>
      <c r="U276" s="3" t="s">
        <v>63</v>
      </c>
      <c r="V276" s="58">
        <f>W242+G263-G264</f>
        <v>27976429.548991557</v>
      </c>
      <c r="W276" s="63">
        <f>G263+W242-G264</f>
        <v>27976429.548991557</v>
      </c>
    </row>
    <row r="277" spans="1:23" x14ac:dyDescent="0.25">
      <c r="A277" s="120"/>
      <c r="B277" s="8" t="s">
        <v>66</v>
      </c>
      <c r="C277" s="8" t="s">
        <v>67</v>
      </c>
      <c r="D277" s="8" t="s">
        <v>68</v>
      </c>
      <c r="E277" s="8"/>
      <c r="F277" s="38"/>
      <c r="G277" s="39"/>
      <c r="H277" s="29"/>
      <c r="I277" s="1"/>
      <c r="J277" s="115">
        <v>0</v>
      </c>
      <c r="K277" s="115">
        <v>0</v>
      </c>
      <c r="L277" s="2">
        <f>L264</f>
        <v>12</v>
      </c>
      <c r="M277" s="2">
        <f>N277+O269+O270+O271+O272</f>
        <v>58</v>
      </c>
      <c r="N277" s="2">
        <f>N264</f>
        <v>36</v>
      </c>
      <c r="O277" s="2">
        <f>O272+O271+O270+O269</f>
        <v>22</v>
      </c>
      <c r="P277" s="4"/>
      <c r="Q277" s="3" t="s">
        <v>64</v>
      </c>
      <c r="R277" s="63">
        <f>(D284+D285+D286+D287)*6000+D288*5000</f>
        <v>0</v>
      </c>
      <c r="S277" s="63">
        <f>(D284+D285+D286+D287)*6000+D288*5000</f>
        <v>0</v>
      </c>
      <c r="T277" s="105"/>
      <c r="U277" s="3" t="s">
        <v>65</v>
      </c>
      <c r="V277" s="58">
        <f>IF(2*J281=2*1,V256/2-(V266+W231),"0")</f>
        <v>2104822.9480520925</v>
      </c>
      <c r="W277" s="63">
        <f>IF(2*K281=2*1,W256/2-(W266+W231),"0")</f>
        <v>3028994.9480520929</v>
      </c>
    </row>
    <row r="278" spans="1:23" x14ac:dyDescent="0.25">
      <c r="A278" s="120"/>
      <c r="B278" s="9">
        <v>0</v>
      </c>
      <c r="C278" s="9">
        <v>0</v>
      </c>
      <c r="D278" s="9">
        <v>0</v>
      </c>
      <c r="E278" s="8"/>
      <c r="F278" s="8"/>
      <c r="G278" s="39"/>
      <c r="H278" s="29"/>
      <c r="I278" s="1"/>
      <c r="J278" s="7"/>
      <c r="K278" s="5"/>
      <c r="L278" s="5"/>
      <c r="M278" s="5"/>
      <c r="P278" s="4"/>
      <c r="Q278" s="3" t="s">
        <v>69</v>
      </c>
      <c r="R278" s="63">
        <f>W236*10%</f>
        <v>1123116.1790959823</v>
      </c>
      <c r="S278" s="63">
        <f>W236*10%</f>
        <v>1123116.1790959823</v>
      </c>
      <c r="T278" s="105"/>
      <c r="U278" s="3" t="s">
        <v>70</v>
      </c>
      <c r="V278" s="58">
        <f>V276+V277</f>
        <v>30081252.497043651</v>
      </c>
      <c r="W278" s="63">
        <f>W277+W276</f>
        <v>31005424.497043651</v>
      </c>
    </row>
    <row r="279" spans="1:23" x14ac:dyDescent="0.25">
      <c r="A279" s="120"/>
      <c r="B279" s="8" t="s">
        <v>73</v>
      </c>
      <c r="C279" s="8" t="s">
        <v>74</v>
      </c>
      <c r="D279" s="8" t="s">
        <v>75</v>
      </c>
      <c r="E279" s="8"/>
      <c r="F279" s="8"/>
      <c r="G279" s="39"/>
      <c r="H279" s="29"/>
      <c r="I279" s="1"/>
      <c r="J279" s="22"/>
      <c r="K279" s="22"/>
      <c r="P279" s="4"/>
      <c r="Q279" s="3" t="s">
        <v>71</v>
      </c>
      <c r="R279" s="63">
        <f>0.5*M262</f>
        <v>0</v>
      </c>
      <c r="S279" s="63">
        <f>0.5*M275</f>
        <v>924172</v>
      </c>
      <c r="T279" s="105"/>
      <c r="U279" s="3" t="s">
        <v>72</v>
      </c>
      <c r="V279" s="58">
        <f>V275-V278</f>
        <v>-13770574.033867029</v>
      </c>
      <c r="W279" s="63">
        <f>W275-W278</f>
        <v>-7301370.0338670276</v>
      </c>
    </row>
    <row r="280" spans="1:23" x14ac:dyDescent="0.25">
      <c r="A280" s="120"/>
      <c r="B280" s="9">
        <v>0</v>
      </c>
      <c r="C280" s="9">
        <v>0</v>
      </c>
      <c r="D280" s="9">
        <v>0</v>
      </c>
      <c r="E280" s="8"/>
      <c r="F280" s="8"/>
      <c r="G280" s="39"/>
      <c r="H280" s="29"/>
      <c r="I280" s="24"/>
      <c r="J280" s="28" t="s">
        <v>114</v>
      </c>
      <c r="K280" s="28" t="s">
        <v>115</v>
      </c>
      <c r="P280" s="4"/>
      <c r="Q280" s="6"/>
      <c r="R280" s="64"/>
      <c r="S280" s="99"/>
      <c r="T280" s="64"/>
      <c r="U280" s="4"/>
      <c r="V280" s="64"/>
      <c r="W280" s="105"/>
    </row>
    <row r="281" spans="1:23" x14ac:dyDescent="0.25">
      <c r="A281" s="120"/>
      <c r="B281" s="8"/>
      <c r="C281" s="8"/>
      <c r="D281" s="8"/>
      <c r="E281" s="8"/>
      <c r="F281" s="8"/>
      <c r="G281" s="39"/>
      <c r="H281" s="29"/>
      <c r="I281" s="24"/>
      <c r="J281" s="27" t="str">
        <f>IF((W231+V266)&lt;=V256/2,"1","0")</f>
        <v>1</v>
      </c>
      <c r="K281" s="27" t="str">
        <f>IF((W231+W266)&lt;=W256/2,"1","0")</f>
        <v>1</v>
      </c>
      <c r="P281" s="4"/>
      <c r="Q281" s="3" t="s">
        <v>76</v>
      </c>
      <c r="R281" s="58">
        <f>V276*M1/4+W241*M1/4*3</f>
        <v>369706.76895611017</v>
      </c>
      <c r="S281" s="63">
        <f>W276*M1/4+W241*M1/4*3</f>
        <v>369706.76895611017</v>
      </c>
      <c r="T281" s="64"/>
      <c r="U281" s="4"/>
      <c r="V281" s="64"/>
      <c r="W281" s="105"/>
    </row>
    <row r="282" spans="1:23" x14ac:dyDescent="0.25">
      <c r="A282" s="120"/>
      <c r="B282" s="18" t="s">
        <v>126</v>
      </c>
      <c r="C282" s="8"/>
      <c r="D282" s="8"/>
      <c r="E282" s="8"/>
      <c r="F282" s="8"/>
      <c r="G282" s="39"/>
      <c r="H282" s="29"/>
      <c r="I282" s="24"/>
      <c r="J282" s="26" t="s">
        <v>117</v>
      </c>
      <c r="K282" s="27"/>
      <c r="P282" s="4"/>
      <c r="Q282" s="6"/>
      <c r="R282" s="64"/>
      <c r="S282" s="99"/>
      <c r="T282" s="64"/>
      <c r="U282" s="4"/>
      <c r="V282" s="64"/>
      <c r="W282" s="105"/>
    </row>
    <row r="283" spans="1:23" x14ac:dyDescent="0.25">
      <c r="A283" s="120"/>
      <c r="B283" s="8"/>
      <c r="C283" s="8" t="s">
        <v>78</v>
      </c>
      <c r="D283" s="8" t="s">
        <v>79</v>
      </c>
      <c r="E283" s="8"/>
      <c r="F283" s="8"/>
      <c r="G283" s="39"/>
      <c r="H283" s="29"/>
      <c r="I283" s="24"/>
      <c r="J283" s="27">
        <f>N239+G257-H256</f>
        <v>4521825</v>
      </c>
      <c r="K283" s="27"/>
      <c r="P283" s="4"/>
      <c r="Q283" s="3" t="s">
        <v>77</v>
      </c>
      <c r="R283" s="67">
        <f>(R257/(1+E1))*E1</f>
        <v>0</v>
      </c>
      <c r="S283" s="63">
        <f>S257/(1+E1)*E1</f>
        <v>0</v>
      </c>
      <c r="T283" s="64"/>
      <c r="U283" s="4"/>
      <c r="V283" s="64"/>
      <c r="W283" s="105"/>
    </row>
    <row r="284" spans="1:23" x14ac:dyDescent="0.25">
      <c r="A284" s="120"/>
      <c r="B284" s="8" t="s">
        <v>16</v>
      </c>
      <c r="C284" s="9">
        <v>0</v>
      </c>
      <c r="D284" s="9">
        <v>0</v>
      </c>
      <c r="E284" s="8"/>
      <c r="F284" s="8"/>
      <c r="G284" s="39"/>
      <c r="H284" s="29"/>
      <c r="I284" s="24"/>
      <c r="P284" s="4"/>
      <c r="Q284" s="3" t="s">
        <v>80</v>
      </c>
      <c r="R284" s="63">
        <f>R283*G1</f>
        <v>0</v>
      </c>
      <c r="S284" s="63">
        <f>S283*G1</f>
        <v>0</v>
      </c>
      <c r="T284" s="64"/>
      <c r="U284" s="4"/>
      <c r="V284" s="64"/>
      <c r="W284" s="105"/>
    </row>
    <row r="285" spans="1:23" x14ac:dyDescent="0.25">
      <c r="A285" s="120"/>
      <c r="B285" s="8" t="s">
        <v>19</v>
      </c>
      <c r="C285" s="9">
        <v>0</v>
      </c>
      <c r="D285" s="9">
        <v>0</v>
      </c>
      <c r="E285" s="8"/>
      <c r="F285" s="8"/>
      <c r="G285" s="39"/>
      <c r="H285" s="29"/>
      <c r="I285" s="24"/>
      <c r="P285" s="4"/>
      <c r="Q285" s="3" t="s">
        <v>81</v>
      </c>
      <c r="R285" s="63">
        <f>(R257/(1+E1)-(R270+R271+R281+R279+R278+R277+R276+R275+R259+R261+R260+R262+R263+R264+R265+R266+R267+R268+R274)-R284)*K1</f>
        <v>-2407110.4913221053</v>
      </c>
      <c r="S285" s="63">
        <f>(S257/(1+E1)-(S259+S260+S261+S262+S263+S264+S265+S266+S267+S268+S270+S271+S272+S274+S275+S276+S277+S278+S279+S281)-S284)*K1</f>
        <v>-789809.49132210517</v>
      </c>
      <c r="T285" s="64"/>
      <c r="U285" s="4"/>
      <c r="V285" s="64"/>
      <c r="W285" s="105"/>
    </row>
    <row r="286" spans="1:23" x14ac:dyDescent="0.25">
      <c r="A286" s="120"/>
      <c r="B286" s="8" t="s">
        <v>22</v>
      </c>
      <c r="C286" s="9">
        <v>0</v>
      </c>
      <c r="D286" s="9">
        <v>0</v>
      </c>
      <c r="E286" s="8"/>
      <c r="F286" s="8"/>
      <c r="G286" s="39"/>
      <c r="H286" s="29"/>
      <c r="I286" s="24"/>
      <c r="P286" s="4"/>
      <c r="Q286" s="3"/>
      <c r="R286" s="63" t="str">
        <f>IF(R285&lt;=0,"0",R285)</f>
        <v>0</v>
      </c>
      <c r="S286" s="63" t="str">
        <f>IF(S285&lt;=0,"0",S285)</f>
        <v>0</v>
      </c>
      <c r="T286" s="64"/>
      <c r="U286" s="4"/>
      <c r="V286" s="64"/>
      <c r="W286" s="105"/>
    </row>
    <row r="287" spans="1:23" x14ac:dyDescent="0.25">
      <c r="A287" s="120"/>
      <c r="B287" s="8" t="s">
        <v>24</v>
      </c>
      <c r="C287" s="9">
        <v>0</v>
      </c>
      <c r="D287" s="9">
        <v>0</v>
      </c>
      <c r="E287" s="8"/>
      <c r="F287" s="8"/>
      <c r="G287" s="39"/>
      <c r="H287" s="29"/>
      <c r="I287" s="24"/>
      <c r="P287" s="4"/>
      <c r="Q287" s="3" t="s">
        <v>82</v>
      </c>
      <c r="R287" s="63">
        <f>R259+R263+R266+R274+R275+R276+R260+R261+R262+R264+R265+R267+R268+R270+R271+R272+R277+R278+R279+R281+R283+R284+R286</f>
        <v>9628441.9652884193</v>
      </c>
      <c r="S287" s="63">
        <f>S259+S263+S266+S274+S275+S276+S260+S261+S262+S264+S265+S267+S268+S270+S271+S272+S277+S278+S279+S281+S283+S284+S286</f>
        <v>3159237.9652884207</v>
      </c>
      <c r="T287" s="64"/>
      <c r="U287" s="4"/>
      <c r="V287" s="64"/>
      <c r="W287" s="105"/>
    </row>
    <row r="288" spans="1:23" x14ac:dyDescent="0.25">
      <c r="A288" s="120"/>
      <c r="B288" s="8" t="s">
        <v>83</v>
      </c>
      <c r="C288" s="9">
        <v>0</v>
      </c>
      <c r="D288" s="9">
        <v>0</v>
      </c>
      <c r="E288" s="8"/>
      <c r="F288" s="8"/>
      <c r="G288" s="39"/>
      <c r="H288" s="29"/>
      <c r="I288" s="24"/>
      <c r="P288" s="4"/>
      <c r="Q288" s="59"/>
      <c r="R288" s="74"/>
      <c r="S288" s="90"/>
      <c r="T288" s="64"/>
      <c r="U288" s="4"/>
      <c r="V288" s="64"/>
      <c r="W288" s="105"/>
    </row>
    <row r="289" spans="1:23" ht="14.4" thickBot="1" x14ac:dyDescent="0.3">
      <c r="A289" s="121"/>
      <c r="B289" s="8"/>
      <c r="C289" s="9"/>
      <c r="D289" s="8"/>
      <c r="E289" s="8"/>
      <c r="F289" s="8"/>
      <c r="G289" s="39"/>
      <c r="H289" s="29"/>
      <c r="I289" s="25"/>
      <c r="P289" s="4"/>
      <c r="Q289" s="3" t="s">
        <v>84</v>
      </c>
      <c r="R289" s="63">
        <f>R257-R287</f>
        <v>-9628441.9652884193</v>
      </c>
      <c r="S289" s="63">
        <f>S257-S287</f>
        <v>-3159237.9652884207</v>
      </c>
      <c r="T289" s="116"/>
      <c r="U289" s="4"/>
      <c r="V289" s="64"/>
      <c r="W289" s="105"/>
    </row>
    <row r="290" spans="1:23" ht="15" thickTop="1" thickBot="1" x14ac:dyDescent="0.3">
      <c r="A290" s="119" t="s">
        <v>92</v>
      </c>
      <c r="B290" s="122" t="s">
        <v>3</v>
      </c>
      <c r="C290" s="123"/>
      <c r="D290" s="123"/>
      <c r="E290" s="123"/>
      <c r="F290" s="123"/>
      <c r="G290" s="123"/>
      <c r="H290" s="29"/>
      <c r="I290" s="1"/>
      <c r="J290" s="118" t="s">
        <v>112</v>
      </c>
      <c r="K290" s="118"/>
      <c r="L290" s="118"/>
      <c r="M290" s="118"/>
      <c r="N290" s="118"/>
      <c r="O290" s="118"/>
      <c r="P290" s="4"/>
      <c r="Q290" s="131" t="s">
        <v>1</v>
      </c>
      <c r="R290" s="130"/>
      <c r="S290" s="100" t="s">
        <v>111</v>
      </c>
      <c r="T290" s="105"/>
      <c r="U290" s="132" t="s">
        <v>2</v>
      </c>
      <c r="V290" s="132"/>
      <c r="W290" s="21" t="s">
        <v>111</v>
      </c>
    </row>
    <row r="291" spans="1:23" ht="14.4" thickTop="1" x14ac:dyDescent="0.25">
      <c r="A291" s="120"/>
      <c r="B291" s="18" t="s">
        <v>121</v>
      </c>
      <c r="C291" s="8"/>
      <c r="D291" s="8"/>
      <c r="E291" s="8"/>
      <c r="F291" s="18" t="s">
        <v>122</v>
      </c>
      <c r="G291" s="39"/>
      <c r="H291" s="45"/>
      <c r="I291" s="1"/>
      <c r="J291" s="2"/>
      <c r="K291" s="2" t="s">
        <v>7</v>
      </c>
      <c r="L291" s="2" t="s">
        <v>8</v>
      </c>
      <c r="M291" s="2" t="s">
        <v>9</v>
      </c>
      <c r="N291" s="2" t="s">
        <v>10</v>
      </c>
      <c r="O291" s="2" t="s">
        <v>11</v>
      </c>
      <c r="P291" s="4"/>
      <c r="Q291" s="3" t="s">
        <v>5</v>
      </c>
      <c r="R291" s="66" t="s">
        <v>6</v>
      </c>
      <c r="S291" s="97" t="s">
        <v>6</v>
      </c>
      <c r="T291" s="105"/>
      <c r="U291" s="3" t="s">
        <v>5</v>
      </c>
      <c r="V291" s="56" t="s">
        <v>6</v>
      </c>
      <c r="W291" s="56" t="s">
        <v>6</v>
      </c>
    </row>
    <row r="292" spans="1:23" x14ac:dyDescent="0.25">
      <c r="A292" s="120"/>
      <c r="B292" s="8"/>
      <c r="C292" s="8" t="s">
        <v>13</v>
      </c>
      <c r="D292" s="8" t="s">
        <v>14</v>
      </c>
      <c r="E292" s="8"/>
      <c r="F292" s="8" t="s">
        <v>15</v>
      </c>
      <c r="G292" s="40">
        <v>0</v>
      </c>
      <c r="H292" s="46"/>
      <c r="I292" s="1"/>
      <c r="J292" s="2" t="s">
        <v>16</v>
      </c>
      <c r="K292" s="2"/>
      <c r="L292" s="108"/>
      <c r="M292" s="2">
        <f>C304</f>
        <v>0</v>
      </c>
      <c r="N292" s="2">
        <f>C304-M292</f>
        <v>0</v>
      </c>
      <c r="O292" s="2">
        <f>O256+C320-D320</f>
        <v>5</v>
      </c>
      <c r="P292" s="4"/>
      <c r="Q292" s="59"/>
      <c r="R292" s="74"/>
      <c r="S292" s="90"/>
      <c r="T292" s="105"/>
      <c r="U292" s="3" t="s">
        <v>12</v>
      </c>
      <c r="V292" s="58">
        <f>R293</f>
        <v>0</v>
      </c>
      <c r="W292" s="63">
        <f>S293</f>
        <v>0</v>
      </c>
    </row>
    <row r="293" spans="1:23" x14ac:dyDescent="0.25">
      <c r="A293" s="120"/>
      <c r="B293" s="8" t="s">
        <v>16</v>
      </c>
      <c r="C293" s="9">
        <v>0</v>
      </c>
      <c r="D293" s="9">
        <v>0</v>
      </c>
      <c r="E293" s="8"/>
      <c r="F293" s="8" t="s">
        <v>18</v>
      </c>
      <c r="G293" s="40">
        <v>0</v>
      </c>
      <c r="H293" s="46"/>
      <c r="I293" s="1"/>
      <c r="J293" s="2" t="s">
        <v>19</v>
      </c>
      <c r="K293" s="2"/>
      <c r="L293" s="108"/>
      <c r="M293" s="2">
        <f>C305</f>
        <v>0</v>
      </c>
      <c r="N293" s="2">
        <f>C305-M293</f>
        <v>0</v>
      </c>
      <c r="O293" s="2">
        <f>O257+C321-D321</f>
        <v>6</v>
      </c>
      <c r="P293" s="4"/>
      <c r="Q293" s="3" t="s">
        <v>12</v>
      </c>
      <c r="R293" s="58">
        <f>C293*(C304+N269)+C294*(C305+N270)+C295*(C306+N271)+C296*(C307+N272)</f>
        <v>0</v>
      </c>
      <c r="S293" s="63">
        <f>C293*M305+M306*C294+C295*M307+M308*C296</f>
        <v>0</v>
      </c>
      <c r="T293" s="105"/>
      <c r="U293" s="3" t="s">
        <v>17</v>
      </c>
      <c r="V293" s="58">
        <f>G299</f>
        <v>0</v>
      </c>
      <c r="W293" s="63">
        <f>G299</f>
        <v>0</v>
      </c>
    </row>
    <row r="294" spans="1:23" x14ac:dyDescent="0.25">
      <c r="A294" s="120"/>
      <c r="B294" s="8" t="s">
        <v>19</v>
      </c>
      <c r="C294" s="9">
        <v>0</v>
      </c>
      <c r="D294" s="9">
        <v>0</v>
      </c>
      <c r="E294" s="8"/>
      <c r="F294" s="8" t="s">
        <v>21</v>
      </c>
      <c r="G294" s="40">
        <v>0</v>
      </c>
      <c r="H294" s="46"/>
      <c r="I294" s="1"/>
      <c r="J294" s="2" t="s">
        <v>22</v>
      </c>
      <c r="K294" s="2"/>
      <c r="L294" s="108"/>
      <c r="M294" s="2">
        <f>C306</f>
        <v>0</v>
      </c>
      <c r="N294" s="2">
        <f>C306-M294</f>
        <v>0</v>
      </c>
      <c r="O294" s="2">
        <f>C322+O258-D322</f>
        <v>5</v>
      </c>
      <c r="P294" s="4"/>
      <c r="Q294" s="59"/>
      <c r="R294" s="74"/>
      <c r="S294" s="90"/>
      <c r="T294" s="105"/>
      <c r="U294" s="3" t="s">
        <v>20</v>
      </c>
      <c r="V294" s="58">
        <f>V293+V292</f>
        <v>0</v>
      </c>
      <c r="W294" s="63">
        <f>W293+W292</f>
        <v>0</v>
      </c>
    </row>
    <row r="295" spans="1:23" x14ac:dyDescent="0.25">
      <c r="A295" s="120"/>
      <c r="B295" s="8" t="s">
        <v>22</v>
      </c>
      <c r="C295" s="9">
        <v>0</v>
      </c>
      <c r="D295" s="9">
        <v>0</v>
      </c>
      <c r="E295" s="8"/>
      <c r="F295" s="8"/>
      <c r="G295" s="39"/>
      <c r="H295" s="29"/>
      <c r="I295" s="1"/>
      <c r="J295" s="2" t="s">
        <v>24</v>
      </c>
      <c r="K295" s="2"/>
      <c r="L295" s="108"/>
      <c r="M295" s="2">
        <f>C307</f>
        <v>0</v>
      </c>
      <c r="N295" s="2">
        <f>C307-M295</f>
        <v>0</v>
      </c>
      <c r="O295" s="2">
        <f>O259+C323-D323</f>
        <v>6</v>
      </c>
      <c r="P295" s="4"/>
      <c r="Q295" s="3" t="s">
        <v>23</v>
      </c>
      <c r="R295" s="58">
        <f>C300</f>
        <v>0</v>
      </c>
      <c r="S295" s="63">
        <f>C300</f>
        <v>0</v>
      </c>
      <c r="T295" s="105"/>
      <c r="U295" s="3"/>
      <c r="V295" s="58"/>
      <c r="W295" s="63"/>
    </row>
    <row r="296" spans="1:23" x14ac:dyDescent="0.25">
      <c r="A296" s="120"/>
      <c r="B296" s="8" t="s">
        <v>24</v>
      </c>
      <c r="C296" s="9">
        <v>0</v>
      </c>
      <c r="D296" s="9">
        <v>0</v>
      </c>
      <c r="E296" s="8"/>
      <c r="F296" s="8"/>
      <c r="G296" s="39"/>
      <c r="H296" s="29"/>
      <c r="I296" s="1"/>
      <c r="J296" s="27"/>
      <c r="K296" s="2"/>
      <c r="L296" s="108"/>
      <c r="M296" s="2"/>
      <c r="N296" s="2"/>
      <c r="O296" s="2"/>
      <c r="P296" s="4"/>
      <c r="Q296" s="3" t="s">
        <v>25</v>
      </c>
      <c r="R296" s="58" t="str">
        <f>IF(C299=0,"0",IF(C299/K264&lt;=1.5,"10000",IF(C299/K264&lt;=2.5,"15000","20000")))</f>
        <v>0</v>
      </c>
      <c r="S296" s="63" t="str">
        <f>IF(K311=0,"0",IF(K311/K264&lt;=1.5,"10000",IF(K311/K264&lt;=2.5,"15000","20000")))</f>
        <v>0</v>
      </c>
      <c r="T296" s="105"/>
      <c r="U296" s="3" t="s">
        <v>26</v>
      </c>
      <c r="V296" s="58">
        <f>R295+R296+R297+R299+R300+R301+R302+R306+R307+R308+R310+R311+R312+R313+R314+R315+R317+R319+R320+R322</f>
        <v>2136040.2725079814</v>
      </c>
      <c r="W296" s="63">
        <f>S295+S296+S297+S299+S300+S301+S302+S306+S307+S308+S310+S311+S312+S313+S314+S315+S317+S319+S320+S322</f>
        <v>2829581.2725079819</v>
      </c>
    </row>
    <row r="297" spans="1:23" x14ac:dyDescent="0.25">
      <c r="A297" s="120"/>
      <c r="B297" s="8"/>
      <c r="C297" s="8"/>
      <c r="D297" s="8"/>
      <c r="E297" s="8"/>
      <c r="F297" s="8"/>
      <c r="G297" s="39"/>
      <c r="H297" s="29"/>
      <c r="I297" s="1"/>
      <c r="J297" s="109" t="s">
        <v>94</v>
      </c>
      <c r="K297" s="110" t="s">
        <v>95</v>
      </c>
      <c r="L297" s="111" t="s">
        <v>96</v>
      </c>
      <c r="M297" s="112" t="s">
        <v>97</v>
      </c>
      <c r="N297" s="112" t="s">
        <v>98</v>
      </c>
      <c r="O297" s="112" t="s">
        <v>99</v>
      </c>
      <c r="P297" s="4"/>
      <c r="Q297" s="3" t="s">
        <v>27</v>
      </c>
      <c r="R297" s="63" t="str">
        <f>IF(C299=0,"0",IF(((C299/K264)*8)&lt;=8,C299*1.2,IF(((C299/K264)*8)&lt;=12,K264*1.2+(C299-K264)*1.3,IF(((C299/K264)*8)&lt;=16,K264*1.2+(C299-K264)*1.4,IF(((C299/K264)*8)&lt;=20,K264*1.2+K264*1.4+(C299-2*K264)*1.5,K264*1.2+K264*1.4+(C299-2*K264)*1.6)))))</f>
        <v>0</v>
      </c>
      <c r="S297" s="63" t="str">
        <f>IF(K311=0,"0",IF(((K311/K264)*8)&lt;=8,K311*1.2,IF(((K311/K264)*8)&lt;=12,K264*1.2+(K311-K264)*1.3,IF(((K311/K264)*8)&lt;=16,L264*1.2+(K311-K264)*1.4,IF(((K311/K264)*8)&lt;=20,K264*1.2+K264*1.4+(K311-2*K264)*1.5,K264*1.2+K264*1.4+(K311-2*K264)*1.6)))))</f>
        <v>0</v>
      </c>
      <c r="T297" s="133" t="s">
        <v>120</v>
      </c>
      <c r="U297" s="3" t="s">
        <v>28</v>
      </c>
      <c r="V297" s="58">
        <f>G292*T263+G293*T263</f>
        <v>0</v>
      </c>
      <c r="W297" s="63">
        <f>G292*T263+G293*T263</f>
        <v>0</v>
      </c>
    </row>
    <row r="298" spans="1:23" x14ac:dyDescent="0.25">
      <c r="A298" s="120"/>
      <c r="B298" s="18" t="s">
        <v>124</v>
      </c>
      <c r="C298" s="8"/>
      <c r="D298" s="18" t="s">
        <v>116</v>
      </c>
      <c r="E298" s="8"/>
      <c r="F298" s="18" t="s">
        <v>123</v>
      </c>
      <c r="G298" s="40"/>
      <c r="H298" s="46"/>
      <c r="I298" s="1"/>
      <c r="J298" s="2">
        <f>K292+K293+K294+K295</f>
        <v>0</v>
      </c>
      <c r="K298" s="112">
        <f>C299</f>
        <v>0</v>
      </c>
      <c r="L298" s="113">
        <f>M292+M293+M294+M295</f>
        <v>0</v>
      </c>
      <c r="M298" s="2">
        <f>N292+N293+N294+N295</f>
        <v>0</v>
      </c>
      <c r="N298" s="2">
        <f>G292+G293+N275-C299*1.35</f>
        <v>4521825</v>
      </c>
      <c r="O298" s="108">
        <f>(L292+L293+L294+L295)/4</f>
        <v>0</v>
      </c>
      <c r="P298" s="4"/>
      <c r="Q298" s="84" t="s">
        <v>113</v>
      </c>
      <c r="R298" s="63">
        <f>((V297+W272)/(G292+G293+N262))*C299*1.35-1</f>
        <v>-1</v>
      </c>
      <c r="S298" s="63">
        <f>((W297+W272)/(G292+G293+N275))*K311*1.35-1</f>
        <v>-1</v>
      </c>
      <c r="T298" s="134"/>
      <c r="U298" s="3" t="s">
        <v>30</v>
      </c>
      <c r="V298" s="58">
        <f>G294*500000</f>
        <v>0</v>
      </c>
      <c r="W298" s="63">
        <f>G294*500000</f>
        <v>0</v>
      </c>
    </row>
    <row r="299" spans="1:23" x14ac:dyDescent="0.25">
      <c r="A299" s="120"/>
      <c r="B299" s="8" t="s">
        <v>33</v>
      </c>
      <c r="C299" s="9">
        <f>J277*3</f>
        <v>0</v>
      </c>
      <c r="D299" s="9">
        <f>(N262+G293)/1.35</f>
        <v>3349500</v>
      </c>
      <c r="E299" s="8"/>
      <c r="F299" s="8" t="s">
        <v>17</v>
      </c>
      <c r="G299" s="40">
        <v>0</v>
      </c>
      <c r="H299" s="46"/>
      <c r="I299" s="1"/>
      <c r="J299" s="110" t="s">
        <v>100</v>
      </c>
      <c r="K299" s="110" t="s">
        <v>101</v>
      </c>
      <c r="L299" s="112" t="s">
        <v>102</v>
      </c>
      <c r="M299" s="112" t="s">
        <v>103</v>
      </c>
      <c r="N299" s="112" t="s">
        <v>104</v>
      </c>
      <c r="O299" s="112" t="s">
        <v>105</v>
      </c>
      <c r="P299" s="4"/>
      <c r="Q299" s="3" t="s">
        <v>31</v>
      </c>
      <c r="R299" s="63" t="str">
        <f>IF(G292=0,"0",IF(G292&lt;=500000,"40000",IF(G292&lt;=1000000,"80000",IF(G292&lt;=1500000,"120000",IF(G292&lt;=2000000,"160000","200000")))))</f>
        <v>0</v>
      </c>
      <c r="S299" s="63" t="str">
        <f>IF(G292=0,"0",IF(G292&lt;=500000,"40000",IF(G292&lt;=1000000,"80000",IF(G292&lt;=1500000,"120000",IF(G292&lt;=2000000,"160000","200000")))))</f>
        <v>0</v>
      </c>
      <c r="T299" s="114">
        <v>1.87</v>
      </c>
      <c r="U299" s="3" t="s">
        <v>32</v>
      </c>
      <c r="V299" s="58">
        <f>G300</f>
        <v>0</v>
      </c>
      <c r="W299" s="63">
        <f>G300</f>
        <v>0</v>
      </c>
    </row>
    <row r="300" spans="1:23" x14ac:dyDescent="0.25">
      <c r="A300" s="120"/>
      <c r="B300" s="8" t="s">
        <v>36</v>
      </c>
      <c r="C300" s="9">
        <v>0</v>
      </c>
      <c r="D300" s="8"/>
      <c r="E300" s="8"/>
      <c r="F300" s="8" t="s">
        <v>32</v>
      </c>
      <c r="G300" s="40">
        <v>0</v>
      </c>
      <c r="H300" s="46"/>
      <c r="I300" s="1"/>
      <c r="J300" s="2">
        <f>J277*0.975+G294*50000</f>
        <v>0</v>
      </c>
      <c r="K300" s="2">
        <f>J300</f>
        <v>0</v>
      </c>
      <c r="L300" s="2">
        <f>L264+G294</f>
        <v>12</v>
      </c>
      <c r="M300" s="2">
        <f>N300+O292+O293+O294+O295</f>
        <v>58</v>
      </c>
      <c r="N300" s="2">
        <f>C324+N264</f>
        <v>36</v>
      </c>
      <c r="O300" s="2">
        <f>O295+O294+O293+O292</f>
        <v>22</v>
      </c>
      <c r="P300" s="4"/>
      <c r="Q300" s="3" t="s">
        <v>34</v>
      </c>
      <c r="R300" s="63">
        <f>G293*1</f>
        <v>0</v>
      </c>
      <c r="S300" s="63">
        <f>G293*1</f>
        <v>0</v>
      </c>
      <c r="T300" s="105"/>
      <c r="U300" s="3" t="s">
        <v>35</v>
      </c>
      <c r="V300" s="58">
        <f>G301</f>
        <v>0</v>
      </c>
      <c r="W300" s="63">
        <f>G301</f>
        <v>0</v>
      </c>
    </row>
    <row r="301" spans="1:23" x14ac:dyDescent="0.25">
      <c r="A301" s="120"/>
      <c r="B301" s="8"/>
      <c r="C301" s="8"/>
      <c r="D301" s="8"/>
      <c r="E301" s="8"/>
      <c r="F301" s="8" t="s">
        <v>35</v>
      </c>
      <c r="G301" s="40">
        <v>0</v>
      </c>
      <c r="H301" s="46"/>
      <c r="I301" s="1"/>
      <c r="P301" s="4"/>
      <c r="Q301" s="3" t="s">
        <v>37</v>
      </c>
      <c r="R301" s="58">
        <f>L264*12000</f>
        <v>144000</v>
      </c>
      <c r="S301" s="63">
        <f>L264*12000</f>
        <v>144000</v>
      </c>
      <c r="T301" s="105"/>
      <c r="U301" s="3" t="s">
        <v>38</v>
      </c>
      <c r="V301" s="58">
        <f>V296+V297+V298+V299+V300</f>
        <v>2136040.2725079814</v>
      </c>
      <c r="W301" s="63">
        <f>W300+W299+W298+W297+W296</f>
        <v>2829581.2725079819</v>
      </c>
    </row>
    <row r="302" spans="1:23" x14ac:dyDescent="0.25">
      <c r="A302" s="120"/>
      <c r="B302" s="18" t="s">
        <v>125</v>
      </c>
      <c r="C302" s="8"/>
      <c r="D302" s="8"/>
      <c r="E302" s="8"/>
      <c r="F302" s="38"/>
      <c r="G302" s="39"/>
      <c r="H302" s="29"/>
      <c r="I302" s="1"/>
      <c r="P302" s="4"/>
      <c r="Q302" s="3" t="s">
        <v>39</v>
      </c>
      <c r="R302" s="58">
        <f>G294*100000</f>
        <v>0</v>
      </c>
      <c r="S302" s="63">
        <f>G294*100000</f>
        <v>0</v>
      </c>
      <c r="T302" s="105"/>
      <c r="U302" s="3" t="s">
        <v>40</v>
      </c>
      <c r="V302" s="58">
        <f>V294-V301</f>
        <v>-2136040.2725079814</v>
      </c>
      <c r="W302" s="63">
        <f>W294-W301</f>
        <v>-2829581.2725079819</v>
      </c>
    </row>
    <row r="303" spans="1:23" x14ac:dyDescent="0.25">
      <c r="A303" s="120"/>
      <c r="B303" s="8"/>
      <c r="C303" s="8" t="s">
        <v>43</v>
      </c>
      <c r="D303" s="10"/>
      <c r="E303" s="8"/>
      <c r="F303" s="8"/>
      <c r="G303" s="39"/>
      <c r="H303" s="29"/>
      <c r="I303" s="1"/>
      <c r="J303" s="118" t="s">
        <v>118</v>
      </c>
      <c r="K303" s="118"/>
      <c r="L303" s="118"/>
      <c r="M303" s="118"/>
      <c r="N303" s="118"/>
      <c r="O303" s="118"/>
      <c r="P303" s="4"/>
      <c r="Q303" s="3" t="s">
        <v>41</v>
      </c>
      <c r="R303" s="58">
        <f>V274*2.5%</f>
        <v>126987.91680541994</v>
      </c>
      <c r="S303" s="63">
        <f>V274*2.5%</f>
        <v>126987.91680541994</v>
      </c>
      <c r="T303" s="105"/>
      <c r="U303" s="3" t="s">
        <v>42</v>
      </c>
      <c r="V303" s="58">
        <f>IF(2*J317=2*1,(V292/2),(V302+W267))</f>
        <v>0</v>
      </c>
      <c r="W303" s="63">
        <f>IF(2*K317=2*1,(W292/2),(W302+W267))</f>
        <v>0</v>
      </c>
    </row>
    <row r="304" spans="1:23" x14ac:dyDescent="0.25">
      <c r="A304" s="120"/>
      <c r="B304" s="8" t="s">
        <v>16</v>
      </c>
      <c r="C304" s="9">
        <v>0</v>
      </c>
      <c r="D304" s="9">
        <f>C299-C304-C305-C306-C307</f>
        <v>0</v>
      </c>
      <c r="E304" s="8"/>
      <c r="F304" s="17"/>
      <c r="G304" s="39"/>
      <c r="H304" s="29"/>
      <c r="I304" s="1"/>
      <c r="J304" s="2"/>
      <c r="K304" s="2" t="s">
        <v>7</v>
      </c>
      <c r="L304" s="2" t="s">
        <v>8</v>
      </c>
      <c r="M304" s="2" t="s">
        <v>9</v>
      </c>
      <c r="N304" s="2" t="s">
        <v>10</v>
      </c>
      <c r="O304" s="2" t="s">
        <v>11</v>
      </c>
      <c r="P304" s="4"/>
      <c r="Q304" s="3" t="s">
        <v>44</v>
      </c>
      <c r="R304" s="58">
        <f>W273-V309</f>
        <v>7393376</v>
      </c>
      <c r="S304" s="63">
        <f>W273-W309</f>
        <v>1845048</v>
      </c>
      <c r="T304" s="105"/>
      <c r="U304" s="3"/>
      <c r="V304" s="58"/>
      <c r="W304" s="63"/>
    </row>
    <row r="305" spans="1:23" x14ac:dyDescent="0.25">
      <c r="A305" s="120"/>
      <c r="B305" s="8" t="s">
        <v>19</v>
      </c>
      <c r="C305" s="9">
        <v>0</v>
      </c>
      <c r="D305" s="9"/>
      <c r="E305" s="8"/>
      <c r="F305" s="8"/>
      <c r="G305" s="39"/>
      <c r="H305" s="29"/>
      <c r="I305" s="1"/>
      <c r="J305" s="2" t="s">
        <v>16</v>
      </c>
      <c r="K305" s="2">
        <v>0</v>
      </c>
      <c r="L305" s="108">
        <v>0</v>
      </c>
      <c r="M305" s="115">
        <v>0</v>
      </c>
      <c r="N305" s="2">
        <f>N269+C304-M305</f>
        <v>445549</v>
      </c>
      <c r="O305" s="2">
        <f>O292</f>
        <v>5</v>
      </c>
      <c r="P305" s="4"/>
      <c r="Q305" s="6"/>
      <c r="R305" s="64"/>
      <c r="S305" s="99"/>
      <c r="T305" s="64"/>
      <c r="U305" s="55"/>
      <c r="V305" s="87"/>
      <c r="W305" s="105"/>
    </row>
    <row r="306" spans="1:23" x14ac:dyDescent="0.25">
      <c r="A306" s="120"/>
      <c r="B306" s="8" t="s">
        <v>22</v>
      </c>
      <c r="C306" s="9">
        <v>0</v>
      </c>
      <c r="D306" s="9"/>
      <c r="E306" s="8"/>
      <c r="F306" s="8"/>
      <c r="G306" s="39"/>
      <c r="H306" s="29"/>
      <c r="I306" s="1"/>
      <c r="J306" s="2" t="s">
        <v>19</v>
      </c>
      <c r="K306" s="2">
        <v>0</v>
      </c>
      <c r="L306" s="108">
        <v>0</v>
      </c>
      <c r="M306" s="115">
        <v>0</v>
      </c>
      <c r="N306" s="2">
        <f>C305+N270-M306</f>
        <v>485805</v>
      </c>
      <c r="O306" s="2">
        <f>O293</f>
        <v>6</v>
      </c>
      <c r="P306" s="4"/>
      <c r="Q306" s="3" t="s">
        <v>45</v>
      </c>
      <c r="R306" s="58">
        <f>D293+D294+D295+D296</f>
        <v>0</v>
      </c>
      <c r="S306" s="63">
        <f>D293+D294+D295+D296</f>
        <v>0</v>
      </c>
      <c r="T306" s="105"/>
      <c r="U306" s="130" t="s">
        <v>46</v>
      </c>
      <c r="V306" s="131"/>
      <c r="W306" s="63"/>
    </row>
    <row r="307" spans="1:23" x14ac:dyDescent="0.25">
      <c r="A307" s="120"/>
      <c r="B307" s="8" t="s">
        <v>24</v>
      </c>
      <c r="C307" s="9">
        <v>0</v>
      </c>
      <c r="D307" s="9"/>
      <c r="E307" s="8"/>
      <c r="F307" s="8"/>
      <c r="G307" s="39"/>
      <c r="H307" s="29"/>
      <c r="I307" s="1"/>
      <c r="J307" s="2" t="s">
        <v>22</v>
      </c>
      <c r="K307" s="2">
        <v>0</v>
      </c>
      <c r="L307" s="108">
        <v>0</v>
      </c>
      <c r="M307" s="115">
        <v>0</v>
      </c>
      <c r="N307" s="2">
        <f>C306+N271-M307</f>
        <v>455728</v>
      </c>
      <c r="O307" s="2">
        <f>O294</f>
        <v>5</v>
      </c>
      <c r="P307" s="4"/>
      <c r="Q307" s="3" t="s">
        <v>47</v>
      </c>
      <c r="R307" s="58">
        <f>C304*0.4+C305*0.1+C306*0.4+C307*0.5</f>
        <v>0</v>
      </c>
      <c r="S307" s="63">
        <f>C304*0.4+C305*0.1+C306*0.4+C307*0.5</f>
        <v>0</v>
      </c>
      <c r="T307" s="105"/>
      <c r="U307" s="3" t="s">
        <v>48</v>
      </c>
      <c r="V307" s="58">
        <f>V303</f>
        <v>0</v>
      </c>
      <c r="W307" s="63">
        <f>W303</f>
        <v>0</v>
      </c>
    </row>
    <row r="308" spans="1:23" x14ac:dyDescent="0.25">
      <c r="A308" s="120"/>
      <c r="B308" s="11" t="s">
        <v>51</v>
      </c>
      <c r="C308" s="8"/>
      <c r="D308" s="8"/>
      <c r="E308" s="8"/>
      <c r="F308" s="8"/>
      <c r="G308" s="39"/>
      <c r="H308" s="29"/>
      <c r="I308" s="1"/>
      <c r="J308" s="2" t="s">
        <v>24</v>
      </c>
      <c r="K308" s="2">
        <v>0</v>
      </c>
      <c r="L308" s="108">
        <v>0</v>
      </c>
      <c r="M308" s="115">
        <v>0</v>
      </c>
      <c r="N308" s="2">
        <f>C307-M308</f>
        <v>0</v>
      </c>
      <c r="O308" s="2">
        <f>O295</f>
        <v>6</v>
      </c>
      <c r="P308" s="4"/>
      <c r="Q308" s="3" t="s">
        <v>49</v>
      </c>
      <c r="R308" s="58">
        <f>B310*0.4+C310*0.7+D310*0.8+B312*0.4+C312*0.4+D312*0.5+B314*0.7+C314*0.4+D314*0.4+B316*0.8+C316*0.5+D316*0.4</f>
        <v>0</v>
      </c>
      <c r="S308" s="63">
        <f>B310*0.4+C310*0.7+D310*0.8+B312*0.4+C312*0.4+D312*0.5+B314*0.7+C314*0.4+D314*0.4+B316*0.8+C316*0.5+D316*0.4</f>
        <v>0</v>
      </c>
      <c r="T308" s="105"/>
      <c r="U308" s="3" t="s">
        <v>50</v>
      </c>
      <c r="V308" s="58">
        <f>N298*((V297+W272)/(G292+G293+N275))</f>
        <v>11231161.790959824</v>
      </c>
      <c r="W308" s="63">
        <f>N311*((W297+W272)/(G292+G293+N262))</f>
        <v>11231161.790959824</v>
      </c>
    </row>
    <row r="309" spans="1:23" x14ac:dyDescent="0.25">
      <c r="A309" s="120"/>
      <c r="B309" s="8" t="s">
        <v>53</v>
      </c>
      <c r="C309" s="8" t="s">
        <v>54</v>
      </c>
      <c r="D309" s="8" t="s">
        <v>55</v>
      </c>
      <c r="E309" s="8"/>
      <c r="F309" s="9"/>
      <c r="G309" s="39"/>
      <c r="H309" s="29"/>
      <c r="I309" s="1"/>
      <c r="J309" s="27"/>
      <c r="K309" s="2"/>
      <c r="L309" s="108"/>
      <c r="M309" s="2"/>
      <c r="N309" s="2"/>
      <c r="O309" s="2"/>
      <c r="P309" s="4"/>
      <c r="Q309" s="6"/>
      <c r="R309" s="64"/>
      <c r="S309" s="90"/>
      <c r="T309" s="105"/>
      <c r="U309" s="3" t="s">
        <v>52</v>
      </c>
      <c r="V309" s="58">
        <f>4*M298</f>
        <v>0</v>
      </c>
      <c r="W309" s="63">
        <f>4*M311</f>
        <v>5548328</v>
      </c>
    </row>
    <row r="310" spans="1:23" x14ac:dyDescent="0.25">
      <c r="A310" s="120"/>
      <c r="B310" s="9">
        <v>0</v>
      </c>
      <c r="C310" s="9">
        <v>0</v>
      </c>
      <c r="D310" s="9">
        <v>0</v>
      </c>
      <c r="E310" s="8"/>
      <c r="F310" s="8"/>
      <c r="G310" s="39"/>
      <c r="H310" s="29"/>
      <c r="I310" s="1"/>
      <c r="J310" s="109" t="s">
        <v>94</v>
      </c>
      <c r="K310" s="110" t="s">
        <v>95</v>
      </c>
      <c r="L310" s="111" t="s">
        <v>96</v>
      </c>
      <c r="M310" s="112" t="s">
        <v>97</v>
      </c>
      <c r="N310" s="112" t="s">
        <v>98</v>
      </c>
      <c r="O310" s="112" t="s">
        <v>99</v>
      </c>
      <c r="P310" s="4"/>
      <c r="Q310" s="3" t="s">
        <v>56</v>
      </c>
      <c r="R310" s="63">
        <f>(C320+C321+C322+C324+C323)*500</f>
        <v>0</v>
      </c>
      <c r="S310" s="63">
        <f>(C320+C321+C322+C324+C323)*500</f>
        <v>0</v>
      </c>
      <c r="T310" s="105"/>
      <c r="U310" s="3" t="s">
        <v>57</v>
      </c>
      <c r="V310" s="58">
        <f>G294*500000+V274-R303</f>
        <v>4952528.7554113772</v>
      </c>
      <c r="W310" s="63">
        <f>G294*500000+W274-R303</f>
        <v>4952528.7554113772</v>
      </c>
    </row>
    <row r="311" spans="1:23" x14ac:dyDescent="0.25">
      <c r="A311" s="120"/>
      <c r="B311" s="8" t="s">
        <v>60</v>
      </c>
      <c r="C311" s="8" t="s">
        <v>54</v>
      </c>
      <c r="D311" s="8" t="s">
        <v>61</v>
      </c>
      <c r="E311" s="8"/>
      <c r="F311" s="8"/>
      <c r="G311" s="39"/>
      <c r="H311" s="29"/>
      <c r="I311" s="1"/>
      <c r="J311" s="2">
        <f>K305+K306+K307+K308</f>
        <v>0</v>
      </c>
      <c r="K311" s="115">
        <v>0</v>
      </c>
      <c r="L311" s="113">
        <f>M305+M306+M307+M308</f>
        <v>0</v>
      </c>
      <c r="M311" s="2">
        <f>N305+N306+N307+N308</f>
        <v>1387082</v>
      </c>
      <c r="N311" s="2">
        <f>G292+G293+N275-K311*1.35</f>
        <v>4521825</v>
      </c>
      <c r="O311" s="108">
        <f>(L305+L306+L307+L308)/4</f>
        <v>0</v>
      </c>
      <c r="P311" s="4"/>
      <c r="Q311" s="3" t="s">
        <v>58</v>
      </c>
      <c r="R311" s="63">
        <f>(C320+C321+C322+C323+C324)*1000</f>
        <v>0</v>
      </c>
      <c r="S311" s="63">
        <f>(C320+C321+C322+C323+C324)*1000</f>
        <v>0</v>
      </c>
      <c r="T311" s="105"/>
      <c r="U311" s="3" t="s">
        <v>59</v>
      </c>
      <c r="V311" s="58">
        <f>V310+V309+V308+V307</f>
        <v>16183690.546371201</v>
      </c>
      <c r="W311" s="63">
        <f>W310+W309+W308+W307</f>
        <v>21732018.546371199</v>
      </c>
    </row>
    <row r="312" spans="1:23" x14ac:dyDescent="0.25">
      <c r="A312" s="120"/>
      <c r="B312" s="9">
        <v>0</v>
      </c>
      <c r="C312" s="9">
        <v>0</v>
      </c>
      <c r="D312" s="9">
        <v>0</v>
      </c>
      <c r="E312" s="8"/>
      <c r="F312" s="8"/>
      <c r="G312" s="39"/>
      <c r="H312" s="29"/>
      <c r="I312" s="1"/>
      <c r="J312" s="110" t="s">
        <v>100</v>
      </c>
      <c r="K312" s="110" t="s">
        <v>101</v>
      </c>
      <c r="L312" s="112" t="s">
        <v>102</v>
      </c>
      <c r="M312" s="112" t="s">
        <v>103</v>
      </c>
      <c r="N312" s="112" t="s">
        <v>104</v>
      </c>
      <c r="O312" s="112" t="s">
        <v>105</v>
      </c>
      <c r="P312" s="4"/>
      <c r="Q312" s="3" t="s">
        <v>62</v>
      </c>
      <c r="R312" s="63">
        <f>(C320+C321+C322+C323)*4500+C324*3750+(O256+O257+O258+O259-D320-D321-D322-D323)*9000+(N264-D324)*7500</f>
        <v>468000</v>
      </c>
      <c r="S312" s="63">
        <f>(C320+C321+C322+C323)*4500+C324*3750+(O256+O257+O258+O259-D320-D321-D322-D323)*9000+(N264-D324)*7500</f>
        <v>468000</v>
      </c>
      <c r="T312" s="105"/>
      <c r="U312" s="3" t="s">
        <v>63</v>
      </c>
      <c r="V312" s="58">
        <f>G299+W278-G300</f>
        <v>31005424.497043651</v>
      </c>
      <c r="W312" s="63">
        <f>G299+W278-G300</f>
        <v>31005424.497043651</v>
      </c>
    </row>
    <row r="313" spans="1:23" x14ac:dyDescent="0.25">
      <c r="A313" s="120"/>
      <c r="B313" s="8" t="s">
        <v>66</v>
      </c>
      <c r="C313" s="8" t="s">
        <v>67</v>
      </c>
      <c r="D313" s="8" t="s">
        <v>68</v>
      </c>
      <c r="E313" s="8"/>
      <c r="F313" s="8"/>
      <c r="G313" s="39"/>
      <c r="H313" s="29"/>
      <c r="I313" s="1"/>
      <c r="J313" s="115">
        <v>0</v>
      </c>
      <c r="K313" s="115">
        <v>0</v>
      </c>
      <c r="L313" s="2">
        <f>L300</f>
        <v>12</v>
      </c>
      <c r="M313" s="2">
        <f>N313+O305+O306+O307+O308</f>
        <v>58</v>
      </c>
      <c r="N313" s="2">
        <f>N300</f>
        <v>36</v>
      </c>
      <c r="O313" s="2">
        <f>O308+O307+O306+O305</f>
        <v>22</v>
      </c>
      <c r="P313" s="4"/>
      <c r="Q313" s="3" t="s">
        <v>64</v>
      </c>
      <c r="R313" s="63">
        <f>(D320+D321+D322+D323)*6000+D324*5000</f>
        <v>0</v>
      </c>
      <c r="S313" s="63">
        <f>(D320+D321+D322+D323)*6000+D324*5000</f>
        <v>0</v>
      </c>
      <c r="T313" s="105"/>
      <c r="U313" s="3" t="s">
        <v>65</v>
      </c>
      <c r="V313" s="58">
        <f>IF(2*J317=2*1,V292/2-(V302+W267),"0")</f>
        <v>2136040.2725079814</v>
      </c>
      <c r="W313" s="63">
        <f>IF(2*K317=2*1,W292/2-(W302+W267),"0")</f>
        <v>2829581.2725079819</v>
      </c>
    </row>
    <row r="314" spans="1:23" x14ac:dyDescent="0.25">
      <c r="A314" s="120"/>
      <c r="B314" s="9">
        <v>0</v>
      </c>
      <c r="C314" s="9">
        <v>0</v>
      </c>
      <c r="D314" s="9">
        <v>0</v>
      </c>
      <c r="E314" s="8"/>
      <c r="F314" s="8"/>
      <c r="G314" s="39"/>
      <c r="H314" s="29"/>
      <c r="I314" s="1"/>
      <c r="J314" s="7"/>
      <c r="K314" s="5"/>
      <c r="L314" s="5"/>
      <c r="M314" s="5"/>
      <c r="P314" s="4"/>
      <c r="Q314" s="3" t="s">
        <v>69</v>
      </c>
      <c r="R314" s="63">
        <f>W272*10%</f>
        <v>1123116.1790959823</v>
      </c>
      <c r="S314" s="63">
        <f>W272*10%</f>
        <v>1123116.1790959823</v>
      </c>
      <c r="T314" s="105"/>
      <c r="U314" s="3" t="s">
        <v>70</v>
      </c>
      <c r="V314" s="58">
        <f>V312+V313</f>
        <v>33141464.769551631</v>
      </c>
      <c r="W314" s="63">
        <f>W313+W312</f>
        <v>33835005.769551635</v>
      </c>
    </row>
    <row r="315" spans="1:23" x14ac:dyDescent="0.25">
      <c r="A315" s="120"/>
      <c r="B315" s="8" t="s">
        <v>73</v>
      </c>
      <c r="C315" s="8" t="s">
        <v>74</v>
      </c>
      <c r="D315" s="8" t="s">
        <v>75</v>
      </c>
      <c r="E315" s="8"/>
      <c r="F315" s="8"/>
      <c r="G315" s="39"/>
      <c r="H315" s="29"/>
      <c r="I315" s="1"/>
      <c r="J315" s="22"/>
      <c r="K315" s="22"/>
      <c r="P315" s="4"/>
      <c r="Q315" s="3" t="s">
        <v>71</v>
      </c>
      <c r="R315" s="63">
        <f>0.5*M298</f>
        <v>0</v>
      </c>
      <c r="S315" s="63">
        <f>0.5*M311</f>
        <v>693541</v>
      </c>
      <c r="T315" s="105"/>
      <c r="U315" s="3" t="s">
        <v>72</v>
      </c>
      <c r="V315" s="58">
        <f>V311-V314</f>
        <v>-16957774.223180428</v>
      </c>
      <c r="W315" s="63">
        <f>W311-W314</f>
        <v>-12102987.223180436</v>
      </c>
    </row>
    <row r="316" spans="1:23" x14ac:dyDescent="0.25">
      <c r="A316" s="120"/>
      <c r="B316" s="9">
        <v>0</v>
      </c>
      <c r="C316" s="9">
        <v>0</v>
      </c>
      <c r="D316" s="9">
        <v>0</v>
      </c>
      <c r="E316" s="8"/>
      <c r="F316" s="8"/>
      <c r="G316" s="39"/>
      <c r="H316" s="29"/>
      <c r="I316" s="24"/>
      <c r="J316" s="28" t="s">
        <v>114</v>
      </c>
      <c r="K316" s="28" t="s">
        <v>115</v>
      </c>
      <c r="P316" s="4"/>
      <c r="Q316" s="59"/>
      <c r="R316" s="74"/>
      <c r="S316" s="90"/>
      <c r="T316" s="64"/>
      <c r="U316" s="4"/>
      <c r="V316" s="64"/>
      <c r="W316" s="105"/>
    </row>
    <row r="317" spans="1:23" x14ac:dyDescent="0.25">
      <c r="A317" s="120"/>
      <c r="B317" s="8"/>
      <c r="C317" s="8"/>
      <c r="D317" s="8"/>
      <c r="E317" s="8"/>
      <c r="F317" s="8"/>
      <c r="G317" s="39"/>
      <c r="H317" s="29"/>
      <c r="I317" s="24"/>
      <c r="J317" s="27" t="str">
        <f>IF((W267+V302)&lt;=V292/2,"1","0")</f>
        <v>1</v>
      </c>
      <c r="K317" s="27" t="str">
        <f>IF((W267+W302)&lt;=W292/2,"1","0")</f>
        <v>1</v>
      </c>
      <c r="P317" s="4"/>
      <c r="Q317" s="3" t="s">
        <v>76</v>
      </c>
      <c r="R317" s="63">
        <f>V312*M1/4+W277*M1/4*3</f>
        <v>400924.09341199929</v>
      </c>
      <c r="S317" s="63">
        <f>W312*M1/4+W277*M1/4*3</f>
        <v>400924.09341199929</v>
      </c>
      <c r="T317" s="64"/>
      <c r="U317" s="4"/>
      <c r="V317" s="64"/>
      <c r="W317" s="105"/>
    </row>
    <row r="318" spans="1:23" x14ac:dyDescent="0.25">
      <c r="A318" s="120"/>
      <c r="B318" s="18" t="s">
        <v>126</v>
      </c>
      <c r="C318" s="8"/>
      <c r="D318" s="8"/>
      <c r="E318" s="8"/>
      <c r="F318" s="8"/>
      <c r="G318" s="39"/>
      <c r="H318" s="29"/>
      <c r="I318" s="24"/>
      <c r="J318" s="26" t="s">
        <v>117</v>
      </c>
      <c r="K318" s="27"/>
      <c r="P318" s="4"/>
      <c r="Q318" s="59"/>
      <c r="R318" s="74"/>
      <c r="S318" s="90"/>
      <c r="T318" s="64"/>
      <c r="U318" s="4"/>
      <c r="V318" s="64"/>
      <c r="W318" s="105"/>
    </row>
    <row r="319" spans="1:23" x14ac:dyDescent="0.25">
      <c r="A319" s="120"/>
      <c r="B319" s="8"/>
      <c r="C319" s="8" t="s">
        <v>78</v>
      </c>
      <c r="D319" s="8" t="s">
        <v>79</v>
      </c>
      <c r="E319" s="8"/>
      <c r="F319" s="8"/>
      <c r="G319" s="39"/>
      <c r="H319" s="29"/>
      <c r="I319" s="24"/>
      <c r="J319" s="27">
        <f>N275+G293-H292</f>
        <v>4521825</v>
      </c>
      <c r="K319" s="27"/>
      <c r="P319" s="4"/>
      <c r="Q319" s="3" t="s">
        <v>77</v>
      </c>
      <c r="R319" s="63">
        <f>(R293/(1+E1))*E1</f>
        <v>0</v>
      </c>
      <c r="S319" s="63">
        <f>S293/(1+E1)*E1</f>
        <v>0</v>
      </c>
      <c r="T319" s="64"/>
      <c r="U319" s="4"/>
      <c r="V319" s="64"/>
      <c r="W319" s="105"/>
    </row>
    <row r="320" spans="1:23" x14ac:dyDescent="0.25">
      <c r="A320" s="120"/>
      <c r="B320" s="8" t="s">
        <v>16</v>
      </c>
      <c r="C320" s="9">
        <v>0</v>
      </c>
      <c r="D320" s="9">
        <v>0</v>
      </c>
      <c r="E320" s="8"/>
      <c r="F320" s="8"/>
      <c r="G320" s="39"/>
      <c r="H320" s="29"/>
      <c r="I320" s="24"/>
      <c r="P320" s="4"/>
      <c r="Q320" s="3" t="s">
        <v>80</v>
      </c>
      <c r="R320" s="63">
        <f>R319*G1</f>
        <v>0</v>
      </c>
      <c r="S320" s="63">
        <f>S319*G1</f>
        <v>0</v>
      </c>
      <c r="T320" s="64"/>
      <c r="U320" s="4"/>
      <c r="V320" s="64"/>
      <c r="W320" s="105"/>
    </row>
    <row r="321" spans="1:24" x14ac:dyDescent="0.25">
      <c r="A321" s="120"/>
      <c r="B321" s="8" t="s">
        <v>19</v>
      </c>
      <c r="C321" s="9">
        <v>0</v>
      </c>
      <c r="D321" s="9">
        <v>0</v>
      </c>
      <c r="E321" s="8"/>
      <c r="F321" s="8"/>
      <c r="G321" s="39"/>
      <c r="H321" s="29"/>
      <c r="I321" s="24"/>
      <c r="P321" s="4"/>
      <c r="Q321" s="3" t="s">
        <v>81</v>
      </c>
      <c r="R321" s="63">
        <f>(R293/(1+E1)-(R306+R307+R317+R315+R314+R313+R312+R311+R295+R297+R296+R298+R299+R300+R301+R302+R303+R304+R310)-R320)*K1</f>
        <v>-2414100.7973283501</v>
      </c>
      <c r="S321" s="63">
        <f>(S293/(1+E1)-(S295+S296+S297+S298+S299+S300+S301+S302+S303+S304+S306+S307+S308+S310+S311+S312+S313+S314+S315+S317)-S320)*K1</f>
        <v>-1200404.0473283506</v>
      </c>
      <c r="T321" s="64"/>
      <c r="U321" s="4"/>
      <c r="V321" s="64"/>
      <c r="W321" s="105"/>
    </row>
    <row r="322" spans="1:24" x14ac:dyDescent="0.25">
      <c r="A322" s="120"/>
      <c r="B322" s="8" t="s">
        <v>22</v>
      </c>
      <c r="C322" s="9">
        <v>0</v>
      </c>
      <c r="D322" s="9">
        <v>0</v>
      </c>
      <c r="E322" s="8"/>
      <c r="F322" s="8"/>
      <c r="G322" s="39"/>
      <c r="H322" s="29"/>
      <c r="I322" s="24"/>
      <c r="P322" s="4"/>
      <c r="Q322" s="3"/>
      <c r="R322" s="63" t="str">
        <f>IF(R321&lt;=0,"0",R321)</f>
        <v>0</v>
      </c>
      <c r="S322" s="63" t="str">
        <f>IF(S321&lt;=0,"0",S321)</f>
        <v>0</v>
      </c>
      <c r="T322" s="64"/>
      <c r="U322" s="4"/>
      <c r="V322" s="64"/>
      <c r="W322" s="105"/>
    </row>
    <row r="323" spans="1:24" x14ac:dyDescent="0.25">
      <c r="A323" s="120"/>
      <c r="B323" s="8" t="s">
        <v>24</v>
      </c>
      <c r="C323" s="9">
        <v>0</v>
      </c>
      <c r="D323" s="9">
        <v>0</v>
      </c>
      <c r="E323" s="8"/>
      <c r="F323" s="8"/>
      <c r="G323" s="39"/>
      <c r="H323" s="29"/>
      <c r="I323" s="24"/>
      <c r="P323" s="4"/>
      <c r="Q323" s="3" t="s">
        <v>82</v>
      </c>
      <c r="R323" s="63">
        <f>R295+R299+R302+R310+R311+R312+R296+R297+R298+R300+R301+R303+R304+R306+R307+R308+R313+R314+R315+R317+R319+R320+R322</f>
        <v>9656403.1893134005</v>
      </c>
      <c r="S323" s="63">
        <f>S295+S299+S302+S310+S311+S312+S296+S297+S298+S300+S301+S303+S304+S306+S307+S308+S313+S314+S315+S317+S319+S320+S322</f>
        <v>4801616.1893134024</v>
      </c>
      <c r="T323" s="64"/>
      <c r="U323" s="4"/>
      <c r="V323" s="64"/>
      <c r="W323" s="105"/>
    </row>
    <row r="324" spans="1:24" x14ac:dyDescent="0.25">
      <c r="A324" s="120"/>
      <c r="B324" s="8" t="s">
        <v>83</v>
      </c>
      <c r="C324" s="9">
        <f>G294*3</f>
        <v>0</v>
      </c>
      <c r="D324" s="9">
        <v>0</v>
      </c>
      <c r="E324" s="8"/>
      <c r="F324" s="8"/>
      <c r="G324" s="39"/>
      <c r="H324" s="29"/>
      <c r="I324" s="24"/>
      <c r="P324" s="4"/>
      <c r="Q324" s="59"/>
      <c r="R324" s="74"/>
      <c r="S324" s="90"/>
      <c r="T324" s="64"/>
      <c r="U324" s="4"/>
      <c r="V324" s="64"/>
      <c r="W324" s="105"/>
    </row>
    <row r="325" spans="1:24" x14ac:dyDescent="0.25">
      <c r="A325" s="121"/>
      <c r="B325" s="8"/>
      <c r="C325" s="103"/>
      <c r="D325" s="8"/>
      <c r="E325" s="8"/>
      <c r="F325" s="8"/>
      <c r="G325" s="39"/>
      <c r="H325" s="32"/>
      <c r="I325" s="25"/>
      <c r="J325" s="101"/>
      <c r="K325" s="101"/>
      <c r="L325" s="101"/>
      <c r="M325" s="101"/>
      <c r="N325" s="101"/>
      <c r="O325" s="101"/>
      <c r="P325" s="96"/>
      <c r="Q325" s="3" t="s">
        <v>84</v>
      </c>
      <c r="R325" s="63">
        <f>R293-R323</f>
        <v>-9656403.1893134005</v>
      </c>
      <c r="S325" s="63">
        <f>S293-S323</f>
        <v>-4801616.1893134024</v>
      </c>
      <c r="T325" s="117"/>
      <c r="U325" s="96"/>
      <c r="V325" s="88"/>
      <c r="W325" s="107"/>
    </row>
    <row r="326" spans="1:24" x14ac:dyDescent="0.25">
      <c r="Q326" s="33"/>
      <c r="S326" s="57"/>
      <c r="U326" s="5"/>
      <c r="W326" s="69"/>
      <c r="X326" s="5"/>
    </row>
    <row r="327" spans="1:24" x14ac:dyDescent="0.25">
      <c r="Q327" s="33"/>
      <c r="S327" s="57"/>
      <c r="U327" s="5"/>
      <c r="W327" s="69"/>
      <c r="X327" s="5"/>
    </row>
    <row r="328" spans="1:24" x14ac:dyDescent="0.25">
      <c r="Q328" s="33"/>
      <c r="S328" s="57"/>
      <c r="U328" s="5"/>
      <c r="W328" s="69"/>
      <c r="X328" s="5"/>
    </row>
    <row r="329" spans="1:24" x14ac:dyDescent="0.25">
      <c r="Q329" s="33"/>
      <c r="S329" s="57"/>
      <c r="U329" s="5"/>
      <c r="W329" s="69"/>
      <c r="X329" s="5"/>
    </row>
    <row r="330" spans="1:24" x14ac:dyDescent="0.25">
      <c r="Q330" s="33"/>
      <c r="S330" s="57"/>
      <c r="U330" s="5"/>
      <c r="W330" s="69"/>
      <c r="X330" s="5"/>
    </row>
    <row r="331" spans="1:24" x14ac:dyDescent="0.25">
      <c r="Q331" s="33"/>
      <c r="S331" s="57"/>
      <c r="U331" s="5"/>
      <c r="W331" s="69"/>
      <c r="X331" s="5"/>
    </row>
    <row r="332" spans="1:24" x14ac:dyDescent="0.25">
      <c r="Q332" s="33"/>
      <c r="S332" s="57"/>
      <c r="U332" s="5"/>
      <c r="W332" s="69"/>
      <c r="X332" s="5"/>
    </row>
    <row r="333" spans="1:24" x14ac:dyDescent="0.25">
      <c r="Q333" s="33"/>
      <c r="S333" s="57"/>
      <c r="U333" s="5"/>
      <c r="W333" s="69"/>
      <c r="X333" s="5"/>
    </row>
    <row r="334" spans="1:24" x14ac:dyDescent="0.25">
      <c r="Q334" s="33"/>
      <c r="S334" s="57"/>
      <c r="U334" s="5"/>
      <c r="W334" s="69"/>
      <c r="X334" s="5"/>
    </row>
    <row r="335" spans="1:24" x14ac:dyDescent="0.25">
      <c r="Q335" s="33"/>
      <c r="S335" s="57"/>
      <c r="U335" s="5"/>
      <c r="W335" s="69"/>
      <c r="X335" s="5"/>
    </row>
    <row r="336" spans="1:24" x14ac:dyDescent="0.25">
      <c r="Q336" s="33"/>
      <c r="S336" s="57"/>
      <c r="U336" s="5"/>
      <c r="W336" s="69"/>
      <c r="X336" s="5"/>
    </row>
    <row r="337" spans="17:24" x14ac:dyDescent="0.25">
      <c r="Q337" s="33"/>
      <c r="S337" s="57"/>
      <c r="U337" s="5"/>
      <c r="W337" s="69"/>
      <c r="X337" s="5"/>
    </row>
    <row r="338" spans="17:24" x14ac:dyDescent="0.25">
      <c r="Q338" s="33"/>
      <c r="S338" s="57"/>
      <c r="U338" s="5"/>
      <c r="W338" s="69"/>
      <c r="X338" s="5"/>
    </row>
    <row r="339" spans="17:24" x14ac:dyDescent="0.25">
      <c r="Q339" s="33"/>
      <c r="S339" s="57"/>
      <c r="U339" s="5"/>
      <c r="W339" s="69"/>
      <c r="X339" s="5"/>
    </row>
    <row r="340" spans="17:24" x14ac:dyDescent="0.25">
      <c r="Q340" s="33"/>
      <c r="S340" s="57"/>
      <c r="U340" s="5"/>
      <c r="W340" s="69"/>
      <c r="X340" s="5"/>
    </row>
    <row r="341" spans="17:24" x14ac:dyDescent="0.25">
      <c r="Q341" s="33"/>
      <c r="S341" s="57"/>
      <c r="U341" s="33"/>
      <c r="W341" s="69"/>
      <c r="X341" s="5"/>
    </row>
    <row r="342" spans="17:24" x14ac:dyDescent="0.25">
      <c r="Q342" s="33"/>
      <c r="S342" s="57"/>
      <c r="U342" s="33"/>
      <c r="W342" s="69"/>
      <c r="X342" s="5"/>
    </row>
    <row r="343" spans="17:24" x14ac:dyDescent="0.25">
      <c r="Q343" s="33"/>
      <c r="S343" s="57"/>
      <c r="U343" s="33"/>
      <c r="W343" s="69"/>
      <c r="X343" s="5"/>
    </row>
    <row r="344" spans="17:24" x14ac:dyDescent="0.25">
      <c r="Q344" s="33"/>
      <c r="S344" s="57"/>
      <c r="W344" s="69"/>
      <c r="X344" s="5"/>
    </row>
    <row r="345" spans="17:24" x14ac:dyDescent="0.25">
      <c r="Q345" s="33"/>
      <c r="S345" s="57"/>
      <c r="W345" s="69"/>
      <c r="X345" s="5"/>
    </row>
    <row r="346" spans="17:24" x14ac:dyDescent="0.25">
      <c r="Q346" s="33"/>
      <c r="S346" s="57"/>
      <c r="W346" s="69"/>
      <c r="X346" s="5"/>
    </row>
    <row r="347" spans="17:24" x14ac:dyDescent="0.25">
      <c r="Q347" s="33"/>
      <c r="S347" s="57"/>
      <c r="W347" s="69"/>
      <c r="X347" s="5"/>
    </row>
    <row r="348" spans="17:24" x14ac:dyDescent="0.25">
      <c r="Q348" s="33"/>
      <c r="S348" s="57"/>
      <c r="W348" s="69"/>
      <c r="X348" s="5"/>
    </row>
    <row r="349" spans="17:24" x14ac:dyDescent="0.25">
      <c r="Q349" s="33"/>
      <c r="S349" s="57"/>
      <c r="W349" s="69"/>
      <c r="X349" s="5"/>
    </row>
    <row r="350" spans="17:24" x14ac:dyDescent="0.25">
      <c r="Q350" s="33"/>
      <c r="S350" s="57"/>
      <c r="W350" s="69"/>
      <c r="X350" s="5"/>
    </row>
    <row r="351" spans="17:24" x14ac:dyDescent="0.25">
      <c r="Q351" s="33"/>
      <c r="S351" s="57"/>
      <c r="W351" s="69"/>
      <c r="X351" s="5"/>
    </row>
    <row r="352" spans="17:24" x14ac:dyDescent="0.25">
      <c r="Q352" s="33"/>
      <c r="S352" s="57"/>
      <c r="W352" s="69"/>
      <c r="X352" s="5"/>
    </row>
    <row r="353" spans="17:24" x14ac:dyDescent="0.25">
      <c r="Q353" s="33"/>
      <c r="S353" s="57"/>
      <c r="W353" s="69"/>
      <c r="X353" s="5"/>
    </row>
    <row r="354" spans="17:24" x14ac:dyDescent="0.25">
      <c r="Q354" s="33"/>
      <c r="S354" s="57"/>
      <c r="W354" s="69"/>
      <c r="X354" s="5"/>
    </row>
    <row r="355" spans="17:24" x14ac:dyDescent="0.25">
      <c r="Q355" s="33"/>
      <c r="S355" s="57"/>
      <c r="W355" s="69"/>
      <c r="X355" s="5"/>
    </row>
    <row r="356" spans="17:24" x14ac:dyDescent="0.25">
      <c r="Q356" s="33"/>
      <c r="S356" s="57"/>
      <c r="W356" s="69"/>
      <c r="X356" s="5"/>
    </row>
    <row r="357" spans="17:24" x14ac:dyDescent="0.25">
      <c r="Q357" s="33"/>
      <c r="S357" s="57"/>
      <c r="W357" s="69"/>
      <c r="X357" s="5"/>
    </row>
    <row r="358" spans="17:24" x14ac:dyDescent="0.25">
      <c r="Q358" s="33"/>
      <c r="S358" s="57"/>
      <c r="W358" s="69"/>
      <c r="X358" s="5"/>
    </row>
    <row r="359" spans="17:24" x14ac:dyDescent="0.25">
      <c r="Q359" s="33"/>
      <c r="S359" s="57"/>
      <c r="W359" s="69"/>
      <c r="X359" s="5"/>
    </row>
    <row r="360" spans="17:24" x14ac:dyDescent="0.25">
      <c r="Q360" s="33"/>
      <c r="S360" s="57"/>
      <c r="W360" s="69"/>
      <c r="X360" s="5"/>
    </row>
    <row r="361" spans="17:24" x14ac:dyDescent="0.25">
      <c r="Q361" s="33"/>
      <c r="S361" s="57"/>
      <c r="W361" s="69"/>
      <c r="X361" s="5"/>
    </row>
    <row r="362" spans="17:24" x14ac:dyDescent="0.25">
      <c r="Q362" s="33"/>
      <c r="S362" s="57"/>
      <c r="W362" s="69"/>
      <c r="X362" s="5"/>
    </row>
    <row r="363" spans="17:24" x14ac:dyDescent="0.25">
      <c r="Q363" s="33"/>
      <c r="S363" s="57"/>
      <c r="W363" s="69"/>
      <c r="X363" s="5"/>
    </row>
    <row r="364" spans="17:24" x14ac:dyDescent="0.25">
      <c r="Q364" s="33"/>
      <c r="S364" s="57"/>
      <c r="W364" s="69"/>
      <c r="X364" s="5"/>
    </row>
    <row r="365" spans="17:24" x14ac:dyDescent="0.25">
      <c r="Q365" s="33"/>
      <c r="S365" s="57"/>
      <c r="W365" s="69"/>
      <c r="X365" s="5"/>
    </row>
    <row r="366" spans="17:24" x14ac:dyDescent="0.25">
      <c r="Q366" s="33"/>
      <c r="S366" s="57"/>
      <c r="W366" s="69"/>
      <c r="X366" s="5"/>
    </row>
    <row r="367" spans="17:24" x14ac:dyDescent="0.25">
      <c r="Q367" s="33"/>
      <c r="S367" s="57"/>
      <c r="W367" s="69"/>
      <c r="X367" s="5"/>
    </row>
    <row r="368" spans="17:24" x14ac:dyDescent="0.25">
      <c r="Q368" s="33"/>
      <c r="S368" s="57"/>
      <c r="W368" s="69"/>
      <c r="X368" s="5"/>
    </row>
    <row r="369" spans="17:24" x14ac:dyDescent="0.25">
      <c r="Q369" s="33"/>
      <c r="S369" s="57"/>
      <c r="W369" s="69"/>
      <c r="X369" s="5"/>
    </row>
    <row r="370" spans="17:24" x14ac:dyDescent="0.25">
      <c r="Q370" s="33"/>
      <c r="S370" s="57"/>
      <c r="W370" s="69"/>
      <c r="X370" s="5"/>
    </row>
    <row r="371" spans="17:24" x14ac:dyDescent="0.25">
      <c r="Q371" s="33"/>
      <c r="S371" s="57"/>
      <c r="W371" s="69"/>
      <c r="X371" s="5"/>
    </row>
    <row r="372" spans="17:24" x14ac:dyDescent="0.25">
      <c r="Q372" s="33"/>
      <c r="S372" s="57"/>
      <c r="W372" s="69"/>
      <c r="X372" s="5"/>
    </row>
    <row r="373" spans="17:24" x14ac:dyDescent="0.25">
      <c r="Q373" s="33"/>
      <c r="S373" s="57"/>
      <c r="W373" s="69"/>
      <c r="X373" s="5"/>
    </row>
    <row r="374" spans="17:24" x14ac:dyDescent="0.25">
      <c r="Q374" s="33"/>
      <c r="S374" s="57"/>
      <c r="W374" s="69"/>
      <c r="X374" s="5"/>
    </row>
    <row r="375" spans="17:24" x14ac:dyDescent="0.25">
      <c r="Q375" s="33"/>
      <c r="S375" s="57"/>
      <c r="W375" s="69"/>
      <c r="X375" s="5"/>
    </row>
    <row r="376" spans="17:24" x14ac:dyDescent="0.25">
      <c r="Q376" s="33"/>
      <c r="S376" s="57"/>
      <c r="W376" s="69"/>
      <c r="X376" s="5"/>
    </row>
    <row r="377" spans="17:24" x14ac:dyDescent="0.25">
      <c r="Q377" s="33"/>
      <c r="S377" s="57"/>
      <c r="W377" s="69"/>
      <c r="X377" s="5"/>
    </row>
    <row r="378" spans="17:24" x14ac:dyDescent="0.25">
      <c r="Q378" s="33"/>
      <c r="S378" s="57"/>
      <c r="W378" s="69"/>
      <c r="X378" s="5"/>
    </row>
    <row r="379" spans="17:24" x14ac:dyDescent="0.25">
      <c r="Q379" s="33"/>
      <c r="S379" s="57"/>
      <c r="W379" s="69"/>
      <c r="X379" s="5"/>
    </row>
    <row r="380" spans="17:24" x14ac:dyDescent="0.25">
      <c r="Q380" s="33"/>
      <c r="S380" s="57"/>
      <c r="W380" s="69"/>
      <c r="X380" s="5"/>
    </row>
    <row r="381" spans="17:24" x14ac:dyDescent="0.25">
      <c r="Q381" s="33"/>
      <c r="S381" s="57"/>
      <c r="W381" s="69"/>
      <c r="X381" s="5"/>
    </row>
    <row r="382" spans="17:24" x14ac:dyDescent="0.25">
      <c r="Q382" s="33"/>
      <c r="S382" s="57"/>
      <c r="W382" s="69"/>
      <c r="X382" s="5"/>
    </row>
    <row r="383" spans="17:24" x14ac:dyDescent="0.25">
      <c r="Q383" s="33"/>
      <c r="S383" s="57"/>
      <c r="W383" s="69"/>
      <c r="X383" s="5"/>
    </row>
    <row r="384" spans="17:24" x14ac:dyDescent="0.25">
      <c r="Q384" s="33"/>
      <c r="S384" s="57"/>
      <c r="W384" s="69"/>
      <c r="X384" s="5"/>
    </row>
    <row r="385" spans="17:24" x14ac:dyDescent="0.25">
      <c r="Q385" s="33"/>
      <c r="S385" s="57"/>
      <c r="W385" s="69"/>
      <c r="X385" s="5"/>
    </row>
    <row r="386" spans="17:24" x14ac:dyDescent="0.25">
      <c r="Q386" s="33"/>
      <c r="S386" s="57"/>
      <c r="W386" s="69"/>
      <c r="X386" s="5"/>
    </row>
    <row r="387" spans="17:24" x14ac:dyDescent="0.25">
      <c r="Q387" s="33"/>
      <c r="S387" s="57"/>
      <c r="W387" s="69"/>
      <c r="X387" s="5"/>
    </row>
    <row r="388" spans="17:24" x14ac:dyDescent="0.25">
      <c r="Q388" s="33"/>
      <c r="S388" s="57"/>
      <c r="W388" s="69"/>
      <c r="X388" s="5"/>
    </row>
    <row r="389" spans="17:24" x14ac:dyDescent="0.25">
      <c r="Q389" s="33"/>
      <c r="S389" s="57"/>
      <c r="W389" s="69"/>
      <c r="X389" s="5"/>
    </row>
    <row r="390" spans="17:24" x14ac:dyDescent="0.25">
      <c r="Q390" s="33"/>
      <c r="S390" s="57"/>
      <c r="W390" s="69"/>
      <c r="X390" s="5"/>
    </row>
    <row r="391" spans="17:24" x14ac:dyDescent="0.25">
      <c r="Q391" s="33"/>
      <c r="S391" s="57"/>
      <c r="W391" s="69"/>
      <c r="X391" s="5"/>
    </row>
    <row r="392" spans="17:24" x14ac:dyDescent="0.25">
      <c r="Q392" s="33"/>
      <c r="S392" s="57"/>
      <c r="W392" s="69"/>
      <c r="X392" s="5"/>
    </row>
    <row r="393" spans="17:24" x14ac:dyDescent="0.25">
      <c r="Q393" s="33"/>
      <c r="S393" s="57"/>
      <c r="W393" s="69"/>
      <c r="X393" s="5"/>
    </row>
    <row r="394" spans="17:24" x14ac:dyDescent="0.25">
      <c r="Q394" s="33"/>
      <c r="S394" s="57"/>
      <c r="W394" s="69"/>
      <c r="X394" s="5"/>
    </row>
    <row r="395" spans="17:24" x14ac:dyDescent="0.25">
      <c r="Q395" s="33"/>
      <c r="S395" s="57"/>
      <c r="W395" s="69"/>
      <c r="X395" s="5"/>
    </row>
    <row r="396" spans="17:24" x14ac:dyDescent="0.25">
      <c r="Q396" s="33"/>
      <c r="S396" s="57"/>
      <c r="W396" s="69"/>
      <c r="X396" s="5"/>
    </row>
    <row r="397" spans="17:24" x14ac:dyDescent="0.25">
      <c r="Q397" s="33"/>
      <c r="S397" s="57"/>
      <c r="W397" s="69"/>
      <c r="X397" s="5"/>
    </row>
    <row r="398" spans="17:24" x14ac:dyDescent="0.25">
      <c r="Q398" s="33"/>
      <c r="S398" s="57"/>
      <c r="W398" s="69"/>
      <c r="X398" s="5"/>
    </row>
    <row r="399" spans="17:24" x14ac:dyDescent="0.25">
      <c r="Q399" s="33"/>
      <c r="S399" s="57"/>
      <c r="W399" s="69"/>
      <c r="X399" s="5"/>
    </row>
    <row r="400" spans="17:24" x14ac:dyDescent="0.25">
      <c r="Q400" s="33"/>
      <c r="S400" s="57"/>
      <c r="W400" s="69"/>
      <c r="X400" s="5"/>
    </row>
    <row r="401" spans="17:24" x14ac:dyDescent="0.25">
      <c r="Q401" s="33"/>
      <c r="S401" s="57"/>
      <c r="W401" s="69"/>
      <c r="X401" s="5"/>
    </row>
    <row r="402" spans="17:24" x14ac:dyDescent="0.25">
      <c r="Q402" s="33"/>
      <c r="S402" s="57"/>
      <c r="W402" s="69"/>
      <c r="X402" s="5"/>
    </row>
    <row r="403" spans="17:24" x14ac:dyDescent="0.25">
      <c r="Q403" s="33"/>
      <c r="S403" s="57"/>
      <c r="W403" s="69"/>
      <c r="X403" s="5"/>
    </row>
    <row r="404" spans="17:24" x14ac:dyDescent="0.25">
      <c r="Q404" s="33"/>
      <c r="S404" s="57"/>
      <c r="W404" s="69"/>
      <c r="X404" s="5"/>
    </row>
    <row r="405" spans="17:24" x14ac:dyDescent="0.25">
      <c r="Q405" s="33"/>
      <c r="S405" s="57"/>
      <c r="W405" s="69"/>
      <c r="X405" s="5"/>
    </row>
    <row r="406" spans="17:24" x14ac:dyDescent="0.25">
      <c r="Q406" s="33"/>
      <c r="S406" s="57"/>
      <c r="W406" s="69"/>
      <c r="X406" s="5"/>
    </row>
    <row r="407" spans="17:24" x14ac:dyDescent="0.25">
      <c r="Q407" s="33"/>
      <c r="S407" s="57"/>
      <c r="W407" s="69"/>
      <c r="X407" s="5"/>
    </row>
    <row r="408" spans="17:24" x14ac:dyDescent="0.25">
      <c r="Q408" s="33"/>
      <c r="S408" s="57"/>
      <c r="W408" s="69"/>
      <c r="X408" s="5"/>
    </row>
    <row r="409" spans="17:24" x14ac:dyDescent="0.25">
      <c r="Q409" s="33"/>
      <c r="S409" s="57"/>
      <c r="W409" s="69"/>
      <c r="X409" s="5"/>
    </row>
    <row r="410" spans="17:24" x14ac:dyDescent="0.25">
      <c r="Q410" s="33"/>
      <c r="S410" s="57"/>
      <c r="W410" s="69"/>
      <c r="X410" s="5"/>
    </row>
    <row r="411" spans="17:24" x14ac:dyDescent="0.25">
      <c r="Q411" s="33"/>
      <c r="S411" s="57"/>
      <c r="W411" s="69"/>
      <c r="X411" s="5"/>
    </row>
    <row r="412" spans="17:24" x14ac:dyDescent="0.25">
      <c r="Q412" s="33"/>
      <c r="S412" s="57"/>
      <c r="W412" s="69"/>
      <c r="X412" s="5"/>
    </row>
    <row r="413" spans="17:24" x14ac:dyDescent="0.25">
      <c r="Q413" s="33"/>
      <c r="S413" s="57"/>
      <c r="W413" s="69"/>
      <c r="X413" s="5"/>
    </row>
    <row r="414" spans="17:24" x14ac:dyDescent="0.25">
      <c r="Q414" s="33"/>
      <c r="S414" s="57"/>
      <c r="W414" s="69"/>
      <c r="X414" s="5"/>
    </row>
    <row r="415" spans="17:24" x14ac:dyDescent="0.25">
      <c r="Q415" s="33"/>
      <c r="S415" s="57"/>
      <c r="W415" s="69"/>
      <c r="X415" s="5"/>
    </row>
    <row r="416" spans="17:24" x14ac:dyDescent="0.25">
      <c r="Q416" s="33"/>
      <c r="S416" s="57"/>
      <c r="W416" s="69"/>
      <c r="X416" s="5"/>
    </row>
    <row r="417" spans="17:24" x14ac:dyDescent="0.25">
      <c r="Q417" s="33"/>
      <c r="S417" s="57"/>
      <c r="W417" s="69"/>
      <c r="X417" s="5"/>
    </row>
    <row r="418" spans="17:24" x14ac:dyDescent="0.25">
      <c r="Q418" s="33"/>
      <c r="S418" s="57"/>
      <c r="W418" s="69"/>
      <c r="X418" s="5"/>
    </row>
    <row r="419" spans="17:24" x14ac:dyDescent="0.25">
      <c r="Q419" s="33"/>
      <c r="S419" s="57"/>
      <c r="W419" s="69"/>
      <c r="X419" s="5"/>
    </row>
    <row r="420" spans="17:24" x14ac:dyDescent="0.25">
      <c r="Q420" s="33"/>
      <c r="S420" s="57"/>
      <c r="W420" s="69"/>
      <c r="X420" s="5"/>
    </row>
    <row r="421" spans="17:24" x14ac:dyDescent="0.25">
      <c r="Q421" s="33"/>
      <c r="S421" s="57"/>
      <c r="W421" s="69"/>
      <c r="X421" s="5"/>
    </row>
    <row r="422" spans="17:24" x14ac:dyDescent="0.25">
      <c r="Q422" s="33"/>
      <c r="S422" s="57"/>
      <c r="W422" s="69"/>
      <c r="X422" s="5"/>
    </row>
    <row r="423" spans="17:24" x14ac:dyDescent="0.25">
      <c r="Q423" s="33"/>
      <c r="S423" s="57"/>
      <c r="W423" s="69"/>
      <c r="X423" s="5"/>
    </row>
    <row r="424" spans="17:24" x14ac:dyDescent="0.25">
      <c r="Q424" s="33"/>
      <c r="S424" s="57"/>
      <c r="W424" s="69"/>
      <c r="X424" s="5"/>
    </row>
    <row r="425" spans="17:24" x14ac:dyDescent="0.25">
      <c r="Q425" s="33"/>
      <c r="S425" s="57"/>
      <c r="W425" s="69"/>
      <c r="X425" s="5"/>
    </row>
    <row r="426" spans="17:24" x14ac:dyDescent="0.25">
      <c r="Q426" s="33"/>
      <c r="S426" s="57"/>
      <c r="W426" s="69"/>
      <c r="X426" s="5"/>
    </row>
    <row r="427" spans="17:24" x14ac:dyDescent="0.25">
      <c r="Q427" s="33"/>
      <c r="S427" s="57"/>
      <c r="W427" s="69"/>
      <c r="X427" s="5"/>
    </row>
    <row r="428" spans="17:24" x14ac:dyDescent="0.25">
      <c r="Q428" s="33"/>
      <c r="S428" s="57"/>
      <c r="W428" s="69"/>
      <c r="X428" s="5"/>
    </row>
    <row r="429" spans="17:24" x14ac:dyDescent="0.25">
      <c r="Q429" s="33"/>
      <c r="S429" s="57"/>
      <c r="W429" s="69"/>
      <c r="X429" s="5"/>
    </row>
    <row r="430" spans="17:24" x14ac:dyDescent="0.25">
      <c r="Q430" s="33"/>
      <c r="S430" s="57"/>
      <c r="W430" s="69"/>
      <c r="X430" s="5"/>
    </row>
    <row r="431" spans="17:24" x14ac:dyDescent="0.25">
      <c r="Q431" s="33"/>
      <c r="S431" s="57"/>
      <c r="W431" s="69"/>
      <c r="X431" s="5"/>
    </row>
    <row r="432" spans="17:24" x14ac:dyDescent="0.25">
      <c r="Q432" s="33"/>
      <c r="S432" s="57"/>
      <c r="W432" s="69"/>
      <c r="X432" s="5"/>
    </row>
    <row r="433" spans="17:24" x14ac:dyDescent="0.25">
      <c r="Q433" s="33"/>
      <c r="S433" s="57"/>
      <c r="W433" s="69"/>
      <c r="X433" s="5"/>
    </row>
    <row r="434" spans="17:24" x14ac:dyDescent="0.25">
      <c r="Q434" s="33"/>
      <c r="S434" s="57"/>
      <c r="W434" s="69"/>
      <c r="X434" s="5"/>
    </row>
    <row r="435" spans="17:24" x14ac:dyDescent="0.25">
      <c r="Q435" s="33"/>
      <c r="S435" s="57"/>
      <c r="W435" s="69"/>
      <c r="X435" s="5"/>
    </row>
    <row r="436" spans="17:24" x14ac:dyDescent="0.25">
      <c r="Q436" s="33"/>
      <c r="S436" s="57"/>
      <c r="W436" s="69"/>
      <c r="X436" s="5"/>
    </row>
    <row r="437" spans="17:24" x14ac:dyDescent="0.25">
      <c r="Q437" s="33"/>
      <c r="S437" s="57"/>
      <c r="W437" s="69"/>
      <c r="X437" s="5"/>
    </row>
    <row r="438" spans="17:24" x14ac:dyDescent="0.25">
      <c r="Q438" s="33"/>
      <c r="S438" s="57"/>
      <c r="W438" s="69"/>
      <c r="X438" s="5"/>
    </row>
    <row r="439" spans="17:24" x14ac:dyDescent="0.25">
      <c r="Q439" s="33"/>
      <c r="S439" s="57"/>
      <c r="W439" s="69"/>
      <c r="X439" s="5"/>
    </row>
    <row r="440" spans="17:24" x14ac:dyDescent="0.25">
      <c r="Q440" s="33"/>
      <c r="S440" s="57"/>
      <c r="W440" s="69"/>
      <c r="X440" s="5"/>
    </row>
    <row r="441" spans="17:24" x14ac:dyDescent="0.25">
      <c r="Q441" s="33"/>
      <c r="S441" s="57"/>
      <c r="W441" s="69"/>
      <c r="X441" s="5"/>
    </row>
    <row r="442" spans="17:24" x14ac:dyDescent="0.25">
      <c r="Q442" s="33"/>
      <c r="S442" s="57"/>
      <c r="W442" s="69"/>
      <c r="X442" s="5"/>
    </row>
    <row r="443" spans="17:24" x14ac:dyDescent="0.25">
      <c r="Q443" s="33"/>
      <c r="S443" s="57"/>
      <c r="W443" s="69"/>
      <c r="X443" s="5"/>
    </row>
    <row r="444" spans="17:24" x14ac:dyDescent="0.25">
      <c r="Q444" s="33"/>
      <c r="S444" s="57"/>
      <c r="W444" s="69"/>
      <c r="X444" s="5"/>
    </row>
    <row r="445" spans="17:24" x14ac:dyDescent="0.25">
      <c r="Q445" s="33"/>
      <c r="S445" s="57"/>
      <c r="W445" s="69"/>
      <c r="X445" s="5"/>
    </row>
    <row r="446" spans="17:24" x14ac:dyDescent="0.25">
      <c r="Q446" s="33"/>
      <c r="S446" s="57"/>
      <c r="W446" s="69"/>
      <c r="X446" s="5"/>
    </row>
    <row r="447" spans="17:24" x14ac:dyDescent="0.25">
      <c r="Q447" s="33"/>
      <c r="S447" s="57"/>
      <c r="W447" s="69"/>
      <c r="X447" s="5"/>
    </row>
    <row r="448" spans="17:24" x14ac:dyDescent="0.25">
      <c r="Q448" s="33"/>
      <c r="S448" s="57"/>
      <c r="W448" s="69"/>
      <c r="X448" s="5"/>
    </row>
    <row r="449" spans="17:24" x14ac:dyDescent="0.25">
      <c r="Q449" s="33"/>
      <c r="S449" s="57"/>
      <c r="W449" s="69"/>
      <c r="X449" s="5"/>
    </row>
    <row r="450" spans="17:24" x14ac:dyDescent="0.25">
      <c r="Q450" s="33"/>
      <c r="S450" s="57"/>
      <c r="W450" s="69"/>
      <c r="X450" s="5"/>
    </row>
    <row r="451" spans="17:24" x14ac:dyDescent="0.25">
      <c r="Q451" s="33"/>
      <c r="S451" s="57"/>
      <c r="W451" s="69"/>
      <c r="X451" s="5"/>
    </row>
    <row r="452" spans="17:24" x14ac:dyDescent="0.25">
      <c r="Q452" s="33"/>
      <c r="S452" s="57"/>
      <c r="W452" s="69"/>
      <c r="X452" s="5"/>
    </row>
    <row r="453" spans="17:24" x14ac:dyDescent="0.25">
      <c r="Q453" s="33"/>
      <c r="S453" s="57"/>
      <c r="W453" s="69"/>
      <c r="X453" s="5"/>
    </row>
    <row r="454" spans="17:24" x14ac:dyDescent="0.25">
      <c r="Q454" s="33"/>
      <c r="S454" s="57"/>
      <c r="W454" s="69"/>
      <c r="X454" s="5"/>
    </row>
    <row r="455" spans="17:24" x14ac:dyDescent="0.25">
      <c r="Q455" s="33"/>
      <c r="S455" s="57"/>
      <c r="W455" s="69"/>
      <c r="X455" s="5"/>
    </row>
    <row r="456" spans="17:24" x14ac:dyDescent="0.25">
      <c r="Q456" s="33"/>
      <c r="S456" s="57"/>
      <c r="W456" s="69"/>
      <c r="X456" s="5"/>
    </row>
    <row r="457" spans="17:24" x14ac:dyDescent="0.25">
      <c r="Q457" s="33"/>
      <c r="S457" s="57"/>
      <c r="W457" s="69"/>
      <c r="X457" s="5"/>
    </row>
    <row r="458" spans="17:24" x14ac:dyDescent="0.25">
      <c r="Q458" s="33"/>
      <c r="S458" s="57"/>
      <c r="W458" s="69"/>
      <c r="X458" s="5"/>
    </row>
    <row r="459" spans="17:24" x14ac:dyDescent="0.25">
      <c r="Q459" s="33"/>
      <c r="S459" s="57"/>
      <c r="W459" s="69"/>
      <c r="X459" s="5"/>
    </row>
    <row r="460" spans="17:24" x14ac:dyDescent="0.25">
      <c r="Q460" s="33"/>
      <c r="S460" s="57"/>
      <c r="W460" s="69"/>
      <c r="X460" s="5"/>
    </row>
    <row r="461" spans="17:24" x14ac:dyDescent="0.25">
      <c r="Q461" s="33"/>
      <c r="S461" s="57"/>
      <c r="W461" s="69"/>
      <c r="X461" s="5"/>
    </row>
    <row r="462" spans="17:24" x14ac:dyDescent="0.25">
      <c r="Q462" s="33"/>
      <c r="S462" s="57"/>
      <c r="W462" s="69"/>
      <c r="X462" s="5"/>
    </row>
    <row r="463" spans="17:24" x14ac:dyDescent="0.25">
      <c r="Q463" s="33"/>
      <c r="S463" s="57"/>
      <c r="W463" s="69"/>
      <c r="X463" s="5"/>
    </row>
    <row r="464" spans="17:24" x14ac:dyDescent="0.25">
      <c r="Q464" s="33"/>
      <c r="S464" s="57"/>
      <c r="W464" s="69"/>
      <c r="X464" s="5"/>
    </row>
    <row r="465" spans="17:24" x14ac:dyDescent="0.25">
      <c r="Q465" s="33"/>
      <c r="S465" s="57"/>
      <c r="W465" s="69"/>
      <c r="X465" s="5"/>
    </row>
    <row r="466" spans="17:24" x14ac:dyDescent="0.25">
      <c r="Q466" s="33"/>
      <c r="S466" s="57"/>
      <c r="W466" s="69"/>
      <c r="X466" s="5"/>
    </row>
    <row r="467" spans="17:24" x14ac:dyDescent="0.25">
      <c r="Q467" s="33"/>
      <c r="S467" s="57"/>
      <c r="W467" s="69"/>
      <c r="X467" s="5"/>
    </row>
    <row r="468" spans="17:24" x14ac:dyDescent="0.25">
      <c r="Q468" s="33"/>
      <c r="S468" s="57"/>
      <c r="W468" s="69"/>
      <c r="X468" s="5"/>
    </row>
    <row r="469" spans="17:24" x14ac:dyDescent="0.25">
      <c r="Q469" s="33"/>
      <c r="S469" s="57"/>
      <c r="W469" s="69"/>
      <c r="X469" s="5"/>
    </row>
    <row r="470" spans="17:24" x14ac:dyDescent="0.25">
      <c r="Q470" s="33"/>
      <c r="S470" s="57"/>
      <c r="W470" s="69"/>
      <c r="X470" s="5"/>
    </row>
    <row r="471" spans="17:24" x14ac:dyDescent="0.25">
      <c r="Q471" s="33"/>
      <c r="S471" s="57"/>
      <c r="W471" s="69"/>
      <c r="X471" s="5"/>
    </row>
    <row r="472" spans="17:24" x14ac:dyDescent="0.25">
      <c r="Q472" s="33"/>
      <c r="S472" s="57"/>
      <c r="W472" s="69"/>
      <c r="X472" s="5"/>
    </row>
    <row r="473" spans="17:24" x14ac:dyDescent="0.25">
      <c r="Q473" s="33"/>
      <c r="S473" s="57"/>
      <c r="W473" s="69"/>
      <c r="X473" s="5"/>
    </row>
    <row r="474" spans="17:24" x14ac:dyDescent="0.25">
      <c r="Q474" s="33"/>
      <c r="S474" s="57"/>
      <c r="W474" s="69"/>
      <c r="X474" s="5"/>
    </row>
    <row r="475" spans="17:24" x14ac:dyDescent="0.25">
      <c r="Q475" s="33"/>
      <c r="S475" s="57"/>
      <c r="W475" s="69"/>
      <c r="X475" s="5"/>
    </row>
    <row r="476" spans="17:24" x14ac:dyDescent="0.25">
      <c r="Q476" s="33"/>
      <c r="S476" s="57"/>
      <c r="W476" s="69"/>
      <c r="X476" s="5"/>
    </row>
    <row r="477" spans="17:24" x14ac:dyDescent="0.25">
      <c r="Q477" s="33"/>
      <c r="S477" s="57"/>
      <c r="W477" s="69"/>
      <c r="X477" s="5"/>
    </row>
    <row r="478" spans="17:24" x14ac:dyDescent="0.25">
      <c r="Q478" s="33"/>
      <c r="S478" s="57"/>
      <c r="W478" s="69"/>
      <c r="X478" s="5"/>
    </row>
    <row r="479" spans="17:24" x14ac:dyDescent="0.25">
      <c r="Q479" s="33"/>
      <c r="S479" s="57"/>
      <c r="W479" s="69"/>
      <c r="X479" s="5"/>
    </row>
    <row r="480" spans="17:24" x14ac:dyDescent="0.25">
      <c r="Q480" s="33"/>
      <c r="S480" s="57"/>
      <c r="W480" s="69"/>
      <c r="X480" s="5"/>
    </row>
    <row r="481" spans="17:24" x14ac:dyDescent="0.25">
      <c r="Q481" s="33"/>
      <c r="S481" s="57"/>
      <c r="W481" s="69"/>
      <c r="X481" s="5"/>
    </row>
    <row r="482" spans="17:24" x14ac:dyDescent="0.25">
      <c r="Q482" s="33"/>
      <c r="S482" s="57"/>
      <c r="W482" s="69"/>
      <c r="X482" s="5"/>
    </row>
    <row r="483" spans="17:24" x14ac:dyDescent="0.25">
      <c r="Q483" s="33"/>
      <c r="S483" s="57"/>
      <c r="W483" s="69"/>
      <c r="X483" s="5"/>
    </row>
    <row r="484" spans="17:24" x14ac:dyDescent="0.25">
      <c r="Q484" s="33"/>
      <c r="S484" s="57"/>
      <c r="W484" s="69"/>
      <c r="X484" s="5"/>
    </row>
    <row r="485" spans="17:24" x14ac:dyDescent="0.25">
      <c r="Q485" s="33"/>
      <c r="S485" s="57"/>
      <c r="W485" s="69"/>
      <c r="X485" s="5"/>
    </row>
    <row r="486" spans="17:24" x14ac:dyDescent="0.25">
      <c r="Q486" s="33"/>
      <c r="S486" s="57"/>
      <c r="W486" s="69"/>
      <c r="X486" s="5"/>
    </row>
    <row r="487" spans="17:24" x14ac:dyDescent="0.25">
      <c r="Q487" s="33"/>
      <c r="S487" s="57"/>
      <c r="W487" s="69"/>
      <c r="X487" s="5"/>
    </row>
    <row r="488" spans="17:24" x14ac:dyDescent="0.25">
      <c r="Q488" s="33"/>
      <c r="S488" s="57"/>
      <c r="W488" s="69"/>
      <c r="X488" s="5"/>
    </row>
    <row r="489" spans="17:24" x14ac:dyDescent="0.25">
      <c r="Q489" s="33"/>
      <c r="S489" s="57"/>
      <c r="W489" s="69"/>
      <c r="X489" s="5"/>
    </row>
    <row r="490" spans="17:24" x14ac:dyDescent="0.25">
      <c r="Q490" s="33"/>
      <c r="S490" s="57"/>
      <c r="W490" s="69"/>
      <c r="X490" s="5"/>
    </row>
    <row r="491" spans="17:24" x14ac:dyDescent="0.25">
      <c r="Q491" s="33"/>
      <c r="S491" s="57"/>
      <c r="W491" s="69"/>
      <c r="X491" s="5"/>
    </row>
    <row r="492" spans="17:24" x14ac:dyDescent="0.25">
      <c r="Q492" s="33"/>
      <c r="S492" s="57"/>
      <c r="W492" s="69"/>
      <c r="X492" s="5"/>
    </row>
    <row r="493" spans="17:24" x14ac:dyDescent="0.25">
      <c r="Q493" s="33"/>
      <c r="S493" s="57"/>
      <c r="W493" s="69"/>
      <c r="X493" s="5"/>
    </row>
    <row r="494" spans="17:24" x14ac:dyDescent="0.25">
      <c r="Q494" s="33"/>
      <c r="S494" s="57"/>
      <c r="W494" s="69"/>
      <c r="X494" s="5"/>
    </row>
    <row r="495" spans="17:24" x14ac:dyDescent="0.25">
      <c r="Q495" s="33"/>
      <c r="S495" s="57"/>
      <c r="W495" s="69"/>
      <c r="X495" s="5"/>
    </row>
    <row r="496" spans="17:24" x14ac:dyDescent="0.25">
      <c r="Q496" s="33"/>
      <c r="S496" s="57"/>
      <c r="W496" s="69"/>
      <c r="X496" s="5"/>
    </row>
    <row r="497" spans="17:24" x14ac:dyDescent="0.25">
      <c r="Q497" s="33"/>
      <c r="S497" s="57"/>
      <c r="W497" s="69"/>
      <c r="X497" s="5"/>
    </row>
    <row r="498" spans="17:24" x14ac:dyDescent="0.25">
      <c r="Q498" s="33"/>
      <c r="S498" s="57"/>
      <c r="W498" s="69"/>
      <c r="X498" s="5"/>
    </row>
    <row r="499" spans="17:24" x14ac:dyDescent="0.25">
      <c r="Q499" s="33"/>
      <c r="S499" s="57"/>
      <c r="W499" s="69"/>
      <c r="X499" s="5"/>
    </row>
    <row r="500" spans="17:24" x14ac:dyDescent="0.25">
      <c r="Q500" s="33"/>
      <c r="S500" s="57"/>
      <c r="W500" s="69"/>
      <c r="X500" s="5"/>
    </row>
    <row r="501" spans="17:24" x14ac:dyDescent="0.25">
      <c r="Q501" s="33"/>
      <c r="S501" s="57"/>
      <c r="W501" s="69"/>
      <c r="X501" s="5"/>
    </row>
    <row r="502" spans="17:24" x14ac:dyDescent="0.25">
      <c r="Q502" s="33"/>
      <c r="S502" s="57"/>
      <c r="W502" s="69"/>
      <c r="X502" s="5"/>
    </row>
    <row r="503" spans="17:24" x14ac:dyDescent="0.25">
      <c r="Q503" s="33"/>
      <c r="S503" s="57"/>
      <c r="W503" s="69"/>
      <c r="X503" s="5"/>
    </row>
    <row r="504" spans="17:24" x14ac:dyDescent="0.25">
      <c r="Q504" s="33"/>
      <c r="S504" s="57"/>
      <c r="W504" s="69"/>
      <c r="X504" s="5"/>
    </row>
    <row r="505" spans="17:24" x14ac:dyDescent="0.25">
      <c r="Q505" s="33"/>
      <c r="S505" s="57"/>
      <c r="W505" s="69"/>
      <c r="X505" s="5"/>
    </row>
    <row r="506" spans="17:24" x14ac:dyDescent="0.25">
      <c r="Q506" s="33"/>
      <c r="S506" s="57"/>
      <c r="W506" s="69"/>
      <c r="X506" s="5"/>
    </row>
    <row r="507" spans="17:24" x14ac:dyDescent="0.25">
      <c r="Q507" s="33"/>
      <c r="S507" s="57"/>
      <c r="W507" s="69"/>
      <c r="X507" s="5"/>
    </row>
    <row r="508" spans="17:24" x14ac:dyDescent="0.25">
      <c r="Q508" s="33"/>
      <c r="S508" s="57"/>
      <c r="W508" s="69"/>
      <c r="X508" s="5"/>
    </row>
    <row r="509" spans="17:24" x14ac:dyDescent="0.25">
      <c r="Q509" s="33"/>
      <c r="S509" s="57"/>
      <c r="W509" s="69"/>
      <c r="X509" s="5"/>
    </row>
    <row r="510" spans="17:24" x14ac:dyDescent="0.25">
      <c r="Q510" s="33"/>
      <c r="S510" s="57"/>
      <c r="W510" s="69"/>
      <c r="X510" s="5"/>
    </row>
    <row r="511" spans="17:24" x14ac:dyDescent="0.25">
      <c r="Q511" s="33"/>
      <c r="S511" s="57"/>
      <c r="W511" s="69"/>
      <c r="X511" s="5"/>
    </row>
    <row r="512" spans="17:24" x14ac:dyDescent="0.25">
      <c r="Q512" s="33"/>
      <c r="S512" s="57"/>
      <c r="W512" s="69"/>
      <c r="X512" s="5"/>
    </row>
    <row r="513" spans="17:24" x14ac:dyDescent="0.25">
      <c r="Q513" s="33"/>
      <c r="S513" s="57"/>
      <c r="W513" s="69"/>
      <c r="X513" s="5"/>
    </row>
    <row r="514" spans="17:24" x14ac:dyDescent="0.25">
      <c r="Q514" s="33"/>
      <c r="S514" s="57"/>
      <c r="W514" s="69"/>
      <c r="X514" s="5"/>
    </row>
    <row r="515" spans="17:24" x14ac:dyDescent="0.25">
      <c r="Q515" s="33"/>
      <c r="S515" s="57"/>
      <c r="W515" s="69"/>
      <c r="X515" s="5"/>
    </row>
    <row r="516" spans="17:24" x14ac:dyDescent="0.25">
      <c r="Q516" s="33"/>
      <c r="S516" s="57"/>
      <c r="W516" s="69"/>
      <c r="X516" s="5"/>
    </row>
    <row r="517" spans="17:24" x14ac:dyDescent="0.25">
      <c r="Q517" s="33"/>
      <c r="S517" s="57"/>
      <c r="W517" s="69"/>
      <c r="X517" s="5"/>
    </row>
    <row r="518" spans="17:24" x14ac:dyDescent="0.25">
      <c r="Q518" s="33"/>
      <c r="S518" s="57"/>
      <c r="W518" s="69"/>
      <c r="X518" s="5"/>
    </row>
    <row r="519" spans="17:24" x14ac:dyDescent="0.25">
      <c r="Q519" s="33"/>
      <c r="S519" s="57"/>
      <c r="W519" s="69"/>
      <c r="X519" s="5"/>
    </row>
    <row r="520" spans="17:24" x14ac:dyDescent="0.25">
      <c r="Q520" s="33"/>
      <c r="S520" s="57"/>
      <c r="W520" s="69"/>
      <c r="X520" s="5"/>
    </row>
    <row r="521" spans="17:24" x14ac:dyDescent="0.25">
      <c r="Q521" s="33"/>
      <c r="S521" s="57"/>
      <c r="W521" s="69"/>
      <c r="X521" s="5"/>
    </row>
    <row r="522" spans="17:24" x14ac:dyDescent="0.25">
      <c r="Q522" s="33"/>
      <c r="S522" s="57"/>
      <c r="W522" s="69"/>
      <c r="X522" s="5"/>
    </row>
    <row r="523" spans="17:24" x14ac:dyDescent="0.25">
      <c r="Q523" s="33"/>
      <c r="S523" s="57"/>
      <c r="W523" s="69"/>
      <c r="X523" s="5"/>
    </row>
    <row r="524" spans="17:24" x14ac:dyDescent="0.25">
      <c r="Q524" s="33"/>
      <c r="S524" s="57"/>
      <c r="W524" s="69"/>
      <c r="X524" s="5"/>
    </row>
    <row r="525" spans="17:24" x14ac:dyDescent="0.25">
      <c r="Q525" s="33"/>
      <c r="S525" s="57"/>
      <c r="W525" s="69"/>
      <c r="X525" s="5"/>
    </row>
    <row r="526" spans="17:24" x14ac:dyDescent="0.25">
      <c r="Q526" s="33"/>
      <c r="S526" s="57"/>
      <c r="W526" s="69"/>
      <c r="X526" s="5"/>
    </row>
    <row r="527" spans="17:24" x14ac:dyDescent="0.25">
      <c r="Q527" s="33"/>
      <c r="S527" s="57"/>
      <c r="W527" s="69"/>
      <c r="X527" s="5"/>
    </row>
    <row r="528" spans="17:24" x14ac:dyDescent="0.25">
      <c r="Q528" s="33"/>
      <c r="S528" s="57"/>
      <c r="W528" s="69"/>
      <c r="X528" s="5"/>
    </row>
    <row r="529" spans="17:24" x14ac:dyDescent="0.25">
      <c r="Q529" s="33"/>
      <c r="S529" s="57"/>
      <c r="W529" s="69"/>
      <c r="X529" s="5"/>
    </row>
    <row r="530" spans="17:24" x14ac:dyDescent="0.25">
      <c r="Q530" s="33"/>
      <c r="S530" s="57"/>
      <c r="W530" s="69"/>
      <c r="X530" s="5"/>
    </row>
    <row r="531" spans="17:24" x14ac:dyDescent="0.25">
      <c r="Q531" s="33"/>
      <c r="S531" s="57"/>
      <c r="W531" s="69"/>
      <c r="X531" s="5"/>
    </row>
    <row r="532" spans="17:24" x14ac:dyDescent="0.25">
      <c r="Q532" s="33"/>
      <c r="S532" s="57"/>
      <c r="W532" s="69"/>
      <c r="X532" s="5"/>
    </row>
    <row r="533" spans="17:24" x14ac:dyDescent="0.25">
      <c r="Q533" s="33"/>
      <c r="S533" s="57"/>
      <c r="W533" s="69"/>
      <c r="X533" s="5"/>
    </row>
    <row r="534" spans="17:24" x14ac:dyDescent="0.25">
      <c r="Q534" s="33"/>
      <c r="S534" s="57"/>
      <c r="W534" s="69"/>
      <c r="X534" s="5"/>
    </row>
    <row r="535" spans="17:24" x14ac:dyDescent="0.25">
      <c r="Q535" s="33"/>
      <c r="S535" s="57"/>
      <c r="W535" s="69"/>
      <c r="X535" s="5"/>
    </row>
    <row r="536" spans="17:24" x14ac:dyDescent="0.25">
      <c r="Q536" s="33"/>
      <c r="S536" s="57"/>
      <c r="W536" s="69"/>
      <c r="X536" s="5"/>
    </row>
    <row r="537" spans="17:24" x14ac:dyDescent="0.25">
      <c r="Q537" s="33"/>
      <c r="S537" s="57"/>
      <c r="W537" s="69"/>
      <c r="X537" s="5"/>
    </row>
    <row r="538" spans="17:24" x14ac:dyDescent="0.25">
      <c r="Q538" s="33"/>
      <c r="S538" s="57"/>
      <c r="W538" s="69"/>
      <c r="X538" s="5"/>
    </row>
    <row r="539" spans="17:24" x14ac:dyDescent="0.25">
      <c r="Q539" s="33"/>
      <c r="S539" s="57"/>
      <c r="W539" s="69"/>
      <c r="X539" s="5"/>
    </row>
    <row r="540" spans="17:24" x14ac:dyDescent="0.25">
      <c r="Q540" s="33"/>
      <c r="S540" s="57"/>
      <c r="W540" s="69"/>
      <c r="X540" s="5"/>
    </row>
    <row r="541" spans="17:24" x14ac:dyDescent="0.25">
      <c r="Q541" s="33"/>
      <c r="S541" s="57"/>
      <c r="W541" s="69"/>
      <c r="X541" s="5"/>
    </row>
    <row r="542" spans="17:24" x14ac:dyDescent="0.25">
      <c r="Q542" s="33"/>
      <c r="S542" s="57"/>
      <c r="W542" s="69"/>
      <c r="X542" s="5"/>
    </row>
    <row r="543" spans="17:24" x14ac:dyDescent="0.25">
      <c r="Q543" s="33"/>
      <c r="S543" s="57"/>
      <c r="W543" s="69"/>
      <c r="X543" s="5"/>
    </row>
    <row r="544" spans="17:24" x14ac:dyDescent="0.25">
      <c r="Q544" s="33"/>
      <c r="S544" s="57"/>
      <c r="W544" s="69"/>
      <c r="X544" s="5"/>
    </row>
    <row r="545" spans="17:24" x14ac:dyDescent="0.25">
      <c r="Q545" s="33"/>
      <c r="S545" s="57"/>
      <c r="W545" s="69"/>
      <c r="X545" s="5"/>
    </row>
    <row r="546" spans="17:24" x14ac:dyDescent="0.25">
      <c r="Q546" s="33"/>
      <c r="S546" s="57"/>
      <c r="W546" s="69"/>
      <c r="X546" s="5"/>
    </row>
    <row r="547" spans="17:24" x14ac:dyDescent="0.25">
      <c r="Q547" s="33"/>
      <c r="S547" s="57"/>
      <c r="W547" s="69"/>
      <c r="X547" s="5"/>
    </row>
    <row r="548" spans="17:24" x14ac:dyDescent="0.25">
      <c r="Q548" s="33"/>
      <c r="S548" s="57"/>
      <c r="W548" s="69"/>
      <c r="X548" s="5"/>
    </row>
    <row r="549" spans="17:24" x14ac:dyDescent="0.25">
      <c r="Q549" s="33"/>
      <c r="S549" s="57"/>
      <c r="W549" s="69"/>
      <c r="X549" s="5"/>
    </row>
    <row r="550" spans="17:24" x14ac:dyDescent="0.25">
      <c r="Q550" s="33"/>
      <c r="S550" s="57"/>
      <c r="W550" s="69"/>
      <c r="X550" s="5"/>
    </row>
    <row r="551" spans="17:24" x14ac:dyDescent="0.25">
      <c r="Q551" s="33"/>
      <c r="S551" s="57"/>
      <c r="W551" s="69"/>
      <c r="X551" s="5"/>
    </row>
    <row r="552" spans="17:24" x14ac:dyDescent="0.25">
      <c r="Q552" s="33"/>
      <c r="S552" s="57"/>
      <c r="W552" s="69"/>
      <c r="X552" s="5"/>
    </row>
    <row r="553" spans="17:24" x14ac:dyDescent="0.25">
      <c r="Q553" s="33"/>
      <c r="S553" s="57"/>
      <c r="W553" s="69"/>
      <c r="X553" s="5"/>
    </row>
    <row r="554" spans="17:24" x14ac:dyDescent="0.25">
      <c r="Q554" s="33"/>
      <c r="S554" s="57"/>
      <c r="W554" s="69"/>
      <c r="X554" s="5"/>
    </row>
    <row r="555" spans="17:24" x14ac:dyDescent="0.25">
      <c r="Q555" s="33"/>
      <c r="S555" s="57"/>
      <c r="W555" s="69"/>
      <c r="X555" s="5"/>
    </row>
    <row r="556" spans="17:24" x14ac:dyDescent="0.25">
      <c r="Q556" s="33"/>
      <c r="S556" s="57"/>
      <c r="W556" s="69"/>
      <c r="X556" s="5"/>
    </row>
    <row r="557" spans="17:24" x14ac:dyDescent="0.25">
      <c r="Q557" s="33"/>
      <c r="S557" s="57"/>
      <c r="W557" s="69"/>
      <c r="X557" s="5"/>
    </row>
    <row r="558" spans="17:24" x14ac:dyDescent="0.25">
      <c r="Q558" s="33"/>
      <c r="S558" s="57"/>
      <c r="W558" s="69"/>
      <c r="X558" s="5"/>
    </row>
    <row r="559" spans="17:24" x14ac:dyDescent="0.25">
      <c r="Q559" s="33"/>
      <c r="S559" s="57"/>
      <c r="W559" s="69"/>
      <c r="X559" s="5"/>
    </row>
    <row r="560" spans="17:24" x14ac:dyDescent="0.25">
      <c r="Q560" s="33"/>
      <c r="S560" s="57"/>
      <c r="W560" s="69"/>
      <c r="X560" s="5"/>
    </row>
    <row r="561" spans="17:24" x14ac:dyDescent="0.25">
      <c r="Q561" s="33"/>
      <c r="S561" s="57"/>
      <c r="W561" s="69"/>
      <c r="X561" s="5"/>
    </row>
    <row r="562" spans="17:24" x14ac:dyDescent="0.25">
      <c r="Q562" s="33"/>
      <c r="S562" s="57"/>
      <c r="W562" s="69"/>
      <c r="X562" s="5"/>
    </row>
    <row r="563" spans="17:24" x14ac:dyDescent="0.25">
      <c r="Q563" s="33"/>
      <c r="S563" s="57"/>
      <c r="W563" s="69"/>
      <c r="X563" s="5"/>
    </row>
    <row r="564" spans="17:24" x14ac:dyDescent="0.25">
      <c r="Q564" s="33"/>
      <c r="S564" s="57"/>
      <c r="W564" s="69"/>
      <c r="X564" s="5"/>
    </row>
    <row r="565" spans="17:24" x14ac:dyDescent="0.25">
      <c r="Q565" s="33"/>
      <c r="S565" s="57"/>
      <c r="W565" s="69"/>
      <c r="X565" s="5"/>
    </row>
    <row r="566" spans="17:24" x14ac:dyDescent="0.25">
      <c r="Q566" s="33"/>
      <c r="S566" s="57"/>
      <c r="W566" s="69"/>
      <c r="X566" s="5"/>
    </row>
    <row r="567" spans="17:24" x14ac:dyDescent="0.25">
      <c r="Q567" s="33"/>
      <c r="S567" s="57"/>
      <c r="W567" s="69"/>
      <c r="X567" s="5"/>
    </row>
    <row r="568" spans="17:24" x14ac:dyDescent="0.25">
      <c r="Q568" s="33"/>
      <c r="S568" s="57"/>
      <c r="W568" s="69"/>
      <c r="X568" s="5"/>
    </row>
    <row r="569" spans="17:24" x14ac:dyDescent="0.25">
      <c r="Q569" s="33"/>
      <c r="S569" s="57"/>
      <c r="W569" s="69"/>
      <c r="X569" s="5"/>
    </row>
    <row r="570" spans="17:24" x14ac:dyDescent="0.25">
      <c r="Q570" s="33"/>
      <c r="S570" s="57"/>
      <c r="W570" s="69"/>
      <c r="X570" s="5"/>
    </row>
    <row r="571" spans="17:24" x14ac:dyDescent="0.25">
      <c r="Q571" s="33"/>
      <c r="S571" s="57"/>
      <c r="W571" s="69"/>
      <c r="X571" s="5"/>
    </row>
    <row r="572" spans="17:24" x14ac:dyDescent="0.25">
      <c r="Q572" s="33"/>
      <c r="S572" s="57"/>
      <c r="W572" s="69"/>
      <c r="X572" s="5"/>
    </row>
    <row r="573" spans="17:24" x14ac:dyDescent="0.25">
      <c r="Q573" s="33"/>
      <c r="S573" s="57"/>
      <c r="W573" s="69"/>
      <c r="X573" s="5"/>
    </row>
    <row r="574" spans="17:24" x14ac:dyDescent="0.25">
      <c r="Q574" s="33"/>
      <c r="S574" s="57"/>
      <c r="W574" s="69"/>
      <c r="X574" s="5"/>
    </row>
    <row r="575" spans="17:24" x14ac:dyDescent="0.25">
      <c r="Q575" s="33"/>
      <c r="S575" s="57"/>
      <c r="W575" s="69"/>
      <c r="X575" s="5"/>
    </row>
    <row r="576" spans="17:24" x14ac:dyDescent="0.25">
      <c r="Q576" s="33"/>
      <c r="S576" s="57"/>
      <c r="W576" s="69"/>
      <c r="X576" s="5"/>
    </row>
    <row r="577" spans="17:24" x14ac:dyDescent="0.25">
      <c r="Q577" s="33"/>
      <c r="S577" s="57"/>
      <c r="W577" s="69"/>
      <c r="X577" s="5"/>
    </row>
    <row r="578" spans="17:24" x14ac:dyDescent="0.25">
      <c r="Q578" s="33"/>
      <c r="S578" s="57"/>
      <c r="W578" s="69"/>
      <c r="X578" s="5"/>
    </row>
    <row r="579" spans="17:24" x14ac:dyDescent="0.25">
      <c r="Q579" s="33"/>
      <c r="S579" s="57"/>
      <c r="W579" s="69"/>
      <c r="X579" s="5"/>
    </row>
    <row r="580" spans="17:24" x14ac:dyDescent="0.25">
      <c r="Q580" s="33"/>
      <c r="S580" s="57"/>
      <c r="W580" s="69"/>
      <c r="X580" s="5"/>
    </row>
    <row r="581" spans="17:24" x14ac:dyDescent="0.25">
      <c r="Q581" s="33"/>
      <c r="S581" s="57"/>
      <c r="W581" s="69"/>
      <c r="X581" s="5"/>
    </row>
    <row r="582" spans="17:24" x14ac:dyDescent="0.25">
      <c r="Q582" s="33"/>
      <c r="S582" s="57"/>
      <c r="W582" s="69"/>
      <c r="X582" s="5"/>
    </row>
    <row r="583" spans="17:24" x14ac:dyDescent="0.25">
      <c r="Q583" s="33"/>
      <c r="S583" s="57"/>
      <c r="W583" s="69"/>
      <c r="X583" s="5"/>
    </row>
    <row r="584" spans="17:24" x14ac:dyDescent="0.25">
      <c r="Q584" s="33"/>
      <c r="S584" s="57"/>
      <c r="W584" s="69"/>
      <c r="X584" s="5"/>
    </row>
    <row r="585" spans="17:24" x14ac:dyDescent="0.25">
      <c r="Q585" s="33"/>
      <c r="S585" s="57"/>
      <c r="W585" s="69"/>
      <c r="X585" s="5"/>
    </row>
    <row r="586" spans="17:24" x14ac:dyDescent="0.25">
      <c r="Q586" s="33"/>
      <c r="S586" s="57"/>
      <c r="W586" s="69"/>
      <c r="X586" s="5"/>
    </row>
    <row r="587" spans="17:24" x14ac:dyDescent="0.25">
      <c r="Q587" s="33"/>
      <c r="S587" s="57"/>
      <c r="W587" s="69"/>
      <c r="X587" s="5"/>
    </row>
    <row r="588" spans="17:24" x14ac:dyDescent="0.25">
      <c r="Q588" s="33"/>
      <c r="S588" s="57"/>
      <c r="W588" s="69"/>
      <c r="X588" s="5"/>
    </row>
    <row r="589" spans="17:24" x14ac:dyDescent="0.25">
      <c r="Q589" s="33"/>
      <c r="S589" s="57"/>
      <c r="W589" s="69"/>
      <c r="X589" s="5"/>
    </row>
    <row r="590" spans="17:24" x14ac:dyDescent="0.25">
      <c r="Q590" s="33"/>
      <c r="S590" s="57"/>
      <c r="W590" s="69"/>
      <c r="X590" s="5"/>
    </row>
    <row r="591" spans="17:24" x14ac:dyDescent="0.25">
      <c r="Q591" s="33"/>
      <c r="S591" s="57"/>
      <c r="W591" s="69"/>
      <c r="X591" s="5"/>
    </row>
    <row r="592" spans="17:24" x14ac:dyDescent="0.25">
      <c r="Q592" s="33"/>
      <c r="S592" s="57"/>
      <c r="W592" s="69"/>
      <c r="X592" s="5"/>
    </row>
    <row r="593" spans="17:24" x14ac:dyDescent="0.25">
      <c r="Q593" s="33"/>
      <c r="S593" s="57"/>
      <c r="W593" s="69"/>
      <c r="X593" s="5"/>
    </row>
    <row r="594" spans="17:24" x14ac:dyDescent="0.25">
      <c r="Q594" s="33"/>
      <c r="S594" s="57"/>
      <c r="W594" s="69"/>
      <c r="X594" s="5"/>
    </row>
    <row r="595" spans="17:24" x14ac:dyDescent="0.25">
      <c r="Q595" s="33"/>
      <c r="S595" s="57"/>
      <c r="W595" s="69"/>
      <c r="X595" s="5"/>
    </row>
    <row r="596" spans="17:24" x14ac:dyDescent="0.25">
      <c r="Q596" s="33"/>
      <c r="S596" s="57"/>
      <c r="W596" s="69"/>
      <c r="X596" s="5"/>
    </row>
    <row r="597" spans="17:24" x14ac:dyDescent="0.25">
      <c r="Q597" s="33"/>
      <c r="S597" s="57"/>
      <c r="W597" s="69"/>
      <c r="X597" s="5"/>
    </row>
    <row r="598" spans="17:24" x14ac:dyDescent="0.25">
      <c r="Q598" s="33"/>
      <c r="S598" s="57"/>
      <c r="W598" s="69"/>
      <c r="X598" s="5"/>
    </row>
    <row r="599" spans="17:24" x14ac:dyDescent="0.25">
      <c r="Q599" s="33"/>
      <c r="S599" s="57"/>
      <c r="W599" s="69"/>
      <c r="X599" s="5"/>
    </row>
    <row r="600" spans="17:24" x14ac:dyDescent="0.25">
      <c r="Q600" s="33"/>
      <c r="S600" s="57"/>
      <c r="W600" s="69"/>
      <c r="X600" s="5"/>
    </row>
    <row r="601" spans="17:24" x14ac:dyDescent="0.25">
      <c r="Q601" s="33"/>
      <c r="S601" s="57"/>
      <c r="W601" s="69"/>
      <c r="X601" s="5"/>
    </row>
    <row r="602" spans="17:24" x14ac:dyDescent="0.25">
      <c r="Q602" s="33"/>
      <c r="S602" s="57"/>
      <c r="W602" s="69"/>
      <c r="X602" s="5"/>
    </row>
    <row r="603" spans="17:24" x14ac:dyDescent="0.25">
      <c r="Q603" s="33"/>
      <c r="S603" s="57"/>
      <c r="W603" s="69"/>
      <c r="X603" s="5"/>
    </row>
    <row r="604" spans="17:24" x14ac:dyDescent="0.25">
      <c r="Q604" s="33"/>
      <c r="S604" s="57"/>
      <c r="W604" s="69"/>
      <c r="X604" s="5"/>
    </row>
    <row r="605" spans="17:24" x14ac:dyDescent="0.25">
      <c r="Q605" s="33"/>
      <c r="S605" s="57"/>
      <c r="W605" s="69"/>
      <c r="X605" s="5"/>
    </row>
    <row r="606" spans="17:24" x14ac:dyDescent="0.25">
      <c r="Q606" s="33"/>
      <c r="S606" s="57"/>
      <c r="W606" s="69"/>
      <c r="X606" s="5"/>
    </row>
    <row r="607" spans="17:24" x14ac:dyDescent="0.25">
      <c r="Q607" s="33"/>
      <c r="S607" s="57"/>
      <c r="W607" s="69"/>
      <c r="X607" s="5"/>
    </row>
    <row r="608" spans="17:24" x14ac:dyDescent="0.25">
      <c r="Q608" s="33"/>
      <c r="S608" s="57"/>
      <c r="W608" s="69"/>
      <c r="X608" s="5"/>
    </row>
    <row r="609" spans="17:24" x14ac:dyDescent="0.25">
      <c r="Q609" s="33"/>
      <c r="S609" s="57"/>
      <c r="W609" s="69"/>
      <c r="X609" s="5"/>
    </row>
    <row r="610" spans="17:24" x14ac:dyDescent="0.25">
      <c r="Q610" s="33"/>
      <c r="S610" s="57"/>
      <c r="W610" s="69"/>
      <c r="X610" s="5"/>
    </row>
    <row r="611" spans="17:24" x14ac:dyDescent="0.25">
      <c r="Q611" s="33"/>
      <c r="S611" s="57"/>
      <c r="W611" s="69"/>
      <c r="X611" s="5"/>
    </row>
    <row r="612" spans="17:24" x14ac:dyDescent="0.25">
      <c r="Q612" s="33"/>
      <c r="S612" s="57"/>
      <c r="W612" s="69"/>
      <c r="X612" s="5"/>
    </row>
    <row r="613" spans="17:24" x14ac:dyDescent="0.25">
      <c r="Q613" s="33"/>
      <c r="S613" s="57"/>
      <c r="W613" s="69"/>
      <c r="X613" s="5"/>
    </row>
    <row r="614" spans="17:24" x14ac:dyDescent="0.25">
      <c r="Q614" s="33"/>
      <c r="S614" s="57"/>
      <c r="W614" s="69"/>
      <c r="X614" s="5"/>
    </row>
    <row r="615" spans="17:24" x14ac:dyDescent="0.25">
      <c r="Q615" s="33"/>
      <c r="S615" s="57"/>
      <c r="W615" s="69"/>
      <c r="X615" s="5"/>
    </row>
    <row r="616" spans="17:24" x14ac:dyDescent="0.25">
      <c r="Q616" s="33"/>
      <c r="S616" s="57"/>
      <c r="W616" s="69"/>
      <c r="X616" s="5"/>
    </row>
    <row r="617" spans="17:24" x14ac:dyDescent="0.25">
      <c r="Q617" s="33"/>
      <c r="S617" s="57"/>
      <c r="W617" s="69"/>
      <c r="X617" s="5"/>
    </row>
    <row r="618" spans="17:24" x14ac:dyDescent="0.25">
      <c r="Q618" s="33"/>
      <c r="S618" s="57"/>
      <c r="W618" s="69"/>
      <c r="X618" s="5"/>
    </row>
    <row r="619" spans="17:24" x14ac:dyDescent="0.25">
      <c r="Q619" s="33"/>
      <c r="S619" s="57"/>
      <c r="W619" s="69"/>
      <c r="X619" s="5"/>
    </row>
    <row r="620" spans="17:24" x14ac:dyDescent="0.25">
      <c r="Q620" s="33"/>
      <c r="S620" s="57"/>
      <c r="W620" s="69"/>
      <c r="X620" s="5"/>
    </row>
    <row r="621" spans="17:24" x14ac:dyDescent="0.25">
      <c r="Q621" s="33"/>
      <c r="S621" s="57"/>
      <c r="W621" s="69"/>
      <c r="X621" s="5"/>
    </row>
    <row r="622" spans="17:24" x14ac:dyDescent="0.25">
      <c r="Q622" s="33"/>
      <c r="S622" s="57"/>
      <c r="W622" s="69"/>
      <c r="X622" s="5"/>
    </row>
    <row r="623" spans="17:24" x14ac:dyDescent="0.25">
      <c r="Q623" s="33"/>
      <c r="S623" s="57"/>
      <c r="W623" s="69"/>
      <c r="X623" s="5"/>
    </row>
    <row r="624" spans="17:24" x14ac:dyDescent="0.25">
      <c r="Q624" s="33"/>
      <c r="S624" s="57"/>
      <c r="W624" s="69"/>
      <c r="X624" s="5"/>
    </row>
    <row r="625" spans="17:24" x14ac:dyDescent="0.25">
      <c r="Q625" s="33"/>
      <c r="S625" s="57"/>
      <c r="W625" s="69"/>
      <c r="X625" s="5"/>
    </row>
    <row r="626" spans="17:24" x14ac:dyDescent="0.25">
      <c r="Q626" s="33"/>
      <c r="S626" s="57"/>
      <c r="W626" s="69"/>
      <c r="X626" s="5"/>
    </row>
    <row r="627" spans="17:24" x14ac:dyDescent="0.25">
      <c r="Q627" s="33"/>
      <c r="S627" s="57"/>
      <c r="W627" s="69"/>
      <c r="X627" s="5"/>
    </row>
    <row r="628" spans="17:24" x14ac:dyDescent="0.25">
      <c r="Q628" s="33"/>
      <c r="S628" s="57"/>
      <c r="W628" s="69"/>
      <c r="X628" s="5"/>
    </row>
    <row r="629" spans="17:24" x14ac:dyDescent="0.25">
      <c r="Q629" s="33"/>
      <c r="S629" s="57"/>
      <c r="W629" s="69"/>
      <c r="X629" s="5"/>
    </row>
    <row r="630" spans="17:24" x14ac:dyDescent="0.25">
      <c r="Q630" s="33"/>
      <c r="S630" s="57"/>
      <c r="W630" s="69"/>
      <c r="X630" s="5"/>
    </row>
    <row r="631" spans="17:24" x14ac:dyDescent="0.25">
      <c r="Q631" s="33"/>
      <c r="S631" s="57"/>
      <c r="W631" s="69"/>
      <c r="X631" s="5"/>
    </row>
    <row r="632" spans="17:24" x14ac:dyDescent="0.25">
      <c r="Q632" s="33"/>
      <c r="S632" s="57"/>
      <c r="W632" s="69"/>
      <c r="X632" s="5"/>
    </row>
    <row r="633" spans="17:24" x14ac:dyDescent="0.25">
      <c r="Q633" s="33"/>
      <c r="S633" s="57"/>
      <c r="W633" s="69"/>
      <c r="X633" s="5"/>
    </row>
    <row r="634" spans="17:24" x14ac:dyDescent="0.25">
      <c r="Q634" s="33"/>
      <c r="S634" s="57"/>
      <c r="W634" s="69"/>
      <c r="X634" s="5"/>
    </row>
    <row r="635" spans="17:24" x14ac:dyDescent="0.25">
      <c r="Q635" s="33"/>
      <c r="S635" s="57"/>
      <c r="W635" s="69"/>
      <c r="X635" s="5"/>
    </row>
    <row r="636" spans="17:24" x14ac:dyDescent="0.25">
      <c r="Q636" s="33"/>
      <c r="S636" s="57"/>
      <c r="W636" s="69"/>
      <c r="X636" s="5"/>
    </row>
    <row r="637" spans="17:24" x14ac:dyDescent="0.25">
      <c r="Q637" s="33"/>
      <c r="S637" s="57"/>
      <c r="W637" s="69"/>
      <c r="X637" s="5"/>
    </row>
    <row r="638" spans="17:24" x14ac:dyDescent="0.25">
      <c r="Q638" s="33"/>
      <c r="S638" s="57"/>
      <c r="W638" s="69"/>
      <c r="X638" s="5"/>
    </row>
    <row r="639" spans="17:24" x14ac:dyDescent="0.25">
      <c r="Q639" s="33"/>
      <c r="S639" s="57"/>
      <c r="W639" s="69"/>
      <c r="X639" s="5"/>
    </row>
    <row r="640" spans="17:24" x14ac:dyDescent="0.25">
      <c r="Q640" s="33"/>
      <c r="S640" s="57"/>
      <c r="W640" s="69"/>
      <c r="X640" s="5"/>
    </row>
    <row r="641" spans="17:24" x14ac:dyDescent="0.25">
      <c r="Q641" s="33"/>
      <c r="S641" s="57"/>
      <c r="W641" s="69"/>
      <c r="X641" s="5"/>
    </row>
    <row r="642" spans="17:24" x14ac:dyDescent="0.25">
      <c r="Q642" s="33"/>
      <c r="S642" s="57"/>
      <c r="W642" s="69"/>
      <c r="X642" s="5"/>
    </row>
    <row r="643" spans="17:24" x14ac:dyDescent="0.25">
      <c r="Q643" s="33"/>
      <c r="S643" s="57"/>
      <c r="W643" s="69"/>
      <c r="X643" s="5"/>
    </row>
    <row r="644" spans="17:24" x14ac:dyDescent="0.25">
      <c r="Q644" s="33"/>
      <c r="S644" s="57"/>
      <c r="W644" s="69"/>
      <c r="X644" s="5"/>
    </row>
    <row r="645" spans="17:24" x14ac:dyDescent="0.25">
      <c r="Q645" s="33"/>
      <c r="S645" s="57"/>
      <c r="W645" s="69"/>
      <c r="X645" s="5"/>
    </row>
    <row r="646" spans="17:24" x14ac:dyDescent="0.25">
      <c r="Q646" s="33"/>
      <c r="S646" s="57"/>
      <c r="W646" s="69"/>
      <c r="X646" s="5"/>
    </row>
    <row r="647" spans="17:24" x14ac:dyDescent="0.25">
      <c r="Q647" s="33"/>
      <c r="S647" s="57"/>
      <c r="W647" s="69"/>
      <c r="X647" s="5"/>
    </row>
    <row r="648" spans="17:24" x14ac:dyDescent="0.25">
      <c r="Q648" s="33"/>
      <c r="S648" s="57"/>
      <c r="W648" s="69"/>
      <c r="X648" s="5"/>
    </row>
    <row r="649" spans="17:24" x14ac:dyDescent="0.25">
      <c r="Q649" s="33"/>
      <c r="S649" s="57"/>
      <c r="W649" s="69"/>
      <c r="X649" s="5"/>
    </row>
    <row r="650" spans="17:24" x14ac:dyDescent="0.25">
      <c r="Q650" s="33"/>
      <c r="S650" s="57"/>
      <c r="W650" s="69"/>
      <c r="X650" s="5"/>
    </row>
    <row r="651" spans="17:24" x14ac:dyDescent="0.25">
      <c r="Q651" s="33"/>
      <c r="S651" s="57"/>
      <c r="W651" s="69"/>
      <c r="X651" s="5"/>
    </row>
    <row r="652" spans="17:24" x14ac:dyDescent="0.25">
      <c r="Q652" s="33"/>
      <c r="S652" s="57"/>
      <c r="W652" s="69"/>
      <c r="X652" s="5"/>
    </row>
    <row r="653" spans="17:24" x14ac:dyDescent="0.25">
      <c r="Q653" s="33"/>
      <c r="S653" s="57"/>
      <c r="W653" s="69"/>
      <c r="X653" s="5"/>
    </row>
    <row r="654" spans="17:24" x14ac:dyDescent="0.25">
      <c r="Q654" s="33"/>
      <c r="S654" s="57"/>
      <c r="W654" s="69"/>
      <c r="X654" s="5"/>
    </row>
    <row r="655" spans="17:24" x14ac:dyDescent="0.25">
      <c r="Q655" s="33"/>
      <c r="S655" s="57"/>
      <c r="W655" s="69"/>
      <c r="X655" s="5"/>
    </row>
    <row r="656" spans="17:24" x14ac:dyDescent="0.25">
      <c r="Q656" s="33"/>
      <c r="S656" s="57"/>
      <c r="W656" s="69"/>
      <c r="X656" s="5"/>
    </row>
    <row r="657" spans="17:24" x14ac:dyDescent="0.25">
      <c r="Q657" s="33"/>
      <c r="S657" s="57"/>
      <c r="W657" s="69"/>
      <c r="X657" s="5"/>
    </row>
    <row r="658" spans="17:24" x14ac:dyDescent="0.25">
      <c r="Q658" s="33"/>
      <c r="S658" s="57"/>
      <c r="W658" s="69"/>
      <c r="X658" s="5"/>
    </row>
    <row r="659" spans="17:24" x14ac:dyDescent="0.25">
      <c r="Q659" s="33"/>
      <c r="S659" s="57"/>
      <c r="W659" s="69"/>
      <c r="X659" s="5"/>
    </row>
    <row r="660" spans="17:24" x14ac:dyDescent="0.25">
      <c r="Q660" s="33"/>
      <c r="S660" s="57"/>
      <c r="W660" s="69"/>
      <c r="X660" s="5"/>
    </row>
    <row r="661" spans="17:24" x14ac:dyDescent="0.25">
      <c r="Q661" s="33"/>
      <c r="S661" s="57"/>
      <c r="W661" s="69"/>
      <c r="X661" s="5"/>
    </row>
    <row r="662" spans="17:24" x14ac:dyDescent="0.25">
      <c r="Q662" s="33"/>
      <c r="S662" s="57"/>
      <c r="W662" s="69"/>
      <c r="X662" s="5"/>
    </row>
    <row r="663" spans="17:24" x14ac:dyDescent="0.25">
      <c r="Q663" s="33"/>
      <c r="S663" s="57"/>
      <c r="W663" s="69"/>
      <c r="X663" s="5"/>
    </row>
    <row r="664" spans="17:24" x14ac:dyDescent="0.25">
      <c r="Q664" s="33"/>
      <c r="S664" s="57"/>
      <c r="W664" s="69"/>
      <c r="X664" s="5"/>
    </row>
    <row r="665" spans="17:24" x14ac:dyDescent="0.25">
      <c r="Q665" s="33"/>
      <c r="S665" s="57"/>
      <c r="W665" s="69"/>
      <c r="X665" s="5"/>
    </row>
    <row r="666" spans="17:24" x14ac:dyDescent="0.25">
      <c r="Q666" s="33"/>
      <c r="S666" s="57"/>
      <c r="W666" s="69"/>
      <c r="X666" s="5"/>
    </row>
    <row r="667" spans="17:24" x14ac:dyDescent="0.25">
      <c r="Q667" s="33"/>
      <c r="S667" s="57"/>
      <c r="W667" s="69"/>
      <c r="X667" s="5"/>
    </row>
    <row r="668" spans="17:24" x14ac:dyDescent="0.25">
      <c r="Q668" s="33"/>
      <c r="S668" s="57"/>
      <c r="W668" s="69"/>
      <c r="X668" s="5"/>
    </row>
    <row r="669" spans="17:24" x14ac:dyDescent="0.25">
      <c r="Q669" s="33"/>
      <c r="S669" s="57"/>
      <c r="W669" s="69"/>
      <c r="X669" s="5"/>
    </row>
    <row r="670" spans="17:24" x14ac:dyDescent="0.25">
      <c r="Q670" s="33"/>
      <c r="S670" s="57"/>
      <c r="W670" s="69"/>
      <c r="X670" s="5"/>
    </row>
    <row r="671" spans="17:24" x14ac:dyDescent="0.25">
      <c r="Q671" s="33"/>
      <c r="S671" s="57"/>
      <c r="W671" s="69"/>
      <c r="X671" s="5"/>
    </row>
    <row r="672" spans="17:24" x14ac:dyDescent="0.25">
      <c r="Q672" s="33"/>
      <c r="S672" s="57"/>
      <c r="W672" s="69"/>
      <c r="X672" s="5"/>
    </row>
    <row r="673" spans="17:24" x14ac:dyDescent="0.25">
      <c r="Q673" s="33"/>
      <c r="S673" s="57"/>
      <c r="W673" s="69"/>
      <c r="X673" s="5"/>
    </row>
    <row r="674" spans="17:24" x14ac:dyDescent="0.25">
      <c r="Q674" s="33"/>
      <c r="S674" s="57"/>
      <c r="W674" s="69"/>
      <c r="X674" s="5"/>
    </row>
    <row r="675" spans="17:24" x14ac:dyDescent="0.25">
      <c r="Q675" s="33"/>
      <c r="S675" s="57"/>
      <c r="W675" s="69"/>
      <c r="X675" s="5"/>
    </row>
    <row r="676" spans="17:24" x14ac:dyDescent="0.25">
      <c r="Q676" s="33"/>
      <c r="S676" s="57"/>
      <c r="W676" s="69"/>
      <c r="X676" s="5"/>
    </row>
    <row r="677" spans="17:24" x14ac:dyDescent="0.25">
      <c r="Q677" s="33"/>
      <c r="S677" s="57"/>
      <c r="W677" s="69"/>
      <c r="X677" s="5"/>
    </row>
    <row r="678" spans="17:24" x14ac:dyDescent="0.25">
      <c r="Q678" s="33"/>
      <c r="S678" s="57"/>
      <c r="W678" s="69"/>
      <c r="X678" s="5"/>
    </row>
    <row r="679" spans="17:24" x14ac:dyDescent="0.25">
      <c r="Q679" s="33"/>
      <c r="S679" s="57"/>
      <c r="W679" s="69"/>
      <c r="X679" s="5"/>
    </row>
    <row r="680" spans="17:24" x14ac:dyDescent="0.25">
      <c r="Q680" s="33"/>
      <c r="S680" s="57"/>
      <c r="W680" s="69"/>
      <c r="X680" s="5"/>
    </row>
    <row r="681" spans="17:24" x14ac:dyDescent="0.25">
      <c r="Q681" s="33"/>
      <c r="S681" s="57"/>
      <c r="W681" s="69"/>
      <c r="X681" s="5"/>
    </row>
    <row r="682" spans="17:24" x14ac:dyDescent="0.25">
      <c r="Q682" s="33"/>
      <c r="S682" s="57"/>
      <c r="W682" s="69"/>
      <c r="X682" s="5"/>
    </row>
    <row r="683" spans="17:24" x14ac:dyDescent="0.25">
      <c r="Q683" s="33"/>
      <c r="S683" s="57"/>
      <c r="W683" s="69"/>
      <c r="X683" s="5"/>
    </row>
    <row r="684" spans="17:24" x14ac:dyDescent="0.25">
      <c r="Q684" s="33"/>
      <c r="S684" s="57"/>
      <c r="W684" s="69"/>
      <c r="X684" s="5"/>
    </row>
    <row r="685" spans="17:24" x14ac:dyDescent="0.25">
      <c r="Q685" s="33"/>
      <c r="S685" s="57"/>
      <c r="W685" s="69"/>
      <c r="X685" s="5"/>
    </row>
    <row r="686" spans="17:24" x14ac:dyDescent="0.25">
      <c r="Q686" s="33"/>
      <c r="S686" s="57"/>
      <c r="W686" s="69"/>
      <c r="X686" s="5"/>
    </row>
    <row r="687" spans="17:24" x14ac:dyDescent="0.25">
      <c r="Q687" s="33"/>
      <c r="S687" s="57"/>
      <c r="W687" s="69"/>
      <c r="X687" s="5"/>
    </row>
    <row r="688" spans="17:24" x14ac:dyDescent="0.25">
      <c r="Q688" s="33"/>
      <c r="S688" s="57"/>
      <c r="W688" s="69"/>
      <c r="X688" s="5"/>
    </row>
    <row r="689" spans="17:24" x14ac:dyDescent="0.25">
      <c r="Q689" s="33"/>
      <c r="S689" s="57"/>
      <c r="W689" s="69"/>
      <c r="X689" s="5"/>
    </row>
    <row r="690" spans="17:24" x14ac:dyDescent="0.25">
      <c r="Q690" s="33"/>
      <c r="S690" s="57"/>
      <c r="W690" s="69"/>
      <c r="X690" s="5"/>
    </row>
    <row r="691" spans="17:24" x14ac:dyDescent="0.25">
      <c r="Q691" s="33"/>
      <c r="S691" s="57"/>
      <c r="W691" s="69"/>
      <c r="X691" s="5"/>
    </row>
    <row r="692" spans="17:24" x14ac:dyDescent="0.25">
      <c r="Q692" s="33"/>
      <c r="S692" s="57"/>
      <c r="W692" s="69"/>
      <c r="X692" s="5"/>
    </row>
    <row r="693" spans="17:24" x14ac:dyDescent="0.25">
      <c r="Q693" s="33"/>
      <c r="S693" s="57"/>
      <c r="W693" s="69"/>
      <c r="X693" s="5"/>
    </row>
    <row r="694" spans="17:24" x14ac:dyDescent="0.25">
      <c r="Q694" s="33"/>
      <c r="S694" s="57"/>
      <c r="W694" s="69"/>
      <c r="X694" s="5"/>
    </row>
    <row r="695" spans="17:24" x14ac:dyDescent="0.25">
      <c r="Q695" s="33"/>
      <c r="S695" s="57"/>
      <c r="W695" s="69"/>
      <c r="X695" s="5"/>
    </row>
    <row r="696" spans="17:24" x14ac:dyDescent="0.25">
      <c r="Q696" s="33"/>
      <c r="S696" s="57"/>
      <c r="W696" s="69"/>
      <c r="X696" s="5"/>
    </row>
    <row r="697" spans="17:24" x14ac:dyDescent="0.25">
      <c r="Q697" s="33"/>
      <c r="S697" s="57"/>
      <c r="W697" s="69"/>
      <c r="X697" s="5"/>
    </row>
    <row r="698" spans="17:24" x14ac:dyDescent="0.25">
      <c r="Q698" s="33"/>
      <c r="S698" s="57"/>
      <c r="W698" s="69"/>
      <c r="X698" s="5"/>
    </row>
    <row r="699" spans="17:24" x14ac:dyDescent="0.25">
      <c r="Q699" s="33"/>
      <c r="S699" s="57"/>
      <c r="W699" s="69"/>
      <c r="X699" s="5"/>
    </row>
    <row r="700" spans="17:24" x14ac:dyDescent="0.25">
      <c r="Q700" s="33"/>
      <c r="S700" s="57"/>
      <c r="W700" s="69"/>
      <c r="X700" s="5"/>
    </row>
    <row r="701" spans="17:24" x14ac:dyDescent="0.25">
      <c r="Q701" s="33"/>
      <c r="S701" s="57"/>
      <c r="W701" s="69"/>
      <c r="X701" s="5"/>
    </row>
    <row r="702" spans="17:24" x14ac:dyDescent="0.25">
      <c r="Q702" s="33"/>
      <c r="S702" s="57"/>
      <c r="W702" s="69"/>
      <c r="X702" s="5"/>
    </row>
    <row r="703" spans="17:24" x14ac:dyDescent="0.25">
      <c r="Q703" s="33"/>
      <c r="S703" s="57"/>
      <c r="W703" s="69"/>
      <c r="X703" s="5"/>
    </row>
    <row r="704" spans="17:24" x14ac:dyDescent="0.25">
      <c r="Q704" s="33"/>
      <c r="S704" s="57"/>
      <c r="W704" s="69"/>
      <c r="X704" s="5"/>
    </row>
    <row r="705" spans="17:24" x14ac:dyDescent="0.25">
      <c r="Q705" s="33"/>
      <c r="S705" s="57"/>
      <c r="W705" s="69"/>
      <c r="X705" s="5"/>
    </row>
    <row r="706" spans="17:24" x14ac:dyDescent="0.25">
      <c r="Q706" s="33"/>
      <c r="S706" s="57"/>
      <c r="W706" s="69"/>
      <c r="X706" s="5"/>
    </row>
    <row r="707" spans="17:24" x14ac:dyDescent="0.25">
      <c r="Q707" s="33"/>
      <c r="S707" s="57"/>
      <c r="W707" s="69"/>
      <c r="X707" s="5"/>
    </row>
    <row r="708" spans="17:24" x14ac:dyDescent="0.25">
      <c r="Q708" s="33"/>
      <c r="S708" s="57"/>
      <c r="W708" s="69"/>
      <c r="X708" s="5"/>
    </row>
    <row r="709" spans="17:24" x14ac:dyDescent="0.25">
      <c r="Q709" s="33"/>
      <c r="S709" s="57"/>
      <c r="W709" s="69"/>
      <c r="X709" s="5"/>
    </row>
    <row r="710" spans="17:24" x14ac:dyDescent="0.25">
      <c r="Q710" s="33"/>
      <c r="S710" s="57"/>
      <c r="W710" s="69"/>
      <c r="X710" s="5"/>
    </row>
    <row r="711" spans="17:24" x14ac:dyDescent="0.25">
      <c r="Q711" s="33"/>
      <c r="S711" s="57"/>
      <c r="W711" s="69"/>
      <c r="X711" s="5"/>
    </row>
    <row r="712" spans="17:24" x14ac:dyDescent="0.25">
      <c r="Q712" s="33"/>
      <c r="S712" s="57"/>
      <c r="W712" s="69"/>
      <c r="X712" s="5"/>
    </row>
    <row r="713" spans="17:24" x14ac:dyDescent="0.25">
      <c r="Q713" s="33"/>
      <c r="S713" s="57"/>
      <c r="W713" s="69"/>
      <c r="X713" s="5"/>
    </row>
    <row r="714" spans="17:24" x14ac:dyDescent="0.25">
      <c r="Q714" s="33"/>
      <c r="S714" s="57"/>
      <c r="W714" s="69"/>
      <c r="X714" s="5"/>
    </row>
    <row r="715" spans="17:24" x14ac:dyDescent="0.25">
      <c r="Q715" s="33"/>
      <c r="S715" s="57"/>
      <c r="W715" s="69"/>
      <c r="X715" s="5"/>
    </row>
    <row r="716" spans="17:24" x14ac:dyDescent="0.25">
      <c r="Q716" s="33"/>
      <c r="S716" s="57"/>
      <c r="W716" s="69"/>
      <c r="X716" s="5"/>
    </row>
    <row r="717" spans="17:24" x14ac:dyDescent="0.25">
      <c r="Q717" s="33"/>
      <c r="S717" s="57"/>
      <c r="W717" s="69"/>
      <c r="X717" s="5"/>
    </row>
    <row r="718" spans="17:24" x14ac:dyDescent="0.25">
      <c r="Q718" s="33"/>
      <c r="S718" s="57"/>
      <c r="W718" s="69"/>
      <c r="X718" s="5"/>
    </row>
    <row r="719" spans="17:24" x14ac:dyDescent="0.25">
      <c r="Q719" s="33"/>
      <c r="S719" s="57"/>
      <c r="W719" s="69"/>
      <c r="X719" s="5"/>
    </row>
    <row r="720" spans="17:24" x14ac:dyDescent="0.25">
      <c r="Q720" s="33"/>
      <c r="S720" s="57"/>
      <c r="W720" s="69"/>
      <c r="X720" s="5"/>
    </row>
    <row r="721" spans="17:24" x14ac:dyDescent="0.25">
      <c r="Q721" s="33"/>
      <c r="S721" s="57"/>
      <c r="W721" s="69"/>
      <c r="X721" s="5"/>
    </row>
    <row r="722" spans="17:24" x14ac:dyDescent="0.25">
      <c r="Q722" s="33"/>
      <c r="S722" s="57"/>
      <c r="W722" s="69"/>
      <c r="X722" s="5"/>
    </row>
    <row r="723" spans="17:24" x14ac:dyDescent="0.25">
      <c r="Q723" s="33"/>
      <c r="S723" s="57"/>
      <c r="W723" s="69"/>
      <c r="X723" s="5"/>
    </row>
    <row r="724" spans="17:24" x14ac:dyDescent="0.25">
      <c r="Q724" s="33"/>
      <c r="S724" s="57"/>
      <c r="W724" s="69"/>
      <c r="X724" s="5"/>
    </row>
    <row r="725" spans="17:24" x14ac:dyDescent="0.25">
      <c r="Q725" s="33"/>
      <c r="S725" s="57"/>
      <c r="W725" s="69"/>
      <c r="X725" s="5"/>
    </row>
    <row r="726" spans="17:24" x14ac:dyDescent="0.25">
      <c r="Q726" s="33"/>
      <c r="S726" s="57"/>
      <c r="W726" s="69"/>
      <c r="X726" s="5"/>
    </row>
    <row r="727" spans="17:24" x14ac:dyDescent="0.25">
      <c r="Q727" s="33"/>
      <c r="S727" s="57"/>
      <c r="W727" s="69"/>
      <c r="X727" s="5"/>
    </row>
    <row r="728" spans="17:24" x14ac:dyDescent="0.25">
      <c r="Q728" s="33"/>
      <c r="S728" s="57"/>
      <c r="W728" s="69"/>
      <c r="X728" s="5"/>
    </row>
    <row r="729" spans="17:24" x14ac:dyDescent="0.25">
      <c r="Q729" s="33"/>
      <c r="S729" s="57"/>
      <c r="W729" s="69"/>
      <c r="X729" s="5"/>
    </row>
    <row r="730" spans="17:24" x14ac:dyDescent="0.25">
      <c r="Q730" s="33"/>
      <c r="S730" s="57"/>
      <c r="W730" s="69"/>
      <c r="X730" s="5"/>
    </row>
    <row r="731" spans="17:24" x14ac:dyDescent="0.25">
      <c r="Q731" s="33"/>
      <c r="S731" s="57"/>
      <c r="W731" s="69"/>
      <c r="X731" s="5"/>
    </row>
    <row r="732" spans="17:24" x14ac:dyDescent="0.25">
      <c r="Q732" s="33"/>
      <c r="S732" s="57"/>
      <c r="W732" s="69"/>
      <c r="X732" s="5"/>
    </row>
    <row r="733" spans="17:24" x14ac:dyDescent="0.25">
      <c r="Q733" s="33"/>
      <c r="S733" s="57"/>
      <c r="W733" s="69"/>
      <c r="X733" s="5"/>
    </row>
    <row r="734" spans="17:24" x14ac:dyDescent="0.25">
      <c r="Q734" s="33"/>
      <c r="S734" s="57"/>
      <c r="W734" s="69"/>
      <c r="X734" s="5"/>
    </row>
    <row r="735" spans="17:24" x14ac:dyDescent="0.25">
      <c r="Q735" s="33"/>
      <c r="S735" s="57"/>
      <c r="W735" s="69"/>
      <c r="X735" s="5"/>
    </row>
    <row r="736" spans="17:24" x14ac:dyDescent="0.25">
      <c r="Q736" s="33"/>
      <c r="S736" s="57"/>
      <c r="W736" s="69"/>
      <c r="X736" s="5"/>
    </row>
    <row r="737" spans="17:24" x14ac:dyDescent="0.25">
      <c r="Q737" s="33"/>
      <c r="S737" s="57"/>
      <c r="W737" s="69"/>
      <c r="X737" s="5"/>
    </row>
    <row r="738" spans="17:24" x14ac:dyDescent="0.25">
      <c r="Q738" s="33"/>
      <c r="S738" s="57"/>
      <c r="W738" s="69"/>
      <c r="X738" s="5"/>
    </row>
    <row r="739" spans="17:24" x14ac:dyDescent="0.25">
      <c r="Q739" s="33"/>
      <c r="S739" s="57"/>
      <c r="W739" s="69"/>
      <c r="X739" s="5"/>
    </row>
    <row r="740" spans="17:24" x14ac:dyDescent="0.25">
      <c r="Q740" s="33"/>
      <c r="S740" s="57"/>
      <c r="W740" s="69"/>
      <c r="X740" s="5"/>
    </row>
    <row r="741" spans="17:24" x14ac:dyDescent="0.25">
      <c r="Q741" s="33"/>
      <c r="S741" s="57"/>
      <c r="W741" s="69"/>
      <c r="X741" s="5"/>
    </row>
    <row r="742" spans="17:24" x14ac:dyDescent="0.25">
      <c r="Q742" s="33"/>
      <c r="S742" s="57"/>
      <c r="W742" s="69"/>
      <c r="X742" s="5"/>
    </row>
    <row r="743" spans="17:24" x14ac:dyDescent="0.25">
      <c r="Q743" s="33"/>
      <c r="S743" s="57"/>
      <c r="W743" s="69"/>
      <c r="X743" s="5"/>
    </row>
    <row r="744" spans="17:24" x14ac:dyDescent="0.25">
      <c r="Q744" s="33"/>
      <c r="S744" s="57"/>
      <c r="W744" s="69"/>
      <c r="X744" s="5"/>
    </row>
    <row r="745" spans="17:24" x14ac:dyDescent="0.25">
      <c r="Q745" s="33"/>
      <c r="S745" s="57"/>
      <c r="W745" s="69"/>
      <c r="X745" s="5"/>
    </row>
    <row r="746" spans="17:24" x14ac:dyDescent="0.25">
      <c r="Q746" s="33"/>
      <c r="S746" s="57"/>
      <c r="W746" s="69"/>
      <c r="X746" s="5"/>
    </row>
    <row r="747" spans="17:24" x14ac:dyDescent="0.25">
      <c r="Q747" s="33"/>
      <c r="S747" s="57"/>
      <c r="W747" s="69"/>
      <c r="X747" s="5"/>
    </row>
    <row r="748" spans="17:24" x14ac:dyDescent="0.25">
      <c r="Q748" s="33"/>
      <c r="S748" s="57"/>
      <c r="W748" s="69"/>
      <c r="X748" s="5"/>
    </row>
    <row r="749" spans="17:24" x14ac:dyDescent="0.25">
      <c r="Q749" s="33"/>
      <c r="S749" s="57"/>
      <c r="W749" s="69"/>
      <c r="X749" s="5"/>
    </row>
    <row r="750" spans="17:24" x14ac:dyDescent="0.25">
      <c r="Q750" s="33"/>
      <c r="S750" s="57"/>
      <c r="W750" s="69"/>
      <c r="X750" s="5"/>
    </row>
    <row r="751" spans="17:24" x14ac:dyDescent="0.25">
      <c r="Q751" s="33"/>
      <c r="S751" s="57"/>
      <c r="W751" s="69"/>
      <c r="X751" s="5"/>
    </row>
    <row r="752" spans="17:24" x14ac:dyDescent="0.25">
      <c r="Q752" s="33"/>
      <c r="S752" s="57"/>
      <c r="W752" s="69"/>
      <c r="X752" s="5"/>
    </row>
    <row r="753" spans="17:24" x14ac:dyDescent="0.25">
      <c r="Q753" s="33"/>
      <c r="S753" s="57"/>
      <c r="W753" s="69"/>
      <c r="X753" s="5"/>
    </row>
    <row r="754" spans="17:24" x14ac:dyDescent="0.25">
      <c r="Q754" s="33"/>
      <c r="S754" s="57"/>
      <c r="W754" s="69"/>
      <c r="X754" s="5"/>
    </row>
    <row r="755" spans="17:24" x14ac:dyDescent="0.25">
      <c r="Q755" s="33"/>
      <c r="S755" s="57"/>
      <c r="W755" s="69"/>
      <c r="X755" s="5"/>
    </row>
    <row r="756" spans="17:24" x14ac:dyDescent="0.25">
      <c r="Q756" s="33"/>
      <c r="S756" s="57"/>
      <c r="W756" s="69"/>
      <c r="X756" s="5"/>
    </row>
    <row r="757" spans="17:24" x14ac:dyDescent="0.25">
      <c r="Q757" s="33"/>
      <c r="S757" s="57"/>
      <c r="W757" s="69"/>
      <c r="X757" s="5"/>
    </row>
    <row r="758" spans="17:24" x14ac:dyDescent="0.25">
      <c r="Q758" s="33"/>
      <c r="S758" s="57"/>
      <c r="W758" s="69"/>
      <c r="X758" s="5"/>
    </row>
    <row r="759" spans="17:24" x14ac:dyDescent="0.25">
      <c r="Q759" s="33"/>
      <c r="S759" s="57"/>
      <c r="W759" s="69"/>
      <c r="X759" s="5"/>
    </row>
    <row r="760" spans="17:24" x14ac:dyDescent="0.25">
      <c r="Q760" s="33"/>
      <c r="S760" s="57"/>
      <c r="W760" s="69"/>
      <c r="X760" s="5"/>
    </row>
    <row r="761" spans="17:24" x14ac:dyDescent="0.25">
      <c r="Q761" s="33"/>
      <c r="S761" s="57"/>
      <c r="W761" s="69"/>
      <c r="X761" s="5"/>
    </row>
    <row r="762" spans="17:24" x14ac:dyDescent="0.25">
      <c r="Q762" s="33"/>
      <c r="S762" s="57"/>
      <c r="W762" s="69"/>
      <c r="X762" s="5"/>
    </row>
    <row r="763" spans="17:24" x14ac:dyDescent="0.25">
      <c r="Q763" s="33"/>
      <c r="S763" s="57"/>
      <c r="W763" s="69"/>
      <c r="X763" s="5"/>
    </row>
    <row r="764" spans="17:24" x14ac:dyDescent="0.25">
      <c r="Q764" s="33"/>
      <c r="S764" s="57"/>
      <c r="W764" s="69"/>
      <c r="X764" s="5"/>
    </row>
    <row r="765" spans="17:24" x14ac:dyDescent="0.25">
      <c r="Q765" s="33"/>
      <c r="S765" s="57"/>
      <c r="W765" s="69"/>
      <c r="X765" s="5"/>
    </row>
    <row r="766" spans="17:24" x14ac:dyDescent="0.25">
      <c r="Q766" s="33"/>
      <c r="S766" s="57"/>
      <c r="W766" s="69"/>
      <c r="X766" s="5"/>
    </row>
    <row r="767" spans="17:24" x14ac:dyDescent="0.25">
      <c r="Q767" s="33"/>
      <c r="S767" s="57"/>
      <c r="W767" s="69"/>
      <c r="X767" s="5"/>
    </row>
    <row r="768" spans="17:24" x14ac:dyDescent="0.25">
      <c r="Q768" s="33"/>
      <c r="S768" s="57"/>
      <c r="W768" s="69"/>
      <c r="X768" s="5"/>
    </row>
    <row r="769" spans="17:24" x14ac:dyDescent="0.25">
      <c r="Q769" s="33"/>
      <c r="S769" s="57"/>
      <c r="W769" s="69"/>
      <c r="X769" s="5"/>
    </row>
    <row r="770" spans="17:24" x14ac:dyDescent="0.25">
      <c r="Q770" s="33"/>
      <c r="S770" s="57"/>
      <c r="W770" s="69"/>
      <c r="X770" s="5"/>
    </row>
    <row r="771" spans="17:24" x14ac:dyDescent="0.25">
      <c r="Q771" s="33"/>
      <c r="S771" s="57"/>
      <c r="W771" s="69"/>
      <c r="X771" s="5"/>
    </row>
    <row r="772" spans="17:24" x14ac:dyDescent="0.25">
      <c r="Q772" s="33"/>
      <c r="S772" s="57"/>
      <c r="W772" s="69"/>
      <c r="X772" s="5"/>
    </row>
    <row r="773" spans="17:24" x14ac:dyDescent="0.25">
      <c r="Q773" s="33"/>
      <c r="S773" s="57"/>
      <c r="W773" s="69"/>
      <c r="X773" s="5"/>
    </row>
    <row r="774" spans="17:24" x14ac:dyDescent="0.25">
      <c r="Q774" s="33"/>
      <c r="S774" s="57"/>
      <c r="W774" s="69"/>
      <c r="X774" s="5"/>
    </row>
    <row r="775" spans="17:24" x14ac:dyDescent="0.25">
      <c r="Q775" s="33"/>
      <c r="S775" s="57"/>
      <c r="W775" s="69"/>
      <c r="X775" s="5"/>
    </row>
    <row r="776" spans="17:24" x14ac:dyDescent="0.25">
      <c r="Q776" s="33"/>
      <c r="S776" s="57"/>
      <c r="W776" s="69"/>
      <c r="X776" s="5"/>
    </row>
    <row r="777" spans="17:24" x14ac:dyDescent="0.25">
      <c r="Q777" s="33"/>
      <c r="S777" s="57"/>
      <c r="W777" s="69"/>
      <c r="X777" s="5"/>
    </row>
    <row r="778" spans="17:24" x14ac:dyDescent="0.25">
      <c r="Q778" s="33"/>
      <c r="S778" s="57"/>
      <c r="W778" s="69"/>
      <c r="X778" s="5"/>
    </row>
    <row r="779" spans="17:24" x14ac:dyDescent="0.25">
      <c r="Q779" s="33"/>
      <c r="S779" s="57"/>
      <c r="W779" s="69"/>
      <c r="X779" s="5"/>
    </row>
    <row r="780" spans="17:24" x14ac:dyDescent="0.25">
      <c r="Q780" s="33"/>
      <c r="S780" s="57"/>
      <c r="W780" s="69"/>
      <c r="X780" s="5"/>
    </row>
    <row r="781" spans="17:24" x14ac:dyDescent="0.25">
      <c r="Q781" s="33"/>
      <c r="S781" s="57"/>
      <c r="W781" s="69"/>
      <c r="X781" s="5"/>
    </row>
    <row r="782" spans="17:24" x14ac:dyDescent="0.25">
      <c r="Q782" s="33"/>
      <c r="S782" s="57"/>
      <c r="W782" s="69"/>
      <c r="X782" s="5"/>
    </row>
    <row r="783" spans="17:24" x14ac:dyDescent="0.25">
      <c r="Q783" s="33"/>
      <c r="S783" s="57"/>
      <c r="W783" s="69"/>
      <c r="X783" s="5"/>
    </row>
    <row r="784" spans="17:24" x14ac:dyDescent="0.25">
      <c r="Q784" s="33"/>
      <c r="S784" s="57"/>
      <c r="W784" s="69"/>
      <c r="X784" s="5"/>
    </row>
    <row r="785" spans="17:24" x14ac:dyDescent="0.25">
      <c r="Q785" s="33"/>
      <c r="S785" s="57"/>
      <c r="W785" s="69"/>
      <c r="X785" s="5"/>
    </row>
    <row r="786" spans="17:24" x14ac:dyDescent="0.25">
      <c r="Q786" s="33"/>
      <c r="S786" s="57"/>
      <c r="W786" s="69"/>
      <c r="X786" s="5"/>
    </row>
    <row r="787" spans="17:24" x14ac:dyDescent="0.25">
      <c r="Q787" s="33"/>
      <c r="S787" s="57"/>
      <c r="W787" s="69"/>
      <c r="X787" s="5"/>
    </row>
    <row r="788" spans="17:24" x14ac:dyDescent="0.25">
      <c r="Q788" s="33"/>
      <c r="S788" s="57"/>
      <c r="W788" s="69"/>
      <c r="X788" s="5"/>
    </row>
    <row r="789" spans="17:24" x14ac:dyDescent="0.25">
      <c r="Q789" s="33"/>
      <c r="S789" s="57"/>
      <c r="W789" s="69"/>
      <c r="X789" s="5"/>
    </row>
    <row r="790" spans="17:24" x14ac:dyDescent="0.25">
      <c r="Q790" s="33"/>
      <c r="S790" s="57"/>
      <c r="W790" s="69"/>
      <c r="X790" s="5"/>
    </row>
    <row r="791" spans="17:24" x14ac:dyDescent="0.25">
      <c r="Q791" s="33"/>
      <c r="S791" s="57"/>
      <c r="W791" s="69"/>
      <c r="X791" s="5"/>
    </row>
    <row r="792" spans="17:24" x14ac:dyDescent="0.25">
      <c r="Q792" s="33"/>
      <c r="S792" s="57"/>
      <c r="W792" s="69"/>
      <c r="X792" s="5"/>
    </row>
    <row r="793" spans="17:24" x14ac:dyDescent="0.25">
      <c r="Q793" s="33"/>
      <c r="S793" s="57"/>
      <c r="W793" s="69"/>
      <c r="X793" s="5"/>
    </row>
    <row r="794" spans="17:24" x14ac:dyDescent="0.25">
      <c r="Q794" s="33"/>
      <c r="S794" s="57"/>
      <c r="W794" s="69"/>
      <c r="X794" s="5"/>
    </row>
    <row r="795" spans="17:24" x14ac:dyDescent="0.25">
      <c r="Q795" s="33"/>
      <c r="S795" s="57"/>
      <c r="W795" s="69"/>
      <c r="X795" s="5"/>
    </row>
    <row r="796" spans="17:24" x14ac:dyDescent="0.25">
      <c r="Q796" s="33"/>
      <c r="S796" s="57"/>
      <c r="W796" s="69"/>
      <c r="X796" s="5"/>
    </row>
    <row r="797" spans="17:24" x14ac:dyDescent="0.25">
      <c r="Q797" s="33"/>
      <c r="S797" s="57"/>
      <c r="W797" s="69"/>
      <c r="X797" s="5"/>
    </row>
    <row r="798" spans="17:24" x14ac:dyDescent="0.25">
      <c r="Q798" s="33"/>
      <c r="S798" s="57"/>
      <c r="W798" s="69"/>
      <c r="X798" s="5"/>
    </row>
    <row r="799" spans="17:24" x14ac:dyDescent="0.25">
      <c r="Q799" s="33"/>
      <c r="S799" s="57"/>
      <c r="W799" s="69"/>
      <c r="X799" s="5"/>
    </row>
    <row r="800" spans="17:24" x14ac:dyDescent="0.25">
      <c r="Q800" s="33"/>
      <c r="S800" s="57"/>
      <c r="W800" s="69"/>
      <c r="X800" s="5"/>
    </row>
    <row r="801" spans="17:24" x14ac:dyDescent="0.25">
      <c r="Q801" s="33"/>
      <c r="S801" s="57"/>
      <c r="W801" s="69"/>
      <c r="X801" s="5"/>
    </row>
    <row r="802" spans="17:24" x14ac:dyDescent="0.25">
      <c r="Q802" s="33"/>
      <c r="S802" s="57"/>
      <c r="W802" s="69"/>
      <c r="X802" s="5"/>
    </row>
    <row r="803" spans="17:24" x14ac:dyDescent="0.25">
      <c r="Q803" s="33"/>
      <c r="S803" s="57"/>
      <c r="W803" s="69"/>
      <c r="X803" s="5"/>
    </row>
    <row r="804" spans="17:24" x14ac:dyDescent="0.25">
      <c r="Q804" s="33"/>
      <c r="S804" s="57"/>
      <c r="W804" s="69"/>
      <c r="X804" s="5"/>
    </row>
    <row r="805" spans="17:24" x14ac:dyDescent="0.25">
      <c r="Q805" s="33"/>
      <c r="S805" s="57"/>
      <c r="W805" s="69"/>
      <c r="X805" s="5"/>
    </row>
    <row r="806" spans="17:24" x14ac:dyDescent="0.25">
      <c r="Q806" s="33"/>
      <c r="S806" s="57"/>
      <c r="W806" s="69"/>
      <c r="X806" s="5"/>
    </row>
    <row r="807" spans="17:24" x14ac:dyDescent="0.25">
      <c r="Q807" s="33"/>
      <c r="S807" s="57"/>
      <c r="W807" s="69"/>
      <c r="X807" s="5"/>
    </row>
    <row r="808" spans="17:24" x14ac:dyDescent="0.25">
      <c r="Q808" s="33"/>
      <c r="S808" s="57"/>
      <c r="W808" s="69"/>
      <c r="X808" s="5"/>
    </row>
    <row r="809" spans="17:24" x14ac:dyDescent="0.25">
      <c r="Q809" s="33"/>
      <c r="S809" s="57"/>
      <c r="W809" s="69"/>
      <c r="X809" s="5"/>
    </row>
    <row r="810" spans="17:24" x14ac:dyDescent="0.25">
      <c r="Q810" s="33"/>
      <c r="S810" s="57"/>
      <c r="W810" s="69"/>
      <c r="X810" s="5"/>
    </row>
    <row r="811" spans="17:24" x14ac:dyDescent="0.25">
      <c r="Q811" s="33"/>
      <c r="S811" s="57"/>
      <c r="W811" s="69"/>
      <c r="X811" s="5"/>
    </row>
    <row r="812" spans="17:24" x14ac:dyDescent="0.25">
      <c r="Q812" s="33"/>
      <c r="S812" s="57"/>
      <c r="W812" s="69"/>
      <c r="X812" s="5"/>
    </row>
    <row r="813" spans="17:24" x14ac:dyDescent="0.25">
      <c r="Q813" s="33"/>
      <c r="S813" s="57"/>
      <c r="W813" s="69"/>
      <c r="X813" s="5"/>
    </row>
    <row r="814" spans="17:24" x14ac:dyDescent="0.25">
      <c r="Q814" s="33"/>
      <c r="S814" s="57"/>
      <c r="W814" s="69"/>
      <c r="X814" s="5"/>
    </row>
    <row r="815" spans="17:24" x14ac:dyDescent="0.25">
      <c r="Q815" s="33"/>
      <c r="S815" s="57"/>
      <c r="W815" s="69"/>
      <c r="X815" s="5"/>
    </row>
    <row r="816" spans="17:24" x14ac:dyDescent="0.25">
      <c r="Q816" s="33"/>
      <c r="S816" s="57"/>
      <c r="W816" s="69"/>
      <c r="X816" s="5"/>
    </row>
    <row r="817" spans="17:24" x14ac:dyDescent="0.25">
      <c r="Q817" s="33"/>
      <c r="S817" s="57"/>
      <c r="W817" s="69"/>
      <c r="X817" s="5"/>
    </row>
    <row r="818" spans="17:24" x14ac:dyDescent="0.25">
      <c r="Q818" s="33"/>
      <c r="S818" s="57"/>
      <c r="W818" s="69"/>
      <c r="X818" s="5"/>
    </row>
    <row r="819" spans="17:24" x14ac:dyDescent="0.25">
      <c r="Q819" s="33"/>
      <c r="S819" s="57"/>
      <c r="W819" s="69"/>
      <c r="X819" s="5"/>
    </row>
    <row r="820" spans="17:24" x14ac:dyDescent="0.25">
      <c r="Q820" s="33"/>
      <c r="S820" s="57"/>
      <c r="W820" s="69"/>
      <c r="X820" s="5"/>
    </row>
    <row r="821" spans="17:24" x14ac:dyDescent="0.25">
      <c r="Q821" s="33"/>
      <c r="S821" s="57"/>
      <c r="W821" s="69"/>
      <c r="X821" s="5"/>
    </row>
    <row r="822" spans="17:24" x14ac:dyDescent="0.25">
      <c r="Q822" s="33"/>
      <c r="S822" s="57"/>
      <c r="W822" s="69"/>
      <c r="X822" s="5"/>
    </row>
    <row r="823" spans="17:24" x14ac:dyDescent="0.25">
      <c r="Q823" s="33"/>
      <c r="S823" s="57"/>
      <c r="W823" s="69"/>
      <c r="X823" s="5"/>
    </row>
    <row r="824" spans="17:24" x14ac:dyDescent="0.25">
      <c r="Q824" s="33"/>
      <c r="S824" s="57"/>
      <c r="W824" s="69"/>
      <c r="X824" s="5"/>
    </row>
    <row r="825" spans="17:24" x14ac:dyDescent="0.25">
      <c r="Q825" s="33"/>
      <c r="S825" s="57"/>
      <c r="W825" s="69"/>
      <c r="X825" s="5"/>
    </row>
    <row r="826" spans="17:24" x14ac:dyDescent="0.25">
      <c r="Q826" s="33"/>
      <c r="S826" s="57"/>
      <c r="W826" s="69"/>
      <c r="X826" s="5"/>
    </row>
    <row r="827" spans="17:24" x14ac:dyDescent="0.25">
      <c r="Q827" s="33"/>
      <c r="S827" s="57"/>
      <c r="W827" s="69"/>
      <c r="X827" s="5"/>
    </row>
    <row r="828" spans="17:24" x14ac:dyDescent="0.25">
      <c r="Q828" s="33"/>
      <c r="S828" s="57"/>
      <c r="W828" s="69"/>
      <c r="X828" s="5"/>
    </row>
    <row r="829" spans="17:24" x14ac:dyDescent="0.25">
      <c r="Q829" s="33"/>
      <c r="S829" s="57"/>
      <c r="W829" s="69"/>
      <c r="X829" s="5"/>
    </row>
    <row r="830" spans="17:24" x14ac:dyDescent="0.25">
      <c r="Q830" s="33"/>
      <c r="S830" s="57"/>
      <c r="W830" s="69"/>
      <c r="X830" s="5"/>
    </row>
    <row r="831" spans="17:24" x14ac:dyDescent="0.25">
      <c r="Q831" s="33"/>
      <c r="S831" s="57"/>
      <c r="W831" s="69"/>
      <c r="X831" s="5"/>
    </row>
    <row r="832" spans="17:24" x14ac:dyDescent="0.25">
      <c r="Q832" s="33"/>
      <c r="S832" s="57"/>
      <c r="W832" s="69"/>
      <c r="X832" s="5"/>
    </row>
    <row r="833" spans="17:24" x14ac:dyDescent="0.25">
      <c r="Q833" s="33"/>
      <c r="S833" s="57"/>
      <c r="W833" s="69"/>
      <c r="X833" s="5"/>
    </row>
    <row r="834" spans="17:24" x14ac:dyDescent="0.25">
      <c r="Q834" s="33"/>
      <c r="S834" s="57"/>
      <c r="W834" s="69"/>
      <c r="X834" s="5"/>
    </row>
    <row r="835" spans="17:24" x14ac:dyDescent="0.25">
      <c r="Q835" s="33"/>
      <c r="S835" s="57"/>
      <c r="W835" s="69"/>
      <c r="X835" s="5"/>
    </row>
    <row r="836" spans="17:24" x14ac:dyDescent="0.25">
      <c r="Q836" s="33"/>
      <c r="S836" s="57"/>
      <c r="W836" s="69"/>
      <c r="X836" s="5"/>
    </row>
    <row r="837" spans="17:24" x14ac:dyDescent="0.25">
      <c r="Q837" s="33"/>
      <c r="S837" s="57"/>
      <c r="W837" s="69"/>
      <c r="X837" s="5"/>
    </row>
    <row r="838" spans="17:24" x14ac:dyDescent="0.25">
      <c r="Q838" s="33"/>
      <c r="S838" s="57"/>
      <c r="W838" s="69"/>
      <c r="X838" s="5"/>
    </row>
    <row r="839" spans="17:24" x14ac:dyDescent="0.25">
      <c r="Q839" s="33"/>
      <c r="S839" s="57"/>
      <c r="W839" s="69"/>
      <c r="X839" s="5"/>
    </row>
    <row r="840" spans="17:24" x14ac:dyDescent="0.25">
      <c r="Q840" s="33"/>
      <c r="S840" s="57"/>
      <c r="W840" s="69"/>
      <c r="X840" s="5"/>
    </row>
    <row r="841" spans="17:24" x14ac:dyDescent="0.25">
      <c r="Q841" s="33"/>
      <c r="S841" s="57"/>
      <c r="W841" s="69"/>
      <c r="X841" s="5"/>
    </row>
    <row r="842" spans="17:24" x14ac:dyDescent="0.25">
      <c r="Q842" s="33"/>
      <c r="S842" s="57"/>
      <c r="W842" s="69"/>
      <c r="X842" s="5"/>
    </row>
    <row r="843" spans="17:24" x14ac:dyDescent="0.25">
      <c r="Q843" s="33"/>
      <c r="S843" s="57"/>
      <c r="W843" s="69"/>
      <c r="X843" s="5"/>
    </row>
    <row r="844" spans="17:24" x14ac:dyDescent="0.25">
      <c r="Q844" s="33"/>
      <c r="S844" s="57"/>
      <c r="W844" s="69"/>
      <c r="X844" s="5"/>
    </row>
    <row r="845" spans="17:24" x14ac:dyDescent="0.25">
      <c r="Q845" s="33"/>
      <c r="S845" s="57"/>
      <c r="W845" s="69"/>
      <c r="X845" s="5"/>
    </row>
    <row r="846" spans="17:24" x14ac:dyDescent="0.25">
      <c r="Q846" s="33"/>
      <c r="S846" s="57"/>
      <c r="W846" s="69"/>
      <c r="X846" s="5"/>
    </row>
    <row r="847" spans="17:24" x14ac:dyDescent="0.25">
      <c r="Q847" s="33"/>
      <c r="S847" s="57"/>
      <c r="W847" s="69"/>
      <c r="X847" s="5"/>
    </row>
    <row r="848" spans="17:24" x14ac:dyDescent="0.25">
      <c r="Q848" s="33"/>
      <c r="S848" s="57"/>
      <c r="W848" s="69"/>
      <c r="X848" s="5"/>
    </row>
    <row r="849" spans="17:24" x14ac:dyDescent="0.25">
      <c r="Q849" s="33"/>
      <c r="S849" s="57"/>
      <c r="W849" s="69"/>
      <c r="X849" s="5"/>
    </row>
    <row r="850" spans="17:24" x14ac:dyDescent="0.25">
      <c r="Q850" s="33"/>
      <c r="S850" s="57"/>
      <c r="W850" s="69"/>
      <c r="X850" s="5"/>
    </row>
    <row r="851" spans="17:24" x14ac:dyDescent="0.25">
      <c r="Q851" s="33"/>
      <c r="S851" s="57"/>
      <c r="W851" s="69"/>
      <c r="X851" s="5"/>
    </row>
    <row r="852" spans="17:24" x14ac:dyDescent="0.25">
      <c r="Q852" s="33"/>
      <c r="S852" s="57"/>
      <c r="W852" s="69"/>
      <c r="X852" s="5"/>
    </row>
    <row r="853" spans="17:24" x14ac:dyDescent="0.25">
      <c r="Q853" s="33"/>
      <c r="S853" s="57"/>
      <c r="W853" s="69"/>
      <c r="X853" s="5"/>
    </row>
    <row r="854" spans="17:24" x14ac:dyDescent="0.25">
      <c r="Q854" s="33"/>
      <c r="S854" s="57"/>
      <c r="W854" s="69"/>
      <c r="X854" s="5"/>
    </row>
    <row r="855" spans="17:24" x14ac:dyDescent="0.25">
      <c r="Q855" s="33"/>
      <c r="S855" s="57"/>
      <c r="W855" s="69"/>
      <c r="X855" s="5"/>
    </row>
    <row r="856" spans="17:24" x14ac:dyDescent="0.25">
      <c r="Q856" s="33"/>
      <c r="S856" s="57"/>
      <c r="W856" s="69"/>
      <c r="X856" s="5"/>
    </row>
    <row r="857" spans="17:24" x14ac:dyDescent="0.25">
      <c r="Q857" s="33"/>
      <c r="S857" s="57"/>
      <c r="W857" s="69"/>
      <c r="X857" s="5"/>
    </row>
    <row r="858" spans="17:24" x14ac:dyDescent="0.25">
      <c r="Q858" s="33"/>
      <c r="S858" s="57"/>
      <c r="W858" s="69"/>
      <c r="X858" s="5"/>
    </row>
    <row r="859" spans="17:24" x14ac:dyDescent="0.25">
      <c r="Q859" s="33"/>
      <c r="S859" s="57"/>
      <c r="W859" s="69"/>
      <c r="X859" s="5"/>
    </row>
    <row r="860" spans="17:24" x14ac:dyDescent="0.25">
      <c r="Q860" s="33"/>
      <c r="S860" s="57"/>
      <c r="W860" s="69"/>
      <c r="X860" s="5"/>
    </row>
    <row r="861" spans="17:24" x14ac:dyDescent="0.25">
      <c r="Q861" s="33"/>
      <c r="S861" s="57"/>
      <c r="W861" s="69"/>
      <c r="X861" s="5"/>
    </row>
    <row r="862" spans="17:24" x14ac:dyDescent="0.25">
      <c r="Q862" s="33"/>
      <c r="S862" s="57"/>
      <c r="W862" s="69"/>
      <c r="X862" s="5"/>
    </row>
    <row r="863" spans="17:24" x14ac:dyDescent="0.25">
      <c r="Q863" s="33"/>
      <c r="S863" s="57"/>
      <c r="W863" s="69"/>
      <c r="X863" s="5"/>
    </row>
    <row r="864" spans="17:24" x14ac:dyDescent="0.25">
      <c r="Q864" s="33"/>
      <c r="S864" s="57"/>
      <c r="W864" s="69"/>
      <c r="X864" s="5"/>
    </row>
    <row r="865" spans="17:24" x14ac:dyDescent="0.25">
      <c r="Q865" s="33"/>
      <c r="S865" s="57"/>
      <c r="W865" s="69"/>
      <c r="X865" s="5"/>
    </row>
    <row r="866" spans="17:24" x14ac:dyDescent="0.25">
      <c r="Q866" s="33"/>
      <c r="S866" s="57"/>
      <c r="W866" s="69"/>
      <c r="X866" s="5"/>
    </row>
    <row r="867" spans="17:24" x14ac:dyDescent="0.25">
      <c r="Q867" s="33"/>
      <c r="S867" s="57"/>
      <c r="W867" s="69"/>
      <c r="X867" s="5"/>
    </row>
    <row r="868" spans="17:24" x14ac:dyDescent="0.25">
      <c r="Q868" s="33"/>
      <c r="S868" s="57"/>
      <c r="W868" s="69"/>
      <c r="X868" s="5"/>
    </row>
    <row r="869" spans="17:24" x14ac:dyDescent="0.25">
      <c r="Q869" s="33"/>
      <c r="S869" s="57"/>
      <c r="W869" s="69"/>
      <c r="X869" s="5"/>
    </row>
    <row r="870" spans="17:24" x14ac:dyDescent="0.25">
      <c r="Q870" s="33"/>
      <c r="S870" s="57"/>
      <c r="W870" s="69"/>
      <c r="X870" s="5"/>
    </row>
    <row r="871" spans="17:24" x14ac:dyDescent="0.25">
      <c r="Q871" s="33"/>
      <c r="S871" s="57"/>
      <c r="W871" s="69"/>
      <c r="X871" s="5"/>
    </row>
    <row r="872" spans="17:24" x14ac:dyDescent="0.25">
      <c r="Q872" s="33"/>
      <c r="S872" s="57"/>
      <c r="W872" s="69"/>
      <c r="X872" s="5"/>
    </row>
    <row r="873" spans="17:24" x14ac:dyDescent="0.25">
      <c r="Q873" s="33"/>
      <c r="S873" s="57"/>
      <c r="W873" s="69"/>
      <c r="X873" s="5"/>
    </row>
    <row r="874" spans="17:24" x14ac:dyDescent="0.25">
      <c r="Q874" s="33"/>
      <c r="S874" s="57"/>
      <c r="W874" s="69"/>
      <c r="X874" s="5"/>
    </row>
    <row r="875" spans="17:24" x14ac:dyDescent="0.25">
      <c r="Q875" s="33"/>
      <c r="S875" s="57"/>
      <c r="W875" s="69"/>
      <c r="X875" s="5"/>
    </row>
    <row r="876" spans="17:24" x14ac:dyDescent="0.25">
      <c r="Q876" s="33"/>
      <c r="S876" s="57"/>
      <c r="W876" s="69"/>
      <c r="X876" s="5"/>
    </row>
    <row r="877" spans="17:24" x14ac:dyDescent="0.25">
      <c r="Q877" s="33"/>
      <c r="S877" s="57"/>
      <c r="W877" s="69"/>
      <c r="X877" s="5"/>
    </row>
    <row r="878" spans="17:24" x14ac:dyDescent="0.25">
      <c r="Q878" s="33"/>
      <c r="S878" s="57"/>
      <c r="W878" s="69"/>
      <c r="X878" s="5"/>
    </row>
    <row r="879" spans="17:24" x14ac:dyDescent="0.25">
      <c r="Q879" s="33"/>
      <c r="S879" s="57"/>
      <c r="W879" s="69"/>
      <c r="X879" s="5"/>
    </row>
    <row r="880" spans="17:24" x14ac:dyDescent="0.25">
      <c r="Q880" s="33"/>
      <c r="S880" s="57"/>
      <c r="W880" s="69"/>
      <c r="X880" s="5"/>
    </row>
    <row r="881" spans="17:24" x14ac:dyDescent="0.25">
      <c r="Q881" s="33"/>
      <c r="S881" s="57"/>
      <c r="W881" s="69"/>
      <c r="X881" s="5"/>
    </row>
    <row r="882" spans="17:24" x14ac:dyDescent="0.25">
      <c r="Q882" s="33"/>
      <c r="S882" s="57"/>
      <c r="W882" s="69"/>
      <c r="X882" s="5"/>
    </row>
    <row r="883" spans="17:24" x14ac:dyDescent="0.25">
      <c r="Q883" s="33"/>
      <c r="S883" s="57"/>
      <c r="W883" s="69"/>
      <c r="X883" s="5"/>
    </row>
    <row r="884" spans="17:24" x14ac:dyDescent="0.25">
      <c r="Q884" s="33"/>
      <c r="S884" s="57"/>
      <c r="W884" s="69"/>
      <c r="X884" s="5"/>
    </row>
    <row r="885" spans="17:24" x14ac:dyDescent="0.25">
      <c r="Q885" s="33"/>
      <c r="S885" s="57"/>
      <c r="W885" s="69"/>
      <c r="X885" s="5"/>
    </row>
    <row r="886" spans="17:24" x14ac:dyDescent="0.25">
      <c r="Q886" s="33"/>
      <c r="S886" s="57"/>
      <c r="W886" s="69"/>
      <c r="X886" s="5"/>
    </row>
    <row r="887" spans="17:24" x14ac:dyDescent="0.25">
      <c r="Q887" s="33"/>
      <c r="S887" s="57"/>
      <c r="W887" s="69"/>
      <c r="X887" s="5"/>
    </row>
    <row r="888" spans="17:24" x14ac:dyDescent="0.25">
      <c r="Q888" s="33"/>
      <c r="S888" s="57"/>
      <c r="W888" s="69"/>
      <c r="X888" s="5"/>
    </row>
    <row r="889" spans="17:24" x14ac:dyDescent="0.25">
      <c r="Q889" s="33"/>
      <c r="S889" s="57"/>
      <c r="W889" s="69"/>
      <c r="X889" s="5"/>
    </row>
    <row r="890" spans="17:24" x14ac:dyDescent="0.25">
      <c r="Q890" s="33"/>
      <c r="S890" s="57"/>
      <c r="W890" s="69"/>
      <c r="X890" s="5"/>
    </row>
    <row r="891" spans="17:24" x14ac:dyDescent="0.25">
      <c r="Q891" s="33"/>
      <c r="S891" s="57"/>
      <c r="W891" s="69"/>
      <c r="X891" s="5"/>
    </row>
    <row r="892" spans="17:24" x14ac:dyDescent="0.25">
      <c r="Q892" s="33"/>
      <c r="S892" s="57"/>
      <c r="W892" s="69"/>
      <c r="X892" s="5"/>
    </row>
    <row r="893" spans="17:24" x14ac:dyDescent="0.25">
      <c r="Q893" s="33"/>
      <c r="S893" s="57"/>
      <c r="W893" s="69"/>
      <c r="X893" s="5"/>
    </row>
    <row r="894" spans="17:24" x14ac:dyDescent="0.25">
      <c r="Q894" s="33"/>
      <c r="S894" s="57"/>
      <c r="W894" s="69"/>
      <c r="X894" s="5"/>
    </row>
    <row r="895" spans="17:24" x14ac:dyDescent="0.25">
      <c r="Q895" s="33"/>
      <c r="S895" s="57"/>
      <c r="W895" s="69"/>
      <c r="X895" s="5"/>
    </row>
    <row r="896" spans="17:24" x14ac:dyDescent="0.25">
      <c r="Q896" s="33"/>
      <c r="S896" s="57"/>
      <c r="W896" s="69"/>
      <c r="X896" s="5"/>
    </row>
    <row r="897" spans="17:24" x14ac:dyDescent="0.25">
      <c r="Q897" s="33"/>
      <c r="S897" s="57"/>
      <c r="W897" s="69"/>
      <c r="X897" s="5"/>
    </row>
    <row r="898" spans="17:24" x14ac:dyDescent="0.25">
      <c r="Q898" s="33"/>
      <c r="S898" s="57"/>
      <c r="W898" s="69"/>
      <c r="X898" s="5"/>
    </row>
    <row r="899" spans="17:24" x14ac:dyDescent="0.25">
      <c r="Q899" s="33"/>
      <c r="S899" s="57"/>
      <c r="W899" s="69"/>
      <c r="X899" s="5"/>
    </row>
    <row r="900" spans="17:24" x14ac:dyDescent="0.25">
      <c r="Q900" s="33"/>
      <c r="S900" s="57"/>
      <c r="W900" s="69"/>
      <c r="X900" s="5"/>
    </row>
    <row r="901" spans="17:24" x14ac:dyDescent="0.25">
      <c r="Q901" s="33"/>
      <c r="S901" s="57"/>
      <c r="W901" s="69"/>
      <c r="X901" s="5"/>
    </row>
    <row r="902" spans="17:24" x14ac:dyDescent="0.25">
      <c r="Q902" s="33"/>
      <c r="S902" s="57"/>
      <c r="W902" s="69"/>
      <c r="X902" s="5"/>
    </row>
    <row r="903" spans="17:24" x14ac:dyDescent="0.25">
      <c r="Q903" s="33"/>
      <c r="S903" s="57"/>
      <c r="W903" s="69"/>
      <c r="X903" s="5"/>
    </row>
    <row r="904" spans="17:24" x14ac:dyDescent="0.25">
      <c r="Q904" s="33"/>
      <c r="S904" s="57"/>
      <c r="W904" s="69"/>
      <c r="X904" s="5"/>
    </row>
    <row r="905" spans="17:24" x14ac:dyDescent="0.25">
      <c r="Q905" s="33"/>
      <c r="S905" s="57"/>
      <c r="W905" s="69"/>
      <c r="X905" s="5"/>
    </row>
    <row r="906" spans="17:24" x14ac:dyDescent="0.25">
      <c r="Q906" s="33"/>
      <c r="S906" s="57"/>
      <c r="W906" s="69"/>
      <c r="X906" s="5"/>
    </row>
    <row r="907" spans="17:24" x14ac:dyDescent="0.25">
      <c r="Q907" s="33"/>
      <c r="S907" s="57"/>
      <c r="W907" s="69"/>
      <c r="X907" s="5"/>
    </row>
    <row r="908" spans="17:24" x14ac:dyDescent="0.25">
      <c r="Q908" s="33"/>
      <c r="S908" s="57"/>
      <c r="W908" s="69"/>
      <c r="X908" s="5"/>
    </row>
    <row r="909" spans="17:24" x14ac:dyDescent="0.25">
      <c r="Q909" s="33"/>
      <c r="S909" s="57"/>
      <c r="W909" s="69"/>
      <c r="X909" s="5"/>
    </row>
    <row r="910" spans="17:24" x14ac:dyDescent="0.25">
      <c r="Q910" s="33"/>
      <c r="S910" s="57"/>
      <c r="W910" s="69"/>
      <c r="X910" s="5"/>
    </row>
    <row r="911" spans="17:24" x14ac:dyDescent="0.25">
      <c r="Q911" s="33"/>
      <c r="S911" s="57"/>
      <c r="W911" s="69"/>
      <c r="X911" s="5"/>
    </row>
    <row r="912" spans="17:24" x14ac:dyDescent="0.25">
      <c r="Q912" s="33"/>
      <c r="S912" s="57"/>
      <c r="W912" s="69"/>
      <c r="X912" s="5"/>
    </row>
    <row r="913" spans="17:24" x14ac:dyDescent="0.25">
      <c r="Q913" s="33"/>
      <c r="S913" s="57"/>
      <c r="W913" s="69"/>
      <c r="X913" s="5"/>
    </row>
    <row r="914" spans="17:24" x14ac:dyDescent="0.25">
      <c r="Q914" s="33"/>
      <c r="S914" s="57"/>
      <c r="W914" s="69"/>
      <c r="X914" s="5"/>
    </row>
    <row r="915" spans="17:24" x14ac:dyDescent="0.25">
      <c r="Q915" s="33"/>
      <c r="S915" s="57"/>
      <c r="W915" s="69"/>
      <c r="X915" s="5"/>
    </row>
    <row r="916" spans="17:24" x14ac:dyDescent="0.25">
      <c r="Q916" s="33"/>
      <c r="S916" s="57"/>
      <c r="W916" s="69"/>
      <c r="X916" s="5"/>
    </row>
    <row r="917" spans="17:24" x14ac:dyDescent="0.25">
      <c r="Q917" s="33"/>
      <c r="S917" s="57"/>
      <c r="W917" s="69"/>
      <c r="X917" s="5"/>
    </row>
    <row r="918" spans="17:24" x14ac:dyDescent="0.25">
      <c r="Q918" s="33"/>
      <c r="S918" s="57"/>
      <c r="W918" s="69"/>
      <c r="X918" s="5"/>
    </row>
    <row r="919" spans="17:24" x14ac:dyDescent="0.25">
      <c r="Q919" s="33"/>
      <c r="S919" s="57"/>
      <c r="W919" s="69"/>
      <c r="X919" s="5"/>
    </row>
    <row r="920" spans="17:24" x14ac:dyDescent="0.25">
      <c r="Q920" s="33"/>
      <c r="S920" s="57"/>
      <c r="W920" s="69"/>
      <c r="X920" s="5"/>
    </row>
    <row r="921" spans="17:24" x14ac:dyDescent="0.25">
      <c r="Q921" s="33"/>
      <c r="S921" s="57"/>
      <c r="W921" s="69"/>
      <c r="X921" s="5"/>
    </row>
    <row r="922" spans="17:24" x14ac:dyDescent="0.25">
      <c r="Q922" s="33"/>
      <c r="S922" s="57"/>
      <c r="W922" s="69"/>
      <c r="X922" s="5"/>
    </row>
    <row r="923" spans="17:24" x14ac:dyDescent="0.25">
      <c r="Q923" s="33"/>
      <c r="S923" s="57"/>
      <c r="W923" s="69"/>
      <c r="X923" s="5"/>
    </row>
    <row r="924" spans="17:24" x14ac:dyDescent="0.25">
      <c r="Q924" s="33"/>
      <c r="S924" s="57"/>
      <c r="W924" s="69"/>
      <c r="X924" s="5"/>
    </row>
    <row r="925" spans="17:24" x14ac:dyDescent="0.25">
      <c r="Q925" s="33"/>
      <c r="S925" s="57"/>
      <c r="W925" s="69"/>
      <c r="X925" s="5"/>
    </row>
    <row r="926" spans="17:24" x14ac:dyDescent="0.25">
      <c r="Q926" s="33"/>
      <c r="S926" s="57"/>
      <c r="W926" s="69"/>
      <c r="X926" s="5"/>
    </row>
    <row r="927" spans="17:24" x14ac:dyDescent="0.25">
      <c r="Q927" s="33"/>
      <c r="S927" s="57"/>
      <c r="W927" s="69"/>
      <c r="X927" s="5"/>
    </row>
    <row r="928" spans="17:24" x14ac:dyDescent="0.25">
      <c r="Q928" s="33"/>
      <c r="S928" s="57"/>
      <c r="W928" s="69"/>
      <c r="X928" s="5"/>
    </row>
    <row r="929" spans="17:24" x14ac:dyDescent="0.25">
      <c r="Q929" s="33"/>
      <c r="S929" s="57"/>
      <c r="W929" s="69"/>
      <c r="X929" s="5"/>
    </row>
    <row r="930" spans="17:24" x14ac:dyDescent="0.25">
      <c r="Q930" s="33"/>
      <c r="S930" s="57"/>
      <c r="W930" s="69"/>
      <c r="X930" s="5"/>
    </row>
    <row r="931" spans="17:24" x14ac:dyDescent="0.25">
      <c r="Q931" s="33"/>
      <c r="S931" s="57"/>
      <c r="W931" s="69"/>
      <c r="X931" s="5"/>
    </row>
    <row r="932" spans="17:24" x14ac:dyDescent="0.25">
      <c r="Q932" s="33"/>
      <c r="S932" s="57"/>
      <c r="W932" s="69"/>
      <c r="X932" s="5"/>
    </row>
    <row r="933" spans="17:24" x14ac:dyDescent="0.25">
      <c r="Q933" s="33"/>
      <c r="S933" s="57"/>
      <c r="W933" s="69"/>
      <c r="X933" s="5"/>
    </row>
    <row r="934" spans="17:24" x14ac:dyDescent="0.25">
      <c r="Q934" s="33"/>
      <c r="S934" s="57"/>
      <c r="W934" s="69"/>
      <c r="X934" s="5"/>
    </row>
    <row r="935" spans="17:24" x14ac:dyDescent="0.25">
      <c r="Q935" s="33"/>
      <c r="S935" s="57"/>
      <c r="W935" s="69"/>
      <c r="X935" s="5"/>
    </row>
    <row r="936" spans="17:24" x14ac:dyDescent="0.25">
      <c r="Q936" s="33"/>
      <c r="S936" s="57"/>
      <c r="W936" s="69"/>
      <c r="X936" s="5"/>
    </row>
    <row r="937" spans="17:24" x14ac:dyDescent="0.25">
      <c r="Q937" s="33"/>
      <c r="S937" s="57"/>
      <c r="W937" s="69"/>
      <c r="X937" s="5"/>
    </row>
    <row r="938" spans="17:24" x14ac:dyDescent="0.25">
      <c r="Q938" s="33"/>
      <c r="S938" s="57"/>
      <c r="W938" s="69"/>
      <c r="X938" s="5"/>
    </row>
    <row r="939" spans="17:24" x14ac:dyDescent="0.25">
      <c r="Q939" s="33"/>
      <c r="S939" s="57"/>
      <c r="W939" s="69"/>
      <c r="X939" s="5"/>
    </row>
    <row r="940" spans="17:24" x14ac:dyDescent="0.25">
      <c r="Q940" s="33"/>
      <c r="S940" s="57"/>
      <c r="W940" s="69"/>
      <c r="X940" s="5"/>
    </row>
    <row r="941" spans="17:24" x14ac:dyDescent="0.25">
      <c r="Q941" s="33"/>
      <c r="S941" s="57"/>
      <c r="W941" s="69"/>
      <c r="X941" s="5"/>
    </row>
    <row r="942" spans="17:24" x14ac:dyDescent="0.25">
      <c r="Q942" s="33"/>
      <c r="S942" s="57"/>
      <c r="W942" s="69"/>
      <c r="X942" s="5"/>
    </row>
    <row r="943" spans="17:24" x14ac:dyDescent="0.25">
      <c r="Q943" s="33"/>
      <c r="S943" s="57"/>
      <c r="W943" s="69"/>
      <c r="X943" s="5"/>
    </row>
    <row r="944" spans="17:24" x14ac:dyDescent="0.25">
      <c r="Q944" s="33"/>
      <c r="S944" s="57"/>
      <c r="W944" s="69"/>
      <c r="X944" s="5"/>
    </row>
    <row r="945" spans="17:24" x14ac:dyDescent="0.25">
      <c r="Q945" s="33"/>
      <c r="S945" s="57"/>
      <c r="W945" s="69"/>
      <c r="X945" s="5"/>
    </row>
    <row r="946" spans="17:24" x14ac:dyDescent="0.25">
      <c r="Q946" s="33"/>
      <c r="S946" s="57"/>
      <c r="W946" s="69"/>
      <c r="X946" s="5"/>
    </row>
    <row r="947" spans="17:24" x14ac:dyDescent="0.25">
      <c r="Q947" s="33"/>
      <c r="S947" s="57"/>
      <c r="W947" s="69"/>
      <c r="X947" s="5"/>
    </row>
    <row r="948" spans="17:24" x14ac:dyDescent="0.25">
      <c r="Q948" s="33"/>
      <c r="S948" s="57"/>
      <c r="W948" s="69"/>
      <c r="X948" s="5"/>
    </row>
    <row r="949" spans="17:24" x14ac:dyDescent="0.25">
      <c r="Q949" s="33"/>
      <c r="S949" s="57"/>
      <c r="W949" s="69"/>
      <c r="X949" s="5"/>
    </row>
    <row r="950" spans="17:24" x14ac:dyDescent="0.25">
      <c r="Q950" s="33"/>
      <c r="S950" s="57"/>
      <c r="W950" s="69"/>
      <c r="X950" s="5"/>
    </row>
    <row r="951" spans="17:24" x14ac:dyDescent="0.25">
      <c r="Q951" s="33"/>
      <c r="S951" s="57"/>
      <c r="W951" s="69"/>
      <c r="X951" s="5"/>
    </row>
    <row r="952" spans="17:24" x14ac:dyDescent="0.25">
      <c r="Q952" s="33"/>
      <c r="S952" s="57"/>
      <c r="W952" s="69"/>
      <c r="X952" s="5"/>
    </row>
    <row r="953" spans="17:24" x14ac:dyDescent="0.25">
      <c r="Q953" s="33"/>
      <c r="S953" s="57"/>
      <c r="W953" s="69"/>
      <c r="X953" s="5"/>
    </row>
    <row r="954" spans="17:24" x14ac:dyDescent="0.25">
      <c r="Q954" s="33"/>
      <c r="S954" s="57"/>
      <c r="W954" s="69"/>
      <c r="X954" s="5"/>
    </row>
    <row r="955" spans="17:24" x14ac:dyDescent="0.25">
      <c r="Q955" s="33"/>
      <c r="S955" s="57"/>
      <c r="W955" s="69"/>
      <c r="X955" s="5"/>
    </row>
    <row r="956" spans="17:24" x14ac:dyDescent="0.25">
      <c r="Q956" s="33"/>
      <c r="S956" s="57"/>
      <c r="W956" s="69"/>
      <c r="X956" s="5"/>
    </row>
    <row r="957" spans="17:24" x14ac:dyDescent="0.25">
      <c r="Q957" s="33"/>
      <c r="S957" s="57"/>
      <c r="W957" s="69"/>
      <c r="X957" s="5"/>
    </row>
    <row r="958" spans="17:24" x14ac:dyDescent="0.25">
      <c r="Q958" s="33"/>
      <c r="S958" s="57"/>
      <c r="W958" s="69"/>
      <c r="X958" s="5"/>
    </row>
    <row r="959" spans="17:24" x14ac:dyDescent="0.25">
      <c r="Q959" s="33"/>
      <c r="S959" s="57"/>
      <c r="W959" s="69"/>
      <c r="X959" s="5"/>
    </row>
    <row r="960" spans="17:24" x14ac:dyDescent="0.25">
      <c r="Q960" s="33"/>
      <c r="S960" s="57"/>
      <c r="W960" s="69"/>
      <c r="X960" s="5"/>
    </row>
    <row r="961" spans="17:24" x14ac:dyDescent="0.25">
      <c r="Q961" s="33"/>
      <c r="S961" s="57"/>
      <c r="W961" s="69"/>
      <c r="X961" s="5"/>
    </row>
    <row r="962" spans="17:24" x14ac:dyDescent="0.25">
      <c r="Q962" s="33"/>
      <c r="S962" s="57"/>
      <c r="W962" s="69"/>
      <c r="X962" s="5"/>
    </row>
    <row r="963" spans="17:24" x14ac:dyDescent="0.25">
      <c r="Q963" s="33"/>
      <c r="S963" s="57"/>
      <c r="W963" s="69"/>
      <c r="X963" s="5"/>
    </row>
    <row r="964" spans="17:24" x14ac:dyDescent="0.25">
      <c r="Q964" s="33"/>
      <c r="S964" s="57"/>
      <c r="W964" s="69"/>
      <c r="X964" s="5"/>
    </row>
    <row r="965" spans="17:24" x14ac:dyDescent="0.25">
      <c r="Q965" s="33"/>
      <c r="S965" s="57"/>
      <c r="W965" s="69"/>
      <c r="X965" s="5"/>
    </row>
    <row r="966" spans="17:24" x14ac:dyDescent="0.25">
      <c r="Q966" s="33"/>
      <c r="S966" s="57"/>
      <c r="W966" s="69"/>
      <c r="X966" s="5"/>
    </row>
    <row r="967" spans="17:24" x14ac:dyDescent="0.25">
      <c r="Q967" s="33"/>
      <c r="S967" s="57"/>
      <c r="W967" s="69"/>
      <c r="X967" s="5"/>
    </row>
    <row r="968" spans="17:24" x14ac:dyDescent="0.25">
      <c r="Q968" s="33"/>
      <c r="S968" s="57"/>
      <c r="W968" s="69"/>
      <c r="X968" s="5"/>
    </row>
    <row r="969" spans="17:24" x14ac:dyDescent="0.25">
      <c r="Q969" s="33"/>
      <c r="S969" s="57"/>
      <c r="W969" s="69"/>
      <c r="X969" s="5"/>
    </row>
    <row r="970" spans="17:24" x14ac:dyDescent="0.25">
      <c r="Q970" s="33"/>
      <c r="S970" s="57"/>
      <c r="W970" s="69"/>
      <c r="X970" s="5"/>
    </row>
    <row r="971" spans="17:24" x14ac:dyDescent="0.25">
      <c r="Q971" s="33"/>
      <c r="S971" s="57"/>
      <c r="W971" s="69"/>
      <c r="X971" s="5"/>
    </row>
    <row r="972" spans="17:24" x14ac:dyDescent="0.25">
      <c r="Q972" s="33"/>
      <c r="S972" s="57"/>
      <c r="W972" s="69"/>
      <c r="X972" s="5"/>
    </row>
    <row r="973" spans="17:24" x14ac:dyDescent="0.25">
      <c r="Q973" s="33"/>
      <c r="S973" s="57"/>
      <c r="W973" s="69"/>
      <c r="X973" s="5"/>
    </row>
    <row r="974" spans="17:24" x14ac:dyDescent="0.25">
      <c r="Q974" s="33"/>
      <c r="S974" s="57"/>
      <c r="W974" s="69"/>
      <c r="X974" s="5"/>
    </row>
    <row r="975" spans="17:24" x14ac:dyDescent="0.25">
      <c r="Q975" s="33"/>
      <c r="S975" s="57"/>
      <c r="W975" s="69"/>
      <c r="X975" s="5"/>
    </row>
    <row r="976" spans="17:24" x14ac:dyDescent="0.25">
      <c r="Q976" s="33"/>
      <c r="S976" s="57"/>
      <c r="W976" s="69"/>
      <c r="X976" s="5"/>
    </row>
    <row r="977" spans="17:24" x14ac:dyDescent="0.25">
      <c r="Q977" s="33"/>
      <c r="S977" s="57"/>
      <c r="W977" s="69"/>
      <c r="X977" s="5"/>
    </row>
    <row r="978" spans="17:24" x14ac:dyDescent="0.25">
      <c r="Q978" s="33"/>
      <c r="S978" s="57"/>
      <c r="W978" s="69"/>
      <c r="X978" s="5"/>
    </row>
    <row r="979" spans="17:24" x14ac:dyDescent="0.25">
      <c r="Q979" s="33"/>
      <c r="S979" s="57"/>
      <c r="W979" s="69"/>
      <c r="X979" s="5"/>
    </row>
    <row r="980" spans="17:24" x14ac:dyDescent="0.25">
      <c r="Q980" s="33"/>
      <c r="S980" s="57"/>
      <c r="W980" s="69"/>
      <c r="X980" s="5"/>
    </row>
    <row r="981" spans="17:24" x14ac:dyDescent="0.25">
      <c r="Q981" s="33"/>
      <c r="S981" s="57"/>
      <c r="W981" s="69"/>
      <c r="X981" s="5"/>
    </row>
    <row r="982" spans="17:24" x14ac:dyDescent="0.25">
      <c r="Q982" s="33"/>
      <c r="S982" s="57"/>
      <c r="W982" s="69"/>
      <c r="X982" s="5"/>
    </row>
    <row r="983" spans="17:24" x14ac:dyDescent="0.25">
      <c r="Q983" s="33"/>
      <c r="S983" s="57"/>
      <c r="W983" s="69"/>
      <c r="X983" s="5"/>
    </row>
    <row r="984" spans="17:24" x14ac:dyDescent="0.25">
      <c r="Q984" s="33"/>
      <c r="S984" s="57"/>
      <c r="W984" s="69"/>
      <c r="X984" s="5"/>
    </row>
    <row r="985" spans="17:24" x14ac:dyDescent="0.25">
      <c r="Q985" s="33"/>
      <c r="S985" s="57"/>
      <c r="W985" s="69"/>
      <c r="X985" s="5"/>
    </row>
    <row r="986" spans="17:24" x14ac:dyDescent="0.25">
      <c r="Q986" s="33"/>
      <c r="S986" s="57"/>
      <c r="W986" s="69"/>
      <c r="X986" s="5"/>
    </row>
    <row r="987" spans="17:24" x14ac:dyDescent="0.25">
      <c r="Q987" s="33"/>
      <c r="S987" s="57"/>
      <c r="W987" s="69"/>
      <c r="X987" s="5"/>
    </row>
    <row r="988" spans="17:24" x14ac:dyDescent="0.25">
      <c r="Q988" s="33"/>
      <c r="S988" s="57"/>
      <c r="W988" s="69"/>
      <c r="X988" s="5"/>
    </row>
    <row r="989" spans="17:24" x14ac:dyDescent="0.25">
      <c r="Q989" s="33"/>
      <c r="S989" s="57"/>
      <c r="W989" s="69"/>
      <c r="X989" s="5"/>
    </row>
    <row r="990" spans="17:24" x14ac:dyDescent="0.25">
      <c r="Q990" s="33"/>
      <c r="S990" s="57"/>
      <c r="W990" s="69"/>
      <c r="X990" s="5"/>
    </row>
    <row r="991" spans="17:24" x14ac:dyDescent="0.25">
      <c r="Q991" s="33"/>
      <c r="S991" s="57"/>
      <c r="W991" s="69"/>
      <c r="X991" s="5"/>
    </row>
    <row r="992" spans="17:24" x14ac:dyDescent="0.25">
      <c r="Q992" s="33"/>
      <c r="S992" s="57"/>
      <c r="W992" s="69"/>
      <c r="X992" s="5"/>
    </row>
    <row r="993" spans="17:24" x14ac:dyDescent="0.25">
      <c r="Q993" s="33"/>
      <c r="S993" s="57"/>
      <c r="W993" s="69"/>
      <c r="X993" s="5"/>
    </row>
    <row r="994" spans="17:24" x14ac:dyDescent="0.25">
      <c r="Q994" s="33"/>
      <c r="S994" s="57"/>
      <c r="W994" s="69"/>
      <c r="X994" s="5"/>
    </row>
    <row r="995" spans="17:24" x14ac:dyDescent="0.25">
      <c r="Q995" s="33"/>
      <c r="S995" s="57"/>
      <c r="W995" s="69"/>
      <c r="X995" s="5"/>
    </row>
    <row r="996" spans="17:24" x14ac:dyDescent="0.25">
      <c r="Q996" s="33"/>
      <c r="S996" s="57"/>
      <c r="W996" s="69"/>
      <c r="X996" s="5"/>
    </row>
    <row r="997" spans="17:24" x14ac:dyDescent="0.25">
      <c r="Q997" s="33"/>
      <c r="S997" s="57"/>
      <c r="W997" s="69"/>
      <c r="X997" s="5"/>
    </row>
    <row r="998" spans="17:24" x14ac:dyDescent="0.25">
      <c r="Q998" s="33"/>
      <c r="S998" s="57"/>
      <c r="W998" s="69"/>
      <c r="X998" s="5"/>
    </row>
    <row r="999" spans="17:24" x14ac:dyDescent="0.25">
      <c r="Q999" s="33"/>
      <c r="S999" s="57"/>
      <c r="W999" s="69"/>
      <c r="X999" s="5"/>
    </row>
    <row r="1000" spans="17:24" x14ac:dyDescent="0.25">
      <c r="Q1000" s="33"/>
      <c r="S1000" s="57"/>
      <c r="W1000" s="69"/>
      <c r="X1000" s="5"/>
    </row>
    <row r="1001" spans="17:24" x14ac:dyDescent="0.25">
      <c r="Q1001" s="33"/>
      <c r="S1001" s="57"/>
      <c r="W1001" s="69"/>
      <c r="X1001" s="5"/>
    </row>
    <row r="1002" spans="17:24" x14ac:dyDescent="0.25">
      <c r="Q1002" s="33"/>
      <c r="S1002" s="57"/>
      <c r="W1002" s="69"/>
      <c r="X1002" s="5"/>
    </row>
    <row r="1003" spans="17:24" x14ac:dyDescent="0.25">
      <c r="Q1003" s="33"/>
      <c r="S1003" s="57"/>
      <c r="W1003" s="69"/>
      <c r="X1003" s="5"/>
    </row>
    <row r="1004" spans="17:24" x14ac:dyDescent="0.25">
      <c r="Q1004" s="33"/>
      <c r="S1004" s="57"/>
      <c r="W1004" s="69"/>
      <c r="X1004" s="5"/>
    </row>
    <row r="1005" spans="17:24" x14ac:dyDescent="0.25">
      <c r="Q1005" s="33"/>
      <c r="S1005" s="57"/>
      <c r="W1005" s="69"/>
      <c r="X1005" s="5"/>
    </row>
    <row r="1006" spans="17:24" x14ac:dyDescent="0.25">
      <c r="Q1006" s="33"/>
      <c r="S1006" s="57"/>
      <c r="W1006" s="69"/>
      <c r="X1006" s="5"/>
    </row>
    <row r="1007" spans="17:24" x14ac:dyDescent="0.25">
      <c r="Q1007" s="33"/>
      <c r="S1007" s="57"/>
      <c r="W1007" s="69"/>
      <c r="X1007" s="5"/>
    </row>
    <row r="1008" spans="17:24" x14ac:dyDescent="0.25">
      <c r="Q1008" s="33"/>
      <c r="S1008" s="57"/>
      <c r="W1008" s="69"/>
      <c r="X1008" s="5"/>
    </row>
    <row r="1009" spans="17:24" x14ac:dyDescent="0.25">
      <c r="Q1009" s="33"/>
      <c r="S1009" s="57"/>
      <c r="W1009" s="69"/>
      <c r="X1009" s="5"/>
    </row>
    <row r="1010" spans="17:24" x14ac:dyDescent="0.25">
      <c r="Q1010" s="33"/>
      <c r="S1010" s="57"/>
      <c r="W1010" s="69"/>
      <c r="X1010" s="5"/>
    </row>
    <row r="1011" spans="17:24" x14ac:dyDescent="0.25">
      <c r="Q1011" s="33"/>
      <c r="S1011" s="57"/>
      <c r="W1011" s="69"/>
      <c r="X1011" s="5"/>
    </row>
    <row r="1012" spans="17:24" x14ac:dyDescent="0.25">
      <c r="Q1012" s="33"/>
      <c r="S1012" s="57"/>
      <c r="W1012" s="69"/>
      <c r="X1012" s="5"/>
    </row>
    <row r="1013" spans="17:24" x14ac:dyDescent="0.25">
      <c r="Q1013" s="33"/>
      <c r="S1013" s="57"/>
      <c r="W1013" s="69"/>
      <c r="X1013" s="5"/>
    </row>
    <row r="1014" spans="17:24" x14ac:dyDescent="0.25">
      <c r="Q1014" s="33"/>
      <c r="S1014" s="57"/>
      <c r="W1014" s="69"/>
      <c r="X1014" s="5"/>
    </row>
    <row r="1015" spans="17:24" x14ac:dyDescent="0.25">
      <c r="Q1015" s="33"/>
      <c r="S1015" s="57"/>
      <c r="W1015" s="69"/>
      <c r="X1015" s="5"/>
    </row>
    <row r="1016" spans="17:24" x14ac:dyDescent="0.25">
      <c r="Q1016" s="33"/>
      <c r="S1016" s="57"/>
      <c r="W1016" s="69"/>
      <c r="X1016" s="5"/>
    </row>
    <row r="1017" spans="17:24" x14ac:dyDescent="0.25">
      <c r="Q1017" s="33"/>
      <c r="S1017" s="57"/>
      <c r="W1017" s="69"/>
      <c r="X1017" s="5"/>
    </row>
    <row r="1018" spans="17:24" x14ac:dyDescent="0.25">
      <c r="Q1018" s="33"/>
      <c r="S1018" s="57"/>
      <c r="W1018" s="69"/>
      <c r="X1018" s="5"/>
    </row>
    <row r="1019" spans="17:24" x14ac:dyDescent="0.25">
      <c r="Q1019" s="33"/>
      <c r="S1019" s="57"/>
      <c r="W1019" s="69"/>
      <c r="X1019" s="5"/>
    </row>
    <row r="1020" spans="17:24" x14ac:dyDescent="0.25">
      <c r="Q1020" s="33"/>
      <c r="S1020" s="57"/>
      <c r="W1020" s="69"/>
      <c r="X1020" s="5"/>
    </row>
    <row r="1021" spans="17:24" x14ac:dyDescent="0.25">
      <c r="Q1021" s="33"/>
      <c r="S1021" s="57"/>
      <c r="W1021" s="69"/>
      <c r="X1021" s="5"/>
    </row>
    <row r="1022" spans="17:24" x14ac:dyDescent="0.25">
      <c r="Q1022" s="33"/>
      <c r="S1022" s="57"/>
      <c r="W1022" s="69"/>
      <c r="X1022" s="5"/>
    </row>
    <row r="1023" spans="17:24" x14ac:dyDescent="0.25">
      <c r="Q1023" s="33"/>
      <c r="S1023" s="57"/>
      <c r="W1023" s="69"/>
      <c r="X1023" s="5"/>
    </row>
    <row r="1024" spans="17:24" x14ac:dyDescent="0.25">
      <c r="Q1024" s="33"/>
      <c r="S1024" s="57"/>
      <c r="W1024" s="69"/>
      <c r="X1024" s="5"/>
    </row>
    <row r="1025" spans="17:24" x14ac:dyDescent="0.25">
      <c r="Q1025" s="33"/>
      <c r="S1025" s="57"/>
      <c r="W1025" s="69"/>
      <c r="X1025" s="5"/>
    </row>
    <row r="1026" spans="17:24" x14ac:dyDescent="0.25">
      <c r="Q1026" s="33"/>
      <c r="S1026" s="57"/>
      <c r="W1026" s="69"/>
      <c r="X1026" s="5"/>
    </row>
    <row r="1027" spans="17:24" x14ac:dyDescent="0.25">
      <c r="Q1027" s="33"/>
      <c r="S1027" s="57"/>
      <c r="W1027" s="69"/>
      <c r="X1027" s="5"/>
    </row>
    <row r="1028" spans="17:24" x14ac:dyDescent="0.25">
      <c r="Q1028" s="33"/>
      <c r="S1028" s="57"/>
      <c r="W1028" s="69"/>
      <c r="X1028" s="5"/>
    </row>
    <row r="1029" spans="17:24" x14ac:dyDescent="0.25">
      <c r="Q1029" s="33"/>
      <c r="S1029" s="57"/>
      <c r="W1029" s="69"/>
      <c r="X1029" s="5"/>
    </row>
    <row r="1030" spans="17:24" x14ac:dyDescent="0.25">
      <c r="Q1030" s="33"/>
      <c r="S1030" s="57"/>
      <c r="W1030" s="69"/>
      <c r="X1030" s="5"/>
    </row>
    <row r="1031" spans="17:24" x14ac:dyDescent="0.25">
      <c r="Q1031" s="33"/>
      <c r="S1031" s="57"/>
      <c r="W1031" s="69"/>
      <c r="X1031" s="5"/>
    </row>
    <row r="1032" spans="17:24" x14ac:dyDescent="0.25">
      <c r="Q1032" s="33"/>
      <c r="S1032" s="57"/>
      <c r="W1032" s="69"/>
      <c r="X1032" s="5"/>
    </row>
    <row r="1033" spans="17:24" x14ac:dyDescent="0.25">
      <c r="Q1033" s="33"/>
      <c r="S1033" s="57"/>
      <c r="W1033" s="69"/>
      <c r="X1033" s="5"/>
    </row>
    <row r="1034" spans="17:24" x14ac:dyDescent="0.25">
      <c r="Q1034" s="33"/>
      <c r="S1034" s="57"/>
      <c r="W1034" s="69"/>
      <c r="X1034" s="5"/>
    </row>
    <row r="1035" spans="17:24" x14ac:dyDescent="0.25">
      <c r="Q1035" s="33"/>
      <c r="S1035" s="57"/>
      <c r="W1035" s="69"/>
      <c r="X1035" s="5"/>
    </row>
    <row r="1036" spans="17:24" x14ac:dyDescent="0.25">
      <c r="Q1036" s="33"/>
      <c r="S1036" s="57"/>
      <c r="W1036" s="69"/>
      <c r="X1036" s="5"/>
    </row>
    <row r="1037" spans="17:24" x14ac:dyDescent="0.25">
      <c r="Q1037" s="33"/>
      <c r="S1037" s="57"/>
      <c r="W1037" s="69"/>
      <c r="X1037" s="5"/>
    </row>
    <row r="1038" spans="17:24" x14ac:dyDescent="0.25">
      <c r="Q1038" s="33"/>
      <c r="S1038" s="57"/>
      <c r="W1038" s="69"/>
      <c r="X1038" s="5"/>
    </row>
    <row r="1039" spans="17:24" x14ac:dyDescent="0.25">
      <c r="Q1039" s="33"/>
      <c r="S1039" s="57"/>
      <c r="W1039" s="69"/>
      <c r="X1039" s="5"/>
    </row>
    <row r="1040" spans="17:24" x14ac:dyDescent="0.25">
      <c r="Q1040" s="33"/>
      <c r="S1040" s="57"/>
      <c r="W1040" s="69"/>
      <c r="X1040" s="5"/>
    </row>
    <row r="1041" spans="17:24" x14ac:dyDescent="0.25">
      <c r="Q1041" s="33"/>
      <c r="S1041" s="57"/>
      <c r="W1041" s="69"/>
      <c r="X1041" s="5"/>
    </row>
    <row r="1042" spans="17:24" x14ac:dyDescent="0.25">
      <c r="Q1042" s="33"/>
      <c r="S1042" s="57"/>
      <c r="W1042" s="69"/>
      <c r="X1042" s="5"/>
    </row>
    <row r="1043" spans="17:24" x14ac:dyDescent="0.25">
      <c r="Q1043" s="33"/>
      <c r="S1043" s="57"/>
      <c r="W1043" s="69"/>
      <c r="X1043" s="5"/>
    </row>
    <row r="1044" spans="17:24" x14ac:dyDescent="0.25">
      <c r="Q1044" s="33"/>
      <c r="S1044" s="57"/>
      <c r="W1044" s="69"/>
      <c r="X1044" s="5"/>
    </row>
    <row r="1045" spans="17:24" x14ac:dyDescent="0.25">
      <c r="Q1045" s="33"/>
      <c r="S1045" s="57"/>
      <c r="W1045" s="69"/>
      <c r="X1045" s="5"/>
    </row>
    <row r="1046" spans="17:24" x14ac:dyDescent="0.25">
      <c r="Q1046" s="33"/>
      <c r="S1046" s="57"/>
      <c r="W1046" s="69"/>
      <c r="X1046" s="5"/>
    </row>
    <row r="1047" spans="17:24" x14ac:dyDescent="0.25">
      <c r="Q1047" s="33"/>
      <c r="S1047" s="57"/>
      <c r="W1047" s="69"/>
      <c r="X1047" s="5"/>
    </row>
    <row r="1048" spans="17:24" x14ac:dyDescent="0.25">
      <c r="Q1048" s="33"/>
      <c r="S1048" s="57"/>
      <c r="W1048" s="69"/>
      <c r="X1048" s="5"/>
    </row>
    <row r="1049" spans="17:24" x14ac:dyDescent="0.25">
      <c r="Q1049" s="33"/>
      <c r="S1049" s="57"/>
      <c r="W1049" s="69"/>
      <c r="X1049" s="5"/>
    </row>
    <row r="1050" spans="17:24" x14ac:dyDescent="0.25">
      <c r="Q1050" s="33"/>
      <c r="S1050" s="57"/>
      <c r="W1050" s="69"/>
      <c r="X1050" s="5"/>
    </row>
    <row r="1051" spans="17:24" x14ac:dyDescent="0.25">
      <c r="Q1051" s="33"/>
      <c r="S1051" s="57"/>
      <c r="W1051" s="69"/>
      <c r="X1051" s="5"/>
    </row>
    <row r="1052" spans="17:24" x14ac:dyDescent="0.25">
      <c r="Q1052" s="33"/>
      <c r="S1052" s="57"/>
      <c r="W1052" s="69"/>
      <c r="X1052" s="5"/>
    </row>
    <row r="1053" spans="17:24" x14ac:dyDescent="0.25">
      <c r="Q1053" s="33"/>
      <c r="S1053" s="57"/>
      <c r="W1053" s="69"/>
      <c r="X1053" s="5"/>
    </row>
    <row r="1054" spans="17:24" x14ac:dyDescent="0.25">
      <c r="Q1054" s="33"/>
      <c r="S1054" s="57"/>
      <c r="W1054" s="69"/>
      <c r="X1054" s="5"/>
    </row>
    <row r="1055" spans="17:24" x14ac:dyDescent="0.25">
      <c r="Q1055" s="33"/>
      <c r="S1055" s="57"/>
      <c r="W1055" s="69"/>
      <c r="X1055" s="5"/>
    </row>
    <row r="1056" spans="17:24" x14ac:dyDescent="0.25">
      <c r="Q1056" s="33"/>
      <c r="S1056" s="57"/>
      <c r="W1056" s="69"/>
      <c r="X1056" s="5"/>
    </row>
    <row r="1057" spans="17:24" x14ac:dyDescent="0.25">
      <c r="Q1057" s="33"/>
      <c r="S1057" s="57"/>
      <c r="W1057" s="69"/>
      <c r="X1057" s="5"/>
    </row>
    <row r="1058" spans="17:24" x14ac:dyDescent="0.25">
      <c r="Q1058" s="33"/>
      <c r="S1058" s="57"/>
      <c r="W1058" s="69"/>
      <c r="X1058" s="5"/>
    </row>
    <row r="1059" spans="17:24" x14ac:dyDescent="0.25">
      <c r="Q1059" s="33"/>
      <c r="S1059" s="57"/>
      <c r="W1059" s="69"/>
      <c r="X1059" s="5"/>
    </row>
    <row r="1060" spans="17:24" x14ac:dyDescent="0.25">
      <c r="Q1060" s="33"/>
      <c r="S1060" s="57"/>
      <c r="W1060" s="69"/>
      <c r="X1060" s="5"/>
    </row>
    <row r="1061" spans="17:24" x14ac:dyDescent="0.25">
      <c r="Q1061" s="33"/>
      <c r="S1061" s="57"/>
      <c r="W1061" s="69"/>
      <c r="X1061" s="5"/>
    </row>
    <row r="1062" spans="17:24" x14ac:dyDescent="0.25">
      <c r="Q1062" s="33"/>
      <c r="S1062" s="57"/>
      <c r="W1062" s="69"/>
      <c r="X1062" s="5"/>
    </row>
    <row r="1063" spans="17:24" x14ac:dyDescent="0.25">
      <c r="Q1063" s="33"/>
      <c r="S1063" s="57"/>
      <c r="W1063" s="69"/>
      <c r="X1063" s="5"/>
    </row>
    <row r="1064" spans="17:24" x14ac:dyDescent="0.25">
      <c r="Q1064" s="33"/>
      <c r="S1064" s="57"/>
      <c r="W1064" s="69"/>
      <c r="X1064" s="5"/>
    </row>
    <row r="1065" spans="17:24" x14ac:dyDescent="0.25">
      <c r="Q1065" s="33"/>
      <c r="S1065" s="57"/>
      <c r="W1065" s="69"/>
      <c r="X1065" s="5"/>
    </row>
    <row r="1066" spans="17:24" x14ac:dyDescent="0.25">
      <c r="Q1066" s="33"/>
      <c r="S1066" s="57"/>
      <c r="W1066" s="69"/>
      <c r="X1066" s="5"/>
    </row>
    <row r="1067" spans="17:24" x14ac:dyDescent="0.25">
      <c r="Q1067" s="33"/>
      <c r="S1067" s="57"/>
      <c r="W1067" s="69"/>
      <c r="X1067" s="5"/>
    </row>
    <row r="1068" spans="17:24" x14ac:dyDescent="0.25">
      <c r="Q1068" s="33"/>
      <c r="S1068" s="57"/>
      <c r="W1068" s="69"/>
      <c r="X1068" s="5"/>
    </row>
    <row r="1069" spans="17:24" x14ac:dyDescent="0.25">
      <c r="Q1069" s="33"/>
      <c r="S1069" s="57"/>
      <c r="W1069" s="69"/>
      <c r="X1069" s="5"/>
    </row>
    <row r="1070" spans="17:24" x14ac:dyDescent="0.25">
      <c r="Q1070" s="33"/>
      <c r="S1070" s="57"/>
      <c r="W1070" s="69"/>
      <c r="X1070" s="5"/>
    </row>
    <row r="1071" spans="17:24" x14ac:dyDescent="0.25">
      <c r="Q1071" s="33"/>
      <c r="S1071" s="57"/>
      <c r="W1071" s="69"/>
      <c r="X1071" s="5"/>
    </row>
    <row r="1072" spans="17:24" x14ac:dyDescent="0.25">
      <c r="Q1072" s="33"/>
      <c r="S1072" s="57"/>
      <c r="W1072" s="69"/>
      <c r="X1072" s="5"/>
    </row>
    <row r="1073" spans="17:24" x14ac:dyDescent="0.25">
      <c r="Q1073" s="33"/>
      <c r="S1073" s="57"/>
      <c r="W1073" s="69"/>
      <c r="X1073" s="5"/>
    </row>
    <row r="1074" spans="17:24" x14ac:dyDescent="0.25">
      <c r="Q1074" s="33"/>
      <c r="S1074" s="57"/>
      <c r="W1074" s="69"/>
      <c r="X1074" s="5"/>
    </row>
    <row r="1075" spans="17:24" x14ac:dyDescent="0.25">
      <c r="Q1075" s="33"/>
      <c r="S1075" s="57"/>
      <c r="W1075" s="69"/>
      <c r="X1075" s="5"/>
    </row>
    <row r="1076" spans="17:24" x14ac:dyDescent="0.25">
      <c r="Q1076" s="33"/>
      <c r="S1076" s="57"/>
      <c r="W1076" s="69"/>
      <c r="X1076" s="5"/>
    </row>
    <row r="1077" spans="17:24" x14ac:dyDescent="0.25">
      <c r="Q1077" s="33"/>
      <c r="S1077" s="57"/>
      <c r="W1077" s="69"/>
      <c r="X1077" s="5"/>
    </row>
    <row r="1078" spans="17:24" x14ac:dyDescent="0.25">
      <c r="Q1078" s="33"/>
      <c r="S1078" s="57"/>
      <c r="W1078" s="69"/>
      <c r="X1078" s="5"/>
    </row>
    <row r="1079" spans="17:24" x14ac:dyDescent="0.25">
      <c r="Q1079" s="33"/>
      <c r="S1079" s="57"/>
      <c r="W1079" s="69"/>
      <c r="X1079" s="5"/>
    </row>
    <row r="1080" spans="17:24" x14ac:dyDescent="0.25">
      <c r="Q1080" s="33"/>
      <c r="S1080" s="57"/>
      <c r="W1080" s="69"/>
      <c r="X1080" s="5"/>
    </row>
    <row r="1081" spans="17:24" x14ac:dyDescent="0.25">
      <c r="Q1081" s="33"/>
      <c r="S1081" s="57"/>
      <c r="W1081" s="69"/>
      <c r="X1081" s="5"/>
    </row>
    <row r="1082" spans="17:24" x14ac:dyDescent="0.25">
      <c r="Q1082" s="33"/>
      <c r="S1082" s="57"/>
      <c r="W1082" s="69"/>
      <c r="X1082" s="5"/>
    </row>
    <row r="1083" spans="17:24" x14ac:dyDescent="0.25">
      <c r="Q1083" s="33"/>
      <c r="S1083" s="57"/>
      <c r="W1083" s="69"/>
      <c r="X1083" s="5"/>
    </row>
    <row r="1084" spans="17:24" x14ac:dyDescent="0.25">
      <c r="Q1084" s="33"/>
      <c r="S1084" s="57"/>
      <c r="W1084" s="69"/>
      <c r="X1084" s="5"/>
    </row>
    <row r="1085" spans="17:24" x14ac:dyDescent="0.25">
      <c r="Q1085" s="33"/>
      <c r="S1085" s="57"/>
      <c r="W1085" s="69"/>
      <c r="X1085" s="5"/>
    </row>
    <row r="1086" spans="17:24" x14ac:dyDescent="0.25">
      <c r="Q1086" s="33"/>
      <c r="S1086" s="57"/>
      <c r="W1086" s="69"/>
      <c r="X1086" s="5"/>
    </row>
    <row r="1087" spans="17:24" x14ac:dyDescent="0.25">
      <c r="Q1087" s="33"/>
      <c r="S1087" s="57"/>
      <c r="W1087" s="69"/>
      <c r="X1087" s="5"/>
    </row>
    <row r="1088" spans="17:24" x14ac:dyDescent="0.25">
      <c r="Q1088" s="33"/>
      <c r="S1088" s="57"/>
      <c r="W1088" s="69"/>
      <c r="X1088" s="5"/>
    </row>
    <row r="1089" spans="17:24" x14ac:dyDescent="0.25">
      <c r="Q1089" s="33"/>
      <c r="S1089" s="57"/>
      <c r="W1089" s="69"/>
      <c r="X1089" s="5"/>
    </row>
    <row r="1090" spans="17:24" x14ac:dyDescent="0.25">
      <c r="Q1090" s="33"/>
      <c r="S1090" s="57"/>
      <c r="W1090" s="69"/>
      <c r="X1090" s="5"/>
    </row>
    <row r="1091" spans="17:24" x14ac:dyDescent="0.25">
      <c r="Q1091" s="33"/>
      <c r="S1091" s="57"/>
      <c r="W1091" s="69"/>
      <c r="X1091" s="5"/>
    </row>
    <row r="1092" spans="17:24" x14ac:dyDescent="0.25">
      <c r="Q1092" s="33"/>
      <c r="S1092" s="57"/>
      <c r="W1092" s="69"/>
      <c r="X1092" s="5"/>
    </row>
    <row r="1093" spans="17:24" x14ac:dyDescent="0.25">
      <c r="Q1093" s="33"/>
      <c r="S1093" s="57"/>
      <c r="W1093" s="69"/>
      <c r="X1093" s="5"/>
    </row>
    <row r="1094" spans="17:24" x14ac:dyDescent="0.25">
      <c r="Q1094" s="33"/>
      <c r="S1094" s="57"/>
      <c r="W1094" s="69"/>
      <c r="X1094" s="5"/>
    </row>
    <row r="1095" spans="17:24" x14ac:dyDescent="0.25">
      <c r="Q1095" s="33"/>
      <c r="S1095" s="57"/>
      <c r="W1095" s="69"/>
      <c r="X1095" s="5"/>
    </row>
    <row r="1096" spans="17:24" x14ac:dyDescent="0.25">
      <c r="Q1096" s="33"/>
      <c r="S1096" s="57"/>
      <c r="W1096" s="69"/>
      <c r="X1096" s="5"/>
    </row>
    <row r="1097" spans="17:24" x14ac:dyDescent="0.25">
      <c r="Q1097" s="33"/>
      <c r="S1097" s="57"/>
      <c r="W1097" s="69"/>
      <c r="X1097" s="5"/>
    </row>
    <row r="1098" spans="17:24" x14ac:dyDescent="0.25">
      <c r="Q1098" s="33"/>
      <c r="S1098" s="57"/>
      <c r="W1098" s="69"/>
      <c r="X1098" s="5"/>
    </row>
    <row r="1099" spans="17:24" x14ac:dyDescent="0.25">
      <c r="Q1099" s="33"/>
      <c r="S1099" s="57"/>
      <c r="W1099" s="69"/>
      <c r="X1099" s="5"/>
    </row>
    <row r="1100" spans="17:24" x14ac:dyDescent="0.25">
      <c r="Q1100" s="33"/>
      <c r="S1100" s="57"/>
      <c r="W1100" s="69"/>
      <c r="X1100" s="5"/>
    </row>
    <row r="1101" spans="17:24" x14ac:dyDescent="0.25">
      <c r="Q1101" s="33"/>
      <c r="S1101" s="57"/>
      <c r="W1101" s="69"/>
      <c r="X1101" s="5"/>
    </row>
    <row r="1102" spans="17:24" x14ac:dyDescent="0.25">
      <c r="Q1102" s="33"/>
      <c r="S1102" s="57"/>
      <c r="W1102" s="69"/>
      <c r="X1102" s="5"/>
    </row>
    <row r="1103" spans="17:24" x14ac:dyDescent="0.25">
      <c r="Q1103" s="33"/>
      <c r="S1103" s="57"/>
      <c r="W1103" s="69"/>
      <c r="X1103" s="5"/>
    </row>
    <row r="1104" spans="17:24" x14ac:dyDescent="0.25">
      <c r="Q1104" s="33"/>
      <c r="S1104" s="57"/>
      <c r="W1104" s="69"/>
      <c r="X1104" s="5"/>
    </row>
    <row r="1105" spans="17:24" x14ac:dyDescent="0.25">
      <c r="Q1105" s="33"/>
      <c r="S1105" s="57"/>
      <c r="W1105" s="69"/>
      <c r="X1105" s="5"/>
    </row>
    <row r="1106" spans="17:24" x14ac:dyDescent="0.25">
      <c r="Q1106" s="33"/>
      <c r="S1106" s="57"/>
      <c r="W1106" s="69"/>
      <c r="X1106" s="5"/>
    </row>
    <row r="1107" spans="17:24" x14ac:dyDescent="0.25">
      <c r="Q1107" s="33"/>
      <c r="S1107" s="57"/>
      <c r="W1107" s="69"/>
      <c r="X1107" s="5"/>
    </row>
    <row r="1108" spans="17:24" x14ac:dyDescent="0.25">
      <c r="Q1108" s="33"/>
      <c r="S1108" s="57"/>
      <c r="W1108" s="69"/>
      <c r="X1108" s="5"/>
    </row>
    <row r="1109" spans="17:24" x14ac:dyDescent="0.25">
      <c r="Q1109" s="33"/>
      <c r="S1109" s="57"/>
      <c r="W1109" s="69"/>
      <c r="X1109" s="5"/>
    </row>
    <row r="1110" spans="17:24" x14ac:dyDescent="0.25">
      <c r="Q1110" s="33"/>
      <c r="S1110" s="57"/>
      <c r="W1110" s="69"/>
      <c r="X1110" s="5"/>
    </row>
    <row r="1111" spans="17:24" x14ac:dyDescent="0.25">
      <c r="Q1111" s="33"/>
      <c r="S1111" s="57"/>
      <c r="W1111" s="69"/>
      <c r="X1111" s="5"/>
    </row>
    <row r="1112" spans="17:24" x14ac:dyDescent="0.25">
      <c r="Q1112" s="33"/>
      <c r="S1112" s="57"/>
      <c r="W1112" s="69"/>
      <c r="X1112" s="5"/>
    </row>
    <row r="1113" spans="17:24" x14ac:dyDescent="0.25">
      <c r="Q1113" s="33"/>
      <c r="S1113" s="57"/>
      <c r="W1113" s="69"/>
      <c r="X1113" s="5"/>
    </row>
    <row r="1114" spans="17:24" x14ac:dyDescent="0.25">
      <c r="Q1114" s="33"/>
      <c r="S1114" s="57"/>
      <c r="W1114" s="69"/>
      <c r="X1114" s="5"/>
    </row>
    <row r="1115" spans="17:24" x14ac:dyDescent="0.25">
      <c r="Q1115" s="33"/>
      <c r="S1115" s="57"/>
      <c r="W1115" s="69"/>
      <c r="X1115" s="5"/>
    </row>
    <row r="1116" spans="17:24" x14ac:dyDescent="0.25">
      <c r="Q1116" s="33"/>
      <c r="S1116" s="57"/>
      <c r="W1116" s="69"/>
      <c r="X1116" s="5"/>
    </row>
    <row r="1117" spans="17:24" x14ac:dyDescent="0.25">
      <c r="Q1117" s="33"/>
      <c r="S1117" s="57"/>
      <c r="W1117" s="69"/>
      <c r="X1117" s="5"/>
    </row>
    <row r="1118" spans="17:24" x14ac:dyDescent="0.25">
      <c r="Q1118" s="33"/>
      <c r="S1118" s="57"/>
      <c r="W1118" s="69"/>
      <c r="X1118" s="5"/>
    </row>
    <row r="1119" spans="17:24" x14ac:dyDescent="0.25">
      <c r="Q1119" s="33"/>
      <c r="S1119" s="57"/>
      <c r="W1119" s="69"/>
      <c r="X1119" s="5"/>
    </row>
    <row r="1120" spans="17:24" x14ac:dyDescent="0.25">
      <c r="Q1120" s="33"/>
      <c r="S1120" s="57"/>
      <c r="W1120" s="69"/>
      <c r="X1120" s="5"/>
    </row>
    <row r="1121" spans="17:24" x14ac:dyDescent="0.25">
      <c r="Q1121" s="33"/>
      <c r="S1121" s="57"/>
      <c r="W1121" s="69"/>
      <c r="X1121" s="5"/>
    </row>
    <row r="1122" spans="17:24" x14ac:dyDescent="0.25">
      <c r="Q1122" s="33"/>
      <c r="S1122" s="57"/>
      <c r="W1122" s="69"/>
      <c r="X1122" s="5"/>
    </row>
    <row r="1123" spans="17:24" x14ac:dyDescent="0.25">
      <c r="Q1123" s="33"/>
      <c r="S1123" s="57"/>
      <c r="W1123" s="69"/>
      <c r="X1123" s="5"/>
    </row>
    <row r="1124" spans="17:24" x14ac:dyDescent="0.25">
      <c r="Q1124" s="33"/>
      <c r="S1124" s="57"/>
      <c r="W1124" s="69"/>
      <c r="X1124" s="5"/>
    </row>
    <row r="1125" spans="17:24" x14ac:dyDescent="0.25">
      <c r="Q1125" s="33"/>
      <c r="S1125" s="57"/>
      <c r="W1125" s="69"/>
      <c r="X1125" s="5"/>
    </row>
    <row r="1126" spans="17:24" x14ac:dyDescent="0.25">
      <c r="Q1126" s="33"/>
      <c r="S1126" s="57"/>
      <c r="W1126" s="69"/>
      <c r="X1126" s="5"/>
    </row>
    <row r="1127" spans="17:24" x14ac:dyDescent="0.25">
      <c r="Q1127" s="33"/>
      <c r="S1127" s="57"/>
      <c r="W1127" s="69"/>
      <c r="X1127" s="5"/>
    </row>
    <row r="1128" spans="17:24" x14ac:dyDescent="0.25">
      <c r="Q1128" s="33"/>
      <c r="S1128" s="57"/>
      <c r="W1128" s="69"/>
      <c r="X1128" s="5"/>
    </row>
    <row r="1129" spans="17:24" x14ac:dyDescent="0.25">
      <c r="Q1129" s="33"/>
      <c r="S1129" s="57"/>
      <c r="W1129" s="69"/>
      <c r="X1129" s="5"/>
    </row>
    <row r="1130" spans="17:24" x14ac:dyDescent="0.25">
      <c r="Q1130" s="33"/>
      <c r="S1130" s="57"/>
      <c r="W1130" s="69"/>
      <c r="X1130" s="5"/>
    </row>
    <row r="1131" spans="17:24" x14ac:dyDescent="0.25">
      <c r="Q1131" s="33"/>
      <c r="S1131" s="57"/>
      <c r="W1131" s="69"/>
      <c r="X1131" s="5"/>
    </row>
    <row r="1132" spans="17:24" x14ac:dyDescent="0.25">
      <c r="Q1132" s="33"/>
      <c r="S1132" s="57"/>
      <c r="W1132" s="69"/>
      <c r="X1132" s="5"/>
    </row>
    <row r="1133" spans="17:24" x14ac:dyDescent="0.25">
      <c r="Q1133" s="33"/>
      <c r="S1133" s="57"/>
      <c r="W1133" s="69"/>
      <c r="X1133" s="5"/>
    </row>
    <row r="1134" spans="17:24" x14ac:dyDescent="0.25">
      <c r="Q1134" s="33"/>
      <c r="S1134" s="57"/>
      <c r="W1134" s="69"/>
      <c r="X1134" s="5"/>
    </row>
    <row r="1135" spans="17:24" x14ac:dyDescent="0.25">
      <c r="Q1135" s="33"/>
      <c r="S1135" s="57"/>
      <c r="W1135" s="69"/>
      <c r="X1135" s="5"/>
    </row>
    <row r="1136" spans="17:24" x14ac:dyDescent="0.25">
      <c r="Q1136" s="33"/>
      <c r="S1136" s="57"/>
      <c r="W1136" s="69"/>
      <c r="X1136" s="5"/>
    </row>
    <row r="1137" spans="17:24" x14ac:dyDescent="0.25">
      <c r="Q1137" s="33"/>
      <c r="S1137" s="57"/>
      <c r="W1137" s="69"/>
      <c r="X1137" s="5"/>
    </row>
    <row r="1138" spans="17:24" x14ac:dyDescent="0.25">
      <c r="Q1138" s="33"/>
      <c r="S1138" s="57"/>
      <c r="W1138" s="69"/>
      <c r="X1138" s="5"/>
    </row>
    <row r="1139" spans="17:24" x14ac:dyDescent="0.25">
      <c r="Q1139" s="33"/>
      <c r="S1139" s="57"/>
      <c r="W1139" s="69"/>
      <c r="X1139" s="5"/>
    </row>
    <row r="1140" spans="17:24" x14ac:dyDescent="0.25">
      <c r="Q1140" s="33"/>
      <c r="S1140" s="57"/>
      <c r="W1140" s="69"/>
      <c r="X1140" s="5"/>
    </row>
    <row r="1141" spans="17:24" x14ac:dyDescent="0.25">
      <c r="Q1141" s="33"/>
      <c r="S1141" s="57"/>
      <c r="W1141" s="69"/>
      <c r="X1141" s="5"/>
    </row>
    <row r="1142" spans="17:24" x14ac:dyDescent="0.25">
      <c r="Q1142" s="33"/>
      <c r="S1142" s="57"/>
      <c r="W1142" s="69"/>
      <c r="X1142" s="5"/>
    </row>
    <row r="1143" spans="17:24" x14ac:dyDescent="0.25">
      <c r="Q1143" s="33"/>
      <c r="S1143" s="57"/>
      <c r="W1143" s="69"/>
      <c r="X1143" s="5"/>
    </row>
    <row r="1144" spans="17:24" x14ac:dyDescent="0.25">
      <c r="Q1144" s="33"/>
      <c r="S1144" s="57"/>
      <c r="W1144" s="69"/>
      <c r="X1144" s="5"/>
    </row>
    <row r="1145" spans="17:24" x14ac:dyDescent="0.25">
      <c r="Q1145" s="33"/>
      <c r="S1145" s="57"/>
      <c r="W1145" s="69"/>
      <c r="X1145" s="5"/>
    </row>
    <row r="1146" spans="17:24" x14ac:dyDescent="0.25">
      <c r="Q1146" s="33"/>
      <c r="S1146" s="57"/>
      <c r="W1146" s="69"/>
      <c r="X1146" s="5"/>
    </row>
    <row r="1147" spans="17:24" x14ac:dyDescent="0.25">
      <c r="Q1147" s="33"/>
      <c r="S1147" s="57"/>
      <c r="W1147" s="69"/>
      <c r="X1147" s="5"/>
    </row>
    <row r="1148" spans="17:24" x14ac:dyDescent="0.25">
      <c r="Q1148" s="33"/>
      <c r="S1148" s="57"/>
      <c r="W1148" s="69"/>
      <c r="X1148" s="5"/>
    </row>
    <row r="1149" spans="17:24" x14ac:dyDescent="0.25">
      <c r="Q1149" s="33"/>
      <c r="S1149" s="57"/>
      <c r="W1149" s="69"/>
      <c r="X1149" s="5"/>
    </row>
    <row r="1150" spans="17:24" x14ac:dyDescent="0.25">
      <c r="Q1150" s="33"/>
      <c r="S1150" s="57"/>
      <c r="W1150" s="69"/>
      <c r="X1150" s="5"/>
    </row>
    <row r="1151" spans="17:24" x14ac:dyDescent="0.25">
      <c r="Q1151" s="33"/>
      <c r="S1151" s="57"/>
      <c r="W1151" s="69"/>
      <c r="X1151" s="5"/>
    </row>
    <row r="1152" spans="17:24" x14ac:dyDescent="0.25">
      <c r="Q1152" s="33"/>
      <c r="S1152" s="57"/>
      <c r="W1152" s="69"/>
      <c r="X1152" s="5"/>
    </row>
    <row r="1153" spans="17:24" x14ac:dyDescent="0.25">
      <c r="Q1153" s="33"/>
      <c r="S1153" s="57"/>
      <c r="W1153" s="69"/>
      <c r="X1153" s="5"/>
    </row>
    <row r="1154" spans="17:24" x14ac:dyDescent="0.25">
      <c r="Q1154" s="33"/>
      <c r="S1154" s="57"/>
      <c r="W1154" s="69"/>
      <c r="X1154" s="5"/>
    </row>
    <row r="1155" spans="17:24" x14ac:dyDescent="0.25">
      <c r="Q1155" s="33"/>
      <c r="S1155" s="57"/>
      <c r="W1155" s="69"/>
      <c r="X1155" s="5"/>
    </row>
    <row r="1156" spans="17:24" x14ac:dyDescent="0.25">
      <c r="Q1156" s="33"/>
      <c r="S1156" s="57"/>
      <c r="W1156" s="69"/>
      <c r="X1156" s="5"/>
    </row>
    <row r="1157" spans="17:24" x14ac:dyDescent="0.25">
      <c r="Q1157" s="33"/>
      <c r="S1157" s="57"/>
      <c r="W1157" s="69"/>
      <c r="X1157" s="5"/>
    </row>
    <row r="1158" spans="17:24" x14ac:dyDescent="0.25">
      <c r="Q1158" s="33"/>
      <c r="S1158" s="57"/>
      <c r="W1158" s="69"/>
      <c r="X1158" s="5"/>
    </row>
    <row r="1159" spans="17:24" x14ac:dyDescent="0.25">
      <c r="Q1159" s="33"/>
      <c r="S1159" s="57"/>
      <c r="W1159" s="69"/>
      <c r="X1159" s="5"/>
    </row>
    <row r="1160" spans="17:24" x14ac:dyDescent="0.25">
      <c r="Q1160" s="33"/>
      <c r="S1160" s="57"/>
      <c r="W1160" s="69"/>
      <c r="X1160" s="5"/>
    </row>
    <row r="1161" spans="17:24" x14ac:dyDescent="0.25">
      <c r="Q1161" s="33"/>
      <c r="S1161" s="57"/>
      <c r="W1161" s="69"/>
      <c r="X1161" s="5"/>
    </row>
    <row r="1162" spans="17:24" x14ac:dyDescent="0.25">
      <c r="Q1162" s="33"/>
      <c r="S1162" s="57"/>
      <c r="W1162" s="69"/>
      <c r="X1162" s="5"/>
    </row>
    <row r="1163" spans="17:24" x14ac:dyDescent="0.25">
      <c r="Q1163" s="33"/>
      <c r="S1163" s="57"/>
      <c r="W1163" s="69"/>
      <c r="X1163" s="5"/>
    </row>
    <row r="1164" spans="17:24" x14ac:dyDescent="0.25">
      <c r="Q1164" s="33"/>
      <c r="S1164" s="57"/>
      <c r="W1164" s="69"/>
      <c r="X1164" s="5"/>
    </row>
    <row r="1165" spans="17:24" x14ac:dyDescent="0.25">
      <c r="Q1165" s="33"/>
      <c r="S1165" s="57"/>
      <c r="W1165" s="69"/>
      <c r="X1165" s="5"/>
    </row>
    <row r="1166" spans="17:24" x14ac:dyDescent="0.25">
      <c r="Q1166" s="33"/>
      <c r="S1166" s="57"/>
      <c r="W1166" s="69"/>
      <c r="X1166" s="5"/>
    </row>
    <row r="1167" spans="17:24" x14ac:dyDescent="0.25">
      <c r="Q1167" s="33"/>
      <c r="S1167" s="57"/>
      <c r="W1167" s="69"/>
      <c r="X1167" s="5"/>
    </row>
    <row r="1168" spans="17:24" x14ac:dyDescent="0.25">
      <c r="Q1168" s="33"/>
      <c r="S1168" s="57"/>
      <c r="W1168" s="69"/>
      <c r="X1168" s="5"/>
    </row>
    <row r="1169" spans="17:24" x14ac:dyDescent="0.25">
      <c r="Q1169" s="33"/>
      <c r="S1169" s="57"/>
      <c r="W1169" s="69"/>
      <c r="X1169" s="5"/>
    </row>
    <row r="1170" spans="17:24" x14ac:dyDescent="0.25">
      <c r="Q1170" s="33"/>
      <c r="S1170" s="57"/>
    </row>
  </sheetData>
  <protectedRanges>
    <protectedRange algorithmName="SHA-512" hashValue="Nib9MvgsG2P4ByDSmYYu8IA2pQTUGhui9xQD628k9l2+8IGKkJZu+ALthwIN3RxV18gN36lFM29fgMN0eDsweQ==" saltValue="Hdlk8jYKbjQ+87pVVcq6zQ==" spinCount="100000" sqref="I12" name="区域3"/>
    <protectedRange sqref="B1:G1 P2:P325 J1:O325 B2:H11 B12 D12:H12 B13:H325" name="区域1"/>
    <protectedRange sqref="T3:T9 T11:T45 T47:T81 T83:T117 T119:T153 T155:T189 T191:T225 T227:T261 T299:T325 T263:T297" name="区域2"/>
    <protectedRange sqref="C12" name="区域1_1"/>
  </protectedRanges>
  <mergeCells count="73">
    <mergeCell ref="B254:G254"/>
    <mergeCell ref="B290:G290"/>
    <mergeCell ref="B74:G74"/>
    <mergeCell ref="J195:O195"/>
    <mergeCell ref="J218:O218"/>
    <mergeCell ref="J231:O231"/>
    <mergeCell ref="J110:O110"/>
    <mergeCell ref="J123:O123"/>
    <mergeCell ref="J146:O146"/>
    <mergeCell ref="J159:O159"/>
    <mergeCell ref="J182:O182"/>
    <mergeCell ref="B110:G110"/>
    <mergeCell ref="B146:G146"/>
    <mergeCell ref="B182:G182"/>
    <mergeCell ref="B218:G218"/>
    <mergeCell ref="J254:O254"/>
    <mergeCell ref="J267:O267"/>
    <mergeCell ref="Q2:R2"/>
    <mergeCell ref="U2:V2"/>
    <mergeCell ref="J2:M2"/>
    <mergeCell ref="U18:V18"/>
    <mergeCell ref="Q38:R38"/>
    <mergeCell ref="U38:V38"/>
    <mergeCell ref="U198:V198"/>
    <mergeCell ref="T9:T10"/>
    <mergeCell ref="T81:T82"/>
    <mergeCell ref="T117:T118"/>
    <mergeCell ref="T153:T154"/>
    <mergeCell ref="T189:T190"/>
    <mergeCell ref="B38:G38"/>
    <mergeCell ref="Q74:R74"/>
    <mergeCell ref="U74:V74"/>
    <mergeCell ref="U90:V90"/>
    <mergeCell ref="Q182:R182"/>
    <mergeCell ref="U182:V182"/>
    <mergeCell ref="J74:O74"/>
    <mergeCell ref="J87:O87"/>
    <mergeCell ref="Q110:R110"/>
    <mergeCell ref="U110:V110"/>
    <mergeCell ref="U126:V126"/>
    <mergeCell ref="Q146:R146"/>
    <mergeCell ref="U146:V146"/>
    <mergeCell ref="U162:V162"/>
    <mergeCell ref="U54:V54"/>
    <mergeCell ref="T45:T46"/>
    <mergeCell ref="U306:V306"/>
    <mergeCell ref="Q218:R218"/>
    <mergeCell ref="U218:V218"/>
    <mergeCell ref="U234:V234"/>
    <mergeCell ref="Q254:R254"/>
    <mergeCell ref="U254:V254"/>
    <mergeCell ref="U270:V270"/>
    <mergeCell ref="Q290:R290"/>
    <mergeCell ref="U290:V290"/>
    <mergeCell ref="T225:T226"/>
    <mergeCell ref="T261:T262"/>
    <mergeCell ref="T297:T298"/>
    <mergeCell ref="J290:O290"/>
    <mergeCell ref="J303:O303"/>
    <mergeCell ref="A2:A37"/>
    <mergeCell ref="A38:A73"/>
    <mergeCell ref="A74:A109"/>
    <mergeCell ref="A110:A145"/>
    <mergeCell ref="A146:A181"/>
    <mergeCell ref="A182:A217"/>
    <mergeCell ref="A218:A253"/>
    <mergeCell ref="A254:A289"/>
    <mergeCell ref="A290:A325"/>
    <mergeCell ref="B2:G2"/>
    <mergeCell ref="J38:O38"/>
    <mergeCell ref="J51:O51"/>
    <mergeCell ref="B37:G37"/>
    <mergeCell ref="H24:H37"/>
  </mergeCells>
  <phoneticPr fontId="5" type="noConversion"/>
  <pageMargins left="0.7" right="0.7" top="0.75" bottom="0.75" header="0.3" footer="0.3"/>
  <pageSetup paperSize="9"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6CF9-6F38-4E8F-AEF2-B4880A9E27F5}">
  <dimension ref="A1:H20"/>
  <sheetViews>
    <sheetView tabSelected="1" workbookViewId="0">
      <selection activeCell="F16" sqref="F16"/>
    </sheetView>
  </sheetViews>
  <sheetFormatPr defaultRowHeight="13.8" x14ac:dyDescent="0.25"/>
  <cols>
    <col min="3" max="3" width="10" bestFit="1" customWidth="1"/>
    <col min="5" max="5" width="12.77734375" bestFit="1" customWidth="1"/>
    <col min="6" max="6" width="12.44140625" customWidth="1"/>
  </cols>
  <sheetData>
    <row r="1" spans="1:8" x14ac:dyDescent="0.25">
      <c r="B1" s="36" t="s">
        <v>129</v>
      </c>
    </row>
    <row r="2" spans="1:8" x14ac:dyDescent="0.25">
      <c r="A2">
        <v>986979</v>
      </c>
      <c r="B2">
        <f>A2*3</f>
        <v>2960937</v>
      </c>
    </row>
    <row r="3" spans="1:8" x14ac:dyDescent="0.25">
      <c r="C3" s="36" t="s">
        <v>128</v>
      </c>
      <c r="D3" s="36" t="s">
        <v>127</v>
      </c>
      <c r="E3" s="36" t="s">
        <v>130</v>
      </c>
      <c r="F3" s="36" t="s">
        <v>111</v>
      </c>
    </row>
    <row r="4" spans="1:8" x14ac:dyDescent="0.25">
      <c r="A4">
        <v>1.6</v>
      </c>
      <c r="B4">
        <f>A4/$A$8</f>
        <v>0.29629629629629634</v>
      </c>
      <c r="C4" s="138">
        <f>$B$2*B4</f>
        <v>877314.66666666674</v>
      </c>
      <c r="D4">
        <v>0</v>
      </c>
      <c r="E4" s="138">
        <f>C4+D4</f>
        <v>877314.66666666674</v>
      </c>
      <c r="F4" s="143">
        <v>657986</v>
      </c>
      <c r="H4">
        <f>F4-G11</f>
        <v>657986</v>
      </c>
    </row>
    <row r="5" spans="1:8" x14ac:dyDescent="0.25">
      <c r="A5">
        <v>1.2</v>
      </c>
      <c r="B5">
        <f t="shared" ref="B5:B7" si="0">A5/$A$8</f>
        <v>0.22222222222222224</v>
      </c>
      <c r="C5" s="138">
        <f t="shared" ref="C5:C7" si="1">$B$2*B5</f>
        <v>657986</v>
      </c>
      <c r="D5">
        <v>0</v>
      </c>
      <c r="E5" s="138">
        <f t="shared" ref="E5:E7" si="2">C5+D5</f>
        <v>657986</v>
      </c>
      <c r="F5" s="143">
        <v>727650</v>
      </c>
    </row>
    <row r="6" spans="1:8" x14ac:dyDescent="0.25">
      <c r="A6">
        <v>1.4</v>
      </c>
      <c r="B6">
        <f t="shared" si="0"/>
        <v>0.25925925925925924</v>
      </c>
      <c r="C6" s="138">
        <f t="shared" si="1"/>
        <v>767650.33333333326</v>
      </c>
      <c r="D6">
        <v>0</v>
      </c>
      <c r="E6" s="138">
        <f t="shared" si="2"/>
        <v>767650.33333333326</v>
      </c>
      <c r="F6" s="143">
        <v>697986</v>
      </c>
      <c r="H6" s="138">
        <f>F6-F11</f>
        <v>697986</v>
      </c>
    </row>
    <row r="7" spans="1:8" x14ac:dyDescent="0.25">
      <c r="A7">
        <v>1.2</v>
      </c>
      <c r="B7">
        <f t="shared" si="0"/>
        <v>0.22222222222222224</v>
      </c>
      <c r="C7" s="138">
        <f t="shared" si="1"/>
        <v>657986</v>
      </c>
      <c r="D7">
        <v>0</v>
      </c>
      <c r="E7" s="138">
        <f t="shared" si="2"/>
        <v>657986</v>
      </c>
      <c r="F7" s="143">
        <v>877315</v>
      </c>
    </row>
    <row r="8" spans="1:8" x14ac:dyDescent="0.25">
      <c r="A8">
        <f>SUM(A4:A7)</f>
        <v>5.3999999999999995</v>
      </c>
      <c r="F8" s="144">
        <f>F4+F5+F6+F7</f>
        <v>2960937</v>
      </c>
    </row>
    <row r="9" spans="1:8" x14ac:dyDescent="0.25">
      <c r="C9" s="138">
        <f>C4+C5+C6+C7</f>
        <v>2960937</v>
      </c>
    </row>
    <row r="11" spans="1:8" x14ac:dyDescent="0.25">
      <c r="F11" s="138"/>
    </row>
    <row r="15" spans="1:8" x14ac:dyDescent="0.25">
      <c r="E15">
        <v>16712940</v>
      </c>
      <c r="F15">
        <f>E15</f>
        <v>16712940</v>
      </c>
    </row>
    <row r="16" spans="1:8" x14ac:dyDescent="0.25">
      <c r="E16">
        <v>37160624</v>
      </c>
      <c r="F16">
        <f>E16-4500000</f>
        <v>32660624</v>
      </c>
    </row>
    <row r="17" spans="5:6" x14ac:dyDescent="0.25">
      <c r="E17">
        <f>E15/E16</f>
        <v>0.44974863715959129</v>
      </c>
      <c r="F17">
        <f>F15/F16</f>
        <v>0.51171526912651766</v>
      </c>
    </row>
    <row r="20" spans="5:6" x14ac:dyDescent="0.25">
      <c r="E20" s="138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 ,{ Nc[�^< / s t r i n g > < / k e y > < v a l u e > < s t r i n g > E m p t y < / s t r i n g > < / v a l u e > < / i t e m > < i t e m > < k e y > < s t r i n g > )R�mh�< / s t r i n g > < / k e y > < v a l u e > < s t r i n g > W C h a r < / s t r i n g > < / v a l u e > < / i t e m > < i t e m > < k e y > < s t r i n g > �Ock< / s t r i n g > < / k e y > < v a l u e > < s t r i n g > W C h a r < / s t r i n g > < / v a l u e > < / i t e m > < i t e m > < k e y > < s t r i n g > R< / s t r i n g > < / k e y > < v a l u e > < s t r i n g > W C h a r < / s t r i n g > < / v a l u e > < / i t e m > < i t e m > < k e y > < s t r i n g > �sёAm< / s t r i n g > < / k e y > < v a l u e > < s t r i n g > D o u b l e < / s t r i n g > < / v a l u e > < / i t e m > < i t e m > < k e y > < s t r i n g > �Ock  1 < / s t r i n g > < / k e y > < v a l u e > < s t r i n g > W C h a r < / s t r i n g > < / v a l u e > < / i t e m > < i t e m > < k e y > < s t r i n g > R  2 < / s t r i n g > < / k e y > < v a l u e > < s t r i n g > W C h a r < / s t r i n g > < / v a l u e > < / i t e m > < i t e m > < k e y > < s t r i n g > �QV{< / s t r i n g > < / k e y > < v a l u e > < s t r i n g > D o u b l e < / s t r i n g > < / v a l u e > < / i t e m > < i t e m > < k e y > < s t r i n g > R  3 < / s t r i n g > < / k e y > < v a l u e > < s t r i n g > W C h a r < / s t r i n g > < / v a l u e > < / i t e m > < i t e m > < k e y > < s t r i n g > R  4 < / s t r i n g > < / k e y > < v a l u e > < s t r i n g > W C h a r < / s t r i n g > < / v a l u e > < / i t e m > < i t e m > < k e y > < s t r i n g > Џ%��r�Qh�< / s t r i n g > < / k e y > < v a l u e > < s t r i n g > W C h a r < / s t r i n g > < / v a l u e > < / i t e m > < i t e m > < k e y > < s t r i n g > R  5 < / s t r i n g > < / k e y > < v a l u e > < s t r i n g > W C h a r < / s t r i n g > < / v a l u e > < / i t e m > < i t e m > < k e y > < s t r i n g > R  6 < / s t r i n g > < / k e y > < v a l u e > < s t r i n g > E m p t y < / s t r i n g > < / v a l u e > < / i t e m > < i t e m > < k e y > < s t r i n g > R  7 < / s t r i n g > < / k e y > < v a l u e > < s t r i n g > W C h a r < / s t r i n g > < / v a l u e > < / i t e m > < i t e m > < k e y > < s t r i n g > R  8 < / s t r i n g > < / k e y > < v a l u e > < s t r i n g > B i g I n t < / s t r i n g > < / v a l u e > < / i t e m > < i t e m > < k e y > < s t r i n g > R  9 < / s t r i n g > < / k e y > < v a l u e > < s t r i n g > W C h a r < / s t r i n g > < / v a l u e > < / i t e m > < i t e m > < k e y > < s t r i n g > R  1 0 < / s t r i n g > < / k e y > < v a l u e > < s t r i n g > W C h a r < / s t r i n g > < / v a l u e > < / i t e m > < i t e m > < k e y > < s t r i n g > R  1 1 < / s t r i n g > < / k e y > < v a l u e > < s t r i n g > W C h a r < / s t r i n g > < / v a l u e > < / i t e m > < i t e m > < k e y > < s t r i n g > R  1 2 < / s t r i n g > < / k e y > < v a l u e > < s t r i n g > W C h a r < / s t r i n g > < / v a l u e > < / i t e m > < i t e m > < k e y > < s t r i n g > R  1 3 < / s t r i n g > < / k e y > < v a l u e > < s t r i n g > W C h a r < / s t r i n g > < / v a l u e > < / i t e m > < i t e m > < k e y > < s t r i n g > R  1 4 < / s t r i n g > < / k e y > < v a l u e > < s t r i n g > W C h a r < / s t r i n g > < / v a l u e > < / i t e m > < i t e m > < k e y > < s t r i n g > R  1 5 < / s t r i n g > < / k e y > < v a l u e > < s t r i n g > W C h a r < / s t r i n g > < / v a l u e > < / i t e m > < i t e m > < k e y > < s t r i n g > R  1 6 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 ,{ Nc[�^< / s t r i n g > < / k e y > < v a l u e > < i n t > 1 0 0 < / i n t > < / v a l u e > < / i t e m > < i t e m > < k e y > < s t r i n g > )R�mh�< / s t r i n g > < / k e y > < v a l u e > < i n t > 8 4 < / i n t > < / v a l u e > < / i t e m > < i t e m > < k e y > < s t r i n g > �Ock< / s t r i n g > < / k e y > < v a l u e > < i n t > 6 8 < / i n t > < / v a l u e > < / i t e m > < i t e m > < k e y > < s t r i n g > R< / s t r i n g > < / k e y > < v a l u e > < i n t > 6 9 < / i n t > < / v a l u e > < / i t e m > < i t e m > < k e y > < s t r i n g > �sёAm< / s t r i n g > < / k e y > < v a l u e > < i n t > 8 4 < / i n t > < / v a l u e > < / i t e m > < i t e m > < k e y > < s t r i n g > �Ock  1 < / s t r i n g > < / k e y > < v a l u e > < i n t > 7 8 < / i n t > < / v a l u e > < / i t e m > < i t e m > < k e y > < s t r i n g > R  2 < / s t r i n g > < / k e y > < v a l u e > < i n t > 6 2 < / i n t > < / v a l u e > < / i t e m > < i t e m > < k e y > < s t r i n g > �QV{< / s t r i n g > < / k e y > < v a l u e > < i n t > 6 8 < / i n t > < / v a l u e > < / i t e m > < i t e m > < k e y > < s t r i n g > R  3 < / s t r i n g > < / k e y > < v a l u e > < i n t > 6 2 < / i n t > < / v a l u e > < / i t e m > < i t e m > < k e y > < s t r i n g > R  4 < / s t r i n g > < / k e y > < v a l u e > < i n t > 6 2 < / i n t > < / v a l u e > < / i t e m > < i t e m > < k e y > < s t r i n g > Џ%��r�Qh�< / s t r i n g > < / k e y > < v a l u e > < i n t > 1 1 6 < / i n t > < / v a l u e > < / i t e m > < i t e m > < k e y > < s t r i n g > R  5 < / s t r i n g > < / k e y > < v a l u e > < i n t > 6 2 < / i n t > < / v a l u e > < / i t e m > < i t e m > < k e y > < s t r i n g > R  6 < / s t r i n g > < / k e y > < v a l u e > < i n t > 6 2 < / i n t > < / v a l u e > < / i t e m > < i t e m > < k e y > < s t r i n g > R  7 < / s t r i n g > < / k e y > < v a l u e > < i n t > 6 2 < / i n t > < / v a l u e > < / i t e m > < i t e m > < k e y > < s t r i n g > R  8 < / s t r i n g > < / k e y > < v a l u e > < i n t > 6 2 < / i n t > < / v a l u e > < / i t e m > < i t e m > < k e y > < s t r i n g > R  9 < / s t r i n g > < / k e y > < v a l u e > < i n t > 6 2 < / i n t > < / v a l u e > < / i t e m > < i t e m > < k e y > < s t r i n g > R  1 0 < / s t r i n g > < / k e y > < v a l u e > < i n t > 6 9 < / i n t > < / v a l u e > < / i t e m > < i t e m > < k e y > < s t r i n g > R  1 1 < / s t r i n g > < / k e y > < v a l u e > < i n t > 6 9 < / i n t > < / v a l u e > < / i t e m > < i t e m > < k e y > < s t r i n g > R  1 2 < / s t r i n g > < / k e y > < v a l u e > < i n t > 6 9 < / i n t > < / v a l u e > < / i t e m > < i t e m > < k e y > < s t r i n g > R  1 3 < / s t r i n g > < / k e y > < v a l u e > < i n t > 6 9 < / i n t > < / v a l u e > < / i t e m > < i t e m > < k e y > < s t r i n g > R  1 4 < / s t r i n g > < / k e y > < v a l u e > < i n t > 6 9 < / i n t > < / v a l u e > < / i t e m > < i t e m > < k e y > < s t r i n g > R  1 5 < / s t r i n g > < / k e y > < v a l u e > < i n t > 6 9 < / i n t > < / v a l u e > < / i t e m > < i t e m > < k e y > < s t r i n g > R  1 6 < / s t r i n g > < / k e y > < v a l u e > < i n t > 6 9 < / i n t > < / v a l u e > < / i t e m > < / C o l u m n W i d t h s > < C o l u m n D i s p l a y I n d e x > < i t e m > < k e y > < s t r i n g > ,{ Nc[�^< / s t r i n g > < / k e y > < v a l u e > < i n t > 0 < / i n t > < / v a l u e > < / i t e m > < i t e m > < k e y > < s t r i n g > )R�mh�< / s t r i n g > < / k e y > < v a l u e > < i n t > 1 < / i n t > < / v a l u e > < / i t e m > < i t e m > < k e y > < s t r i n g > �Ock< / s t r i n g > < / k e y > < v a l u e > < i n t > 2 < / i n t > < / v a l u e > < / i t e m > < i t e m > < k e y > < s t r i n g > R< / s t r i n g > < / k e y > < v a l u e > < i n t > 3 < / i n t > < / v a l u e > < / i t e m > < i t e m > < k e y > < s t r i n g > �sёAm< / s t r i n g > < / k e y > < v a l u e > < i n t > 4 < / i n t > < / v a l u e > < / i t e m > < i t e m > < k e y > < s t r i n g > �Ock  1 < / s t r i n g > < / k e y > < v a l u e > < i n t > 5 < / i n t > < / v a l u e > < / i t e m > < i t e m > < k e y > < s t r i n g > R  2 < / s t r i n g > < / k e y > < v a l u e > < i n t > 6 < / i n t > < / v a l u e > < / i t e m > < i t e m > < k e y > < s t r i n g > �QV{< / s t r i n g > < / k e y > < v a l u e > < i n t > 7 < / i n t > < / v a l u e > < / i t e m > < i t e m > < k e y > < s t r i n g > R  3 < / s t r i n g > < / k e y > < v a l u e > < i n t > 8 < / i n t > < / v a l u e > < / i t e m > < i t e m > < k e y > < s t r i n g > R  4 < / s t r i n g > < / k e y > < v a l u e > < i n t > 9 < / i n t > < / v a l u e > < / i t e m > < i t e m > < k e y > < s t r i n g > Џ%��r�Qh�< / s t r i n g > < / k e y > < v a l u e > < i n t > 1 0 < / i n t > < / v a l u e > < / i t e m > < i t e m > < k e y > < s t r i n g > R  5 < / s t r i n g > < / k e y > < v a l u e > < i n t > 1 1 < / i n t > < / v a l u e > < / i t e m > < i t e m > < k e y > < s t r i n g > R  6 < / s t r i n g > < / k e y > < v a l u e > < i n t > 1 2 < / i n t > < / v a l u e > < / i t e m > < i t e m > < k e y > < s t r i n g > R  7 < / s t r i n g > < / k e y > < v a l u e > < i n t > 1 3 < / i n t > < / v a l u e > < / i t e m > < i t e m > < k e y > < s t r i n g > R  8 < / s t r i n g > < / k e y > < v a l u e > < i n t > 1 4 < / i n t > < / v a l u e > < / i t e m > < i t e m > < k e y > < s t r i n g > R  9 < / s t r i n g > < / k e y > < v a l u e > < i n t > 1 5 < / i n t > < / v a l u e > < / i t e m > < i t e m > < k e y > < s t r i n g > R  1 0 < / s t r i n g > < / k e y > < v a l u e > < i n t > 1 6 < / i n t > < / v a l u e > < / i t e m > < i t e m > < k e y > < s t r i n g > R  1 1 < / s t r i n g > < / k e y > < v a l u e > < i n t > 1 7 < / i n t > < / v a l u e > < / i t e m > < i t e m > < k e y > < s t r i n g > R  1 2 < / s t r i n g > < / k e y > < v a l u e > < i n t > 1 8 < / i n t > < / v a l u e > < / i t e m > < i t e m > < k e y > < s t r i n g > R  1 3 < / s t r i n g > < / k e y > < v a l u e > < i n t > 1 9 < / i n t > < / v a l u e > < / i t e m > < i t e m > < k e y > < s t r i n g > R  1 4 < / s t r i n g > < / k e y > < v a l u e > < i n t > 2 0 < / i n t > < / v a l u e > < / i t e m > < i t e m > < k e y > < s t r i n g > R  1 5 < / s t r i n g > < / k e y > < v a l u e > < i n t > 2 1 < / i n t > < / v a l u e > < / i t e m > < i t e m > < k e y > < s t r i n g > R  1 6 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 C o l u m n s \ ,{ Nc[�^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 C o l u m n s \ )R�mh�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 C o l u m n s \ �Ock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 C o l u m n s \ �sёAm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 C o l u m n s \ �Ock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 C o l u m n s \ �QV{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 C o l u m n s \ Џ%��r�Qh�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 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Q D A A B Q S w M E F A A C A A g A W q G c U Y L e 8 0 + k A A A A 9 Q A A A B I A H A B D b 2 5 m a W c v U G F j a 2 F n Z S 5 4 b W w g o h g A K K A U A A A A A A A A A A A A A A A A A A A A A A A A A A A A h Y 8 x D o I w G I W v Q r r T 1 m o i I T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5 w t M S M L T A F M j H I t f n 2 b J z 7 b H 8 g Z H 3 t + k 7 x S x V m a y B T B P K + w B 9 Q S w M E F A A C A A g A W q G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h n F E o i k e 4 D g A A A B E A A A A T A B w A R m 9 y b X V s Y X M v U 2 V j d G l v b j E u b S C i G A A o o B Q A A A A A A A A A A A A A A A A A A A A A A A A A A A A r T k 0 u y c z P U w i G 0 I b W A F B L A Q I t A B Q A A g A I A F q h n F G C 3 v N P p A A A A P U A A A A S A A A A A A A A A A A A A A A A A A A A A A B D b 2 5 m a W c v U G F j a 2 F n Z S 5 4 b W x Q S w E C L Q A U A A I A C A B a o Z x R D 8 r p q 6 Q A A A D p A A A A E w A A A A A A A A A A A A A A A A D w A A A A W 0 N v b n R l b n R f V H l w Z X N d L n h t b F B L A Q I t A B Q A A g A I A F q h n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3 M W x 6 H g 0 R K m z u g g C z F b f A A A A A A I A A A A A A B B m A A A A A Q A A I A A A A E U p 4 O g z + c e N z G k b U + P T 4 Y c L n N K Q a D j t 0 o 5 X t S w h E 1 c F A A A A A A 6 A A A A A A g A A I A A A A F S k f d V 7 5 m C b x u e N K / g n A 4 x B 7 6 6 9 h d z V N i b 2 Z Y 0 S k t D Y U A A A A F m P A N p w f r 0 H V k l r R M c F b K l i Z J Y B r n U 2 7 A 1 5 a x U o U F 1 o m W K w 4 b R 6 F n I 3 F 4 y Z Z u g P F d l x u q 4 9 f I v 6 p u 4 T E g i v t L S b v 3 O M Q P 0 e 6 h v V M t 2 0 N i a 9 Q A A A A J c i Y g J g 2 H + l H H R D d X z f z A 7 1 c P A L M Y N R Y P m J p L 5 x 7 B H V i h t m 3 e q x A i 3 I w S y A J m U x 2 i 9 8 H A Z + v f 5 T x y V h Y g N q 4 r k = < / D a t a M a s h u p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h�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h�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 C o l u m n s \ ,{ Nc[�^< / K e y > < / D i a g r a m O b j e c t K e y > < D i a g r a m O b j e c t K e y > < K e y > C o l u m n s \ )R�mh�< / K e y > < / D i a g r a m O b j e c t K e y > < D i a g r a m O b j e c t K e y > < K e y > C o l u m n s \ �Ock< / K e y > < / D i a g r a m O b j e c t K e y > < D i a g r a m O b j e c t K e y > < K e y > C o l u m n s \ R< / K e y > < / D i a g r a m O b j e c t K e y > < D i a g r a m O b j e c t K e y > < K e y > C o l u m n s \ �sёAm< / K e y > < / D i a g r a m O b j e c t K e y > < D i a g r a m O b j e c t K e y > < K e y > C o l u m n s \ �Ock  1 < / K e y > < / D i a g r a m O b j e c t K e y > < D i a g r a m O b j e c t K e y > < K e y > C o l u m n s \ R  2 < / K e y > < / D i a g r a m O b j e c t K e y > < D i a g r a m O b j e c t K e y > < K e y > C o l u m n s \ �QV{< / K e y > < / D i a g r a m O b j e c t K e y > < D i a g r a m O b j e c t K e y > < K e y > C o l u m n s \ R  3 < / K e y > < / D i a g r a m O b j e c t K e y > < D i a g r a m O b j e c t K e y > < K e y > C o l u m n s \ R  4 < / K e y > < / D i a g r a m O b j e c t K e y > < D i a g r a m O b j e c t K e y > < K e y > C o l u m n s \ Џ%��r�Qh�< / K e y > < / D i a g r a m O b j e c t K e y > < D i a g r a m O b j e c t K e y > < K e y > C o l u m n s \ R  5 < / K e y > < / D i a g r a m O b j e c t K e y > < D i a g r a m O b j e c t K e y > < K e y > C o l u m n s \ R  6 < / K e y > < / D i a g r a m O b j e c t K e y > < D i a g r a m O b j e c t K e y > < K e y > C o l u m n s \ R  7 < / K e y > < / D i a g r a m O b j e c t K e y > < D i a g r a m O b j e c t K e y > < K e y > C o l u m n s \ R  8 < / K e y > < / D i a g r a m O b j e c t K e y > < D i a g r a m O b j e c t K e y > < K e y > C o l u m n s \ R  9 < / K e y > < / D i a g r a m O b j e c t K e y > < D i a g r a m O b j e c t K e y > < K e y > C o l u m n s \ R  1 0 < / K e y > < / D i a g r a m O b j e c t K e y > < D i a g r a m O b j e c t K e y > < K e y > C o l u m n s \ R  1 1 < / K e y > < / D i a g r a m O b j e c t K e y > < D i a g r a m O b j e c t K e y > < K e y > C o l u m n s \ R  1 2 < / K e y > < / D i a g r a m O b j e c t K e y > < D i a g r a m O b j e c t K e y > < K e y > C o l u m n s \ R  1 3 < / K e y > < / D i a g r a m O b j e c t K e y > < D i a g r a m O b j e c t K e y > < K e y > C o l u m n s \ R  1 4 < / K e y > < / D i a g r a m O b j e c t K e y > < D i a g r a m O b j e c t K e y > < K e y > C o l u m n s \ R  1 5 < / K e y > < / D i a g r a m O b j e c t K e y > < D i a g r a m O b j e c t K e y > < K e y > C o l u m n s \ R  1 6 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 C o l u m n s \ ,{ Nc[�^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 C o l u m n s \ )R�mh�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 C o l u m n s \ �Ock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 C o l u m n s \ �sёAm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 C o l u m n s \ �Ock 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 C o l u m n s \ �QV{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 C o l u m n s \ Џ%��r�Qh�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 5 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 6 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 7 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 8 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 9 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 1 0 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 1 3 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 1 4 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 1 5 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  1 6 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 2 0 2 0 - 1 2 - 2 8 T 2 0 : 1 2 : 4 6 . 5 8 2 1 5 1 5 + 0 8 : 0 0 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C5671F7-AA2C-4A3D-BCC5-CC7CE4F8717D}">
  <ds:schemaRefs/>
</ds:datastoreItem>
</file>

<file path=customXml/itemProps10.xml><?xml version="1.0" encoding="utf-8"?>
<ds:datastoreItem xmlns:ds="http://schemas.openxmlformats.org/officeDocument/2006/customXml" ds:itemID="{0220AE49-7105-4559-9C5F-57C586BE26CD}">
  <ds:schemaRefs/>
</ds:datastoreItem>
</file>

<file path=customXml/itemProps11.xml><?xml version="1.0" encoding="utf-8"?>
<ds:datastoreItem xmlns:ds="http://schemas.openxmlformats.org/officeDocument/2006/customXml" ds:itemID="{792D6DBA-4220-4E9A-AFD1-01E6730246B9}">
  <ds:schemaRefs/>
</ds:datastoreItem>
</file>

<file path=customXml/itemProps12.xml><?xml version="1.0" encoding="utf-8"?>
<ds:datastoreItem xmlns:ds="http://schemas.openxmlformats.org/officeDocument/2006/customXml" ds:itemID="{918B9212-05EA-4E5F-BCF7-39F96C0252B3}">
  <ds:schemaRefs/>
</ds:datastoreItem>
</file>

<file path=customXml/itemProps13.xml><?xml version="1.0" encoding="utf-8"?>
<ds:datastoreItem xmlns:ds="http://schemas.openxmlformats.org/officeDocument/2006/customXml" ds:itemID="{735F8681-431C-492C-8803-13B8158B889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9B3BAEB-593B-4B59-AA09-D6252607FEB9}">
  <ds:schemaRefs/>
</ds:datastoreItem>
</file>

<file path=customXml/itemProps15.xml><?xml version="1.0" encoding="utf-8"?>
<ds:datastoreItem xmlns:ds="http://schemas.openxmlformats.org/officeDocument/2006/customXml" ds:itemID="{13BD2ADF-6C5B-4BF5-9346-5F51DB37EC2B}">
  <ds:schemaRefs/>
</ds:datastoreItem>
</file>

<file path=customXml/itemProps16.xml><?xml version="1.0" encoding="utf-8"?>
<ds:datastoreItem xmlns:ds="http://schemas.openxmlformats.org/officeDocument/2006/customXml" ds:itemID="{747BA378-898B-431C-89BD-AAB9A0726D23}">
  <ds:schemaRefs/>
</ds:datastoreItem>
</file>

<file path=customXml/itemProps17.xml><?xml version="1.0" encoding="utf-8"?>
<ds:datastoreItem xmlns:ds="http://schemas.openxmlformats.org/officeDocument/2006/customXml" ds:itemID="{90AEA155-183C-42BC-A98F-6445CD2975E8}">
  <ds:schemaRefs/>
</ds:datastoreItem>
</file>

<file path=customXml/itemProps2.xml><?xml version="1.0" encoding="utf-8"?>
<ds:datastoreItem xmlns:ds="http://schemas.openxmlformats.org/officeDocument/2006/customXml" ds:itemID="{17ABDA29-8955-4CAE-A939-A04CBD57D60E}">
  <ds:schemaRefs/>
</ds:datastoreItem>
</file>

<file path=customXml/itemProps3.xml><?xml version="1.0" encoding="utf-8"?>
<ds:datastoreItem xmlns:ds="http://schemas.openxmlformats.org/officeDocument/2006/customXml" ds:itemID="{937FB3B1-9873-4253-817D-B6EE99DF4998}">
  <ds:schemaRefs/>
</ds:datastoreItem>
</file>

<file path=customXml/itemProps4.xml><?xml version="1.0" encoding="utf-8"?>
<ds:datastoreItem xmlns:ds="http://schemas.openxmlformats.org/officeDocument/2006/customXml" ds:itemID="{75431D4F-9FB1-4329-8277-F78BA86AF600}">
  <ds:schemaRefs/>
</ds:datastoreItem>
</file>

<file path=customXml/itemProps5.xml><?xml version="1.0" encoding="utf-8"?>
<ds:datastoreItem xmlns:ds="http://schemas.openxmlformats.org/officeDocument/2006/customXml" ds:itemID="{7C466A12-B8E6-44FF-B4E4-E5E44854A205}">
  <ds:schemaRefs/>
</ds:datastoreItem>
</file>

<file path=customXml/itemProps6.xml><?xml version="1.0" encoding="utf-8"?>
<ds:datastoreItem xmlns:ds="http://schemas.openxmlformats.org/officeDocument/2006/customXml" ds:itemID="{9A243E76-674E-4E4B-AB7E-28A2B0B9CCD5}">
  <ds:schemaRefs/>
</ds:datastoreItem>
</file>

<file path=customXml/itemProps7.xml><?xml version="1.0" encoding="utf-8"?>
<ds:datastoreItem xmlns:ds="http://schemas.openxmlformats.org/officeDocument/2006/customXml" ds:itemID="{9ECAC4EE-267A-477C-99B9-2C29B761887F}">
  <ds:schemaRefs/>
</ds:datastoreItem>
</file>

<file path=customXml/itemProps8.xml><?xml version="1.0" encoding="utf-8"?>
<ds:datastoreItem xmlns:ds="http://schemas.openxmlformats.org/officeDocument/2006/customXml" ds:itemID="{40C0A1AB-40D0-4E53-B82F-812C721593FB}">
  <ds:schemaRefs/>
</ds:datastoreItem>
</file>

<file path=customXml/itemProps9.xml><?xml version="1.0" encoding="utf-8"?>
<ds:datastoreItem xmlns:ds="http://schemas.openxmlformats.org/officeDocument/2006/customXml" ds:itemID="{435D8DE7-7782-4BF3-91AC-D780E02533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×× .××计算表</vt:lpstr>
      <vt:lpstr>Sheet1</vt:lpstr>
      <vt:lpstr>'×× .××计算表'!Print_Area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赵彦</dc:creator>
  <cp:lastModifiedBy>Hs Roronoa_</cp:lastModifiedBy>
  <dcterms:created xsi:type="dcterms:W3CDTF">2015-06-05T18:19:00Z</dcterms:created>
  <dcterms:modified xsi:type="dcterms:W3CDTF">2022-07-20T13:19:52Z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