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autoCompressPictures="0"/>
  <mc:AlternateContent xmlns:mc="http://schemas.openxmlformats.org/markup-compatibility/2006">
    <mc:Choice Requires="x15">
      <x15ac:absPath xmlns:x15ac="http://schemas.microsoft.com/office/spreadsheetml/2010/11/ac" url="C:\Users\dpffh\OneDrive\바탕 화면\"/>
    </mc:Choice>
  </mc:AlternateContent>
  <xr:revisionPtr revIDLastSave="0" documentId="13_ncr:1_{85798369-3638-4154-AD55-B03201DD3A22}" xr6:coauthVersionLast="45" xr6:coauthVersionMax="45" xr10:uidLastSave="{00000000-0000-0000-0000-000000000000}"/>
  <bookViews>
    <workbookView xWindow="-120" yWindow="-120" windowWidth="29040" windowHeight="15840" tabRatio="832" xr2:uid="{00000000-000D-0000-FFFF-FFFF00000000}"/>
  </bookViews>
  <sheets>
    <sheet name="Q1" sheetId="22" r:id="rId1"/>
    <sheet name="Q2" sheetId="23" r:id="rId2"/>
    <sheet name="Q3" sheetId="28" r:id="rId3"/>
    <sheet name="Q4" sheetId="29" r:id="rId4"/>
  </sheets>
  <definedNames>
    <definedName name="solver_adj" localSheetId="0" hidden="1">'Q1'!$D$13:$F$14,'Q1'!$O$14:$V$16</definedName>
    <definedName name="solver_adj" localSheetId="1" hidden="1">'Q2'!$D$14:$F$15,'Q2'!$O$15:$V$17</definedName>
    <definedName name="solver_adj" localSheetId="2" hidden="1">'Q3'!$D$14:$F$15,'Q3'!$O$16:$V$19</definedName>
    <definedName name="solver_cvg" localSheetId="0" hidden="1">0.0001</definedName>
    <definedName name="solver_cvg" localSheetId="1" hidden="1">0.0001</definedName>
    <definedName name="solver_cvg" localSheetId="2" hidden="1">0.0001</definedName>
    <definedName name="solver_drv" localSheetId="0" hidden="1">1</definedName>
    <definedName name="solver_drv" localSheetId="1" hidden="1">1</definedName>
    <definedName name="solver_drv" localSheetId="2" hidden="1">1</definedName>
    <definedName name="solver_eng" localSheetId="0" hidden="1">2</definedName>
    <definedName name="solver_eng" localSheetId="1" hidden="1">2</definedName>
    <definedName name="solver_eng" localSheetId="2" hidden="1">2</definedName>
    <definedName name="solver_est" localSheetId="0" hidden="1">1</definedName>
    <definedName name="solver_est" localSheetId="1" hidden="1">1</definedName>
    <definedName name="solver_est" localSheetId="2" hidden="1">1</definedName>
    <definedName name="solver_itr" localSheetId="0" hidden="1">2147483647</definedName>
    <definedName name="solver_itr" localSheetId="1" hidden="1">2147483647</definedName>
    <definedName name="solver_itr" localSheetId="2" hidden="1">2147483647</definedName>
    <definedName name="solver_lhs1" localSheetId="0" hidden="1">'Q1'!$D$16:$F$16</definedName>
    <definedName name="solver_lhs1" localSheetId="1" hidden="1">'Q2'!$D$17:$F$17</definedName>
    <definedName name="solver_lhs1" localSheetId="2" hidden="1">'Q3'!$D$17:$F$17</definedName>
    <definedName name="solver_lhs2" localSheetId="0" hidden="1">'Q1'!$I$13:$I$14</definedName>
    <definedName name="solver_lhs2" localSheetId="1" hidden="1">'Q2'!$I$14:$I$15</definedName>
    <definedName name="solver_lhs2" localSheetId="2" hidden="1">'Q3'!$I$14:$I$15</definedName>
    <definedName name="solver_lhs3" localSheetId="0" hidden="1">'Q1'!$O$18:$V$18</definedName>
    <definedName name="solver_lhs3" localSheetId="1" hidden="1">'Q2'!$O$19:$V$19</definedName>
    <definedName name="solver_lhs3" localSheetId="2" hidden="1">'Q3'!$O$21:$V$21</definedName>
    <definedName name="solver_lhs4" localSheetId="0" hidden="1">'Q1'!$Y$14:$Y$16</definedName>
    <definedName name="solver_lhs4" localSheetId="1" hidden="1">'Q2'!$Y$15:$Y$17</definedName>
    <definedName name="solver_lhs4" localSheetId="2" hidden="1">'Q3'!$Y$16:$Y$19</definedName>
    <definedName name="solver_lhs5" localSheetId="0" hidden="1">'Q1'!$Y$14:$Y$16</definedName>
    <definedName name="solver_mip" localSheetId="0" hidden="1">2147483647</definedName>
    <definedName name="solver_mip" localSheetId="1" hidden="1">2147483647</definedName>
    <definedName name="solver_mip" localSheetId="2" hidden="1">2147483647</definedName>
    <definedName name="solver_mni" localSheetId="0" hidden="1">30</definedName>
    <definedName name="solver_mni" localSheetId="1" hidden="1">30</definedName>
    <definedName name="solver_mni" localSheetId="2" hidden="1">30</definedName>
    <definedName name="solver_mrt" localSheetId="0" hidden="1">0.075</definedName>
    <definedName name="solver_mrt" localSheetId="1" hidden="1">0.075</definedName>
    <definedName name="solver_mrt" localSheetId="2" hidden="1">0.075</definedName>
    <definedName name="solver_msl" localSheetId="0" hidden="1">2</definedName>
    <definedName name="solver_msl" localSheetId="1" hidden="1">2</definedName>
    <definedName name="solver_msl" localSheetId="2" hidden="1">2</definedName>
    <definedName name="solver_neg" localSheetId="0" hidden="1">1</definedName>
    <definedName name="solver_neg" localSheetId="1" hidden="1">1</definedName>
    <definedName name="solver_neg" localSheetId="2" hidden="1">1</definedName>
    <definedName name="solver_nod" localSheetId="0" hidden="1">2147483647</definedName>
    <definedName name="solver_nod" localSheetId="1" hidden="1">2147483647</definedName>
    <definedName name="solver_nod" localSheetId="2" hidden="1">2147483647</definedName>
    <definedName name="solver_num" localSheetId="0" hidden="1">4</definedName>
    <definedName name="solver_num" localSheetId="1" hidden="1">4</definedName>
    <definedName name="solver_num" localSheetId="2" hidden="1">4</definedName>
    <definedName name="solver_nwt" localSheetId="0" hidden="1">1</definedName>
    <definedName name="solver_nwt" localSheetId="1" hidden="1">1</definedName>
    <definedName name="solver_nwt" localSheetId="2" hidden="1">1</definedName>
    <definedName name="solver_opt" localSheetId="0" hidden="1">'Q1'!$O$18</definedName>
    <definedName name="solver_opt" localSheetId="1" hidden="1">'Q2'!$C$35</definedName>
    <definedName name="solver_opt" localSheetId="2" hidden="1">'Q3'!$C$35</definedName>
    <definedName name="solver_pre" localSheetId="0" hidden="1">0.000001</definedName>
    <definedName name="solver_pre" localSheetId="1" hidden="1">0.000001</definedName>
    <definedName name="solver_pre" localSheetId="2" hidden="1">0.000001</definedName>
    <definedName name="solver_rbv" localSheetId="0" hidden="1">1</definedName>
    <definedName name="solver_rbv" localSheetId="1" hidden="1">1</definedName>
    <definedName name="solver_rbv" localSheetId="2" hidden="1">1</definedName>
    <definedName name="solver_rel1" localSheetId="0" hidden="1">1</definedName>
    <definedName name="solver_rel1" localSheetId="1" hidden="1">1</definedName>
    <definedName name="solver_rel1" localSheetId="2" hidden="1">1</definedName>
    <definedName name="solver_rel2" localSheetId="0" hidden="1">1</definedName>
    <definedName name="solver_rel2" localSheetId="1" hidden="1">1</definedName>
    <definedName name="solver_rel2" localSheetId="2" hidden="1">1</definedName>
    <definedName name="solver_rel3" localSheetId="0" hidden="1">3</definedName>
    <definedName name="solver_rel3" localSheetId="1" hidden="1">3</definedName>
    <definedName name="solver_rel3" localSheetId="2" hidden="1">3</definedName>
    <definedName name="solver_rel4" localSheetId="0" hidden="1">1</definedName>
    <definedName name="solver_rel4" localSheetId="1" hidden="1">1</definedName>
    <definedName name="solver_rel4" localSheetId="2" hidden="1">1</definedName>
    <definedName name="solver_rel5" localSheetId="0" hidden="1">1</definedName>
    <definedName name="solver_rhs1" localSheetId="0" hidden="1">'Q1'!$D$18:$F$18</definedName>
    <definedName name="solver_rhs1" localSheetId="1" hidden="1">'Q2'!$D$19:$F$19</definedName>
    <definedName name="solver_rhs1" localSheetId="2" hidden="1">'Q3'!$D$19:$F$19</definedName>
    <definedName name="solver_rhs2" localSheetId="0" hidden="1">'Q1'!$K$13:$K$14</definedName>
    <definedName name="solver_rhs2" localSheetId="1" hidden="1">'Q2'!$K$14:$K$15</definedName>
    <definedName name="solver_rhs2" localSheetId="2" hidden="1">'Q3'!$K$14:$K$15</definedName>
    <definedName name="solver_rhs3" localSheetId="0" hidden="1">'Q1'!$O$20:$V$20</definedName>
    <definedName name="solver_rhs3" localSheetId="1" hidden="1">'Q2'!$O$21:$V$21</definedName>
    <definedName name="solver_rhs3" localSheetId="2" hidden="1">'Q3'!$O$23:$V$23</definedName>
    <definedName name="solver_rhs4" localSheetId="0" hidden="1">'Q1'!$AA$14:$AA$16</definedName>
    <definedName name="solver_rhs4" localSheetId="1" hidden="1">'Q2'!$AA$15:$AA$17</definedName>
    <definedName name="solver_rhs4" localSheetId="2" hidden="1">'Q3'!$AA$16:$AA$19</definedName>
    <definedName name="solver_rhs5" localSheetId="0" hidden="1">'Q1'!$AA$14:$AA$16</definedName>
    <definedName name="solver_rlx" localSheetId="0" hidden="1">2</definedName>
    <definedName name="solver_rlx" localSheetId="1" hidden="1">2</definedName>
    <definedName name="solver_rlx" localSheetId="2" hidden="1">2</definedName>
    <definedName name="solver_rsd" localSheetId="0" hidden="1">0</definedName>
    <definedName name="solver_rsd" localSheetId="1" hidden="1">0</definedName>
    <definedName name="solver_rsd" localSheetId="2" hidden="1">0</definedName>
    <definedName name="solver_scl" localSheetId="0" hidden="1">1</definedName>
    <definedName name="solver_scl" localSheetId="1" hidden="1">1</definedName>
    <definedName name="solver_scl" localSheetId="2" hidden="1">1</definedName>
    <definedName name="solver_sho" localSheetId="0" hidden="1">2</definedName>
    <definedName name="solver_sho" localSheetId="1" hidden="1">2</definedName>
    <definedName name="solver_sho" localSheetId="2" hidden="1">2</definedName>
    <definedName name="solver_ssz" localSheetId="0" hidden="1">100</definedName>
    <definedName name="solver_ssz" localSheetId="1" hidden="1">100</definedName>
    <definedName name="solver_ssz" localSheetId="2" hidden="1">100</definedName>
    <definedName name="solver_tim" localSheetId="0" hidden="1">2147483647</definedName>
    <definedName name="solver_tim" localSheetId="1" hidden="1">2147483647</definedName>
    <definedName name="solver_tim" localSheetId="2" hidden="1">2147483647</definedName>
    <definedName name="solver_tol" localSheetId="0" hidden="1">0.01</definedName>
    <definedName name="solver_tol" localSheetId="1" hidden="1">0.01</definedName>
    <definedName name="solver_tol" localSheetId="2" hidden="1">0.01</definedName>
    <definedName name="solver_typ" localSheetId="0" hidden="1">2</definedName>
    <definedName name="solver_typ" localSheetId="1" hidden="1">2</definedName>
    <definedName name="solver_typ" localSheetId="2" hidden="1">2</definedName>
    <definedName name="solver_val" localSheetId="0" hidden="1">0</definedName>
    <definedName name="solver_val" localSheetId="1" hidden="1">0</definedName>
    <definedName name="solver_val" localSheetId="2" hidden="1">0</definedName>
    <definedName name="solver_ver" localSheetId="0" hidden="1">3</definedName>
    <definedName name="solver_ver" localSheetId="1" hidden="1">3</definedName>
    <definedName name="solver_ver" localSheetId="2" hidden="1">3</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T7" i="28" l="1"/>
  <c r="O7" i="28"/>
  <c r="V7" i="28"/>
  <c r="U7" i="28"/>
  <c r="S7" i="28"/>
  <c r="R7" i="28"/>
  <c r="Q7" i="28"/>
  <c r="P7" i="28"/>
  <c r="Y19" i="28"/>
  <c r="Y18" i="28"/>
  <c r="Y17" i="28"/>
  <c r="Y16" i="28"/>
  <c r="O27" i="28" l="1"/>
  <c r="P21" i="28"/>
  <c r="I14" i="28"/>
  <c r="D25" i="28"/>
  <c r="V23" i="28"/>
  <c r="U23" i="28"/>
  <c r="T23" i="28"/>
  <c r="S23" i="28"/>
  <c r="R23" i="28"/>
  <c r="Q23" i="28"/>
  <c r="P23" i="28"/>
  <c r="O23" i="28"/>
  <c r="V21" i="28"/>
  <c r="U21" i="28"/>
  <c r="T21" i="28"/>
  <c r="S21" i="28"/>
  <c r="R21" i="28"/>
  <c r="Q21" i="28"/>
  <c r="O21" i="28"/>
  <c r="F19" i="28"/>
  <c r="E19" i="28"/>
  <c r="D19" i="28"/>
  <c r="F17" i="28"/>
  <c r="E17" i="28"/>
  <c r="D17" i="28"/>
  <c r="K15" i="28"/>
  <c r="I15" i="28"/>
  <c r="K14" i="28"/>
  <c r="V9" i="28"/>
  <c r="U9" i="28"/>
  <c r="T9" i="28"/>
  <c r="S9" i="28"/>
  <c r="R9" i="28"/>
  <c r="Q9" i="28"/>
  <c r="P9" i="28"/>
  <c r="O9" i="28"/>
  <c r="V8" i="28"/>
  <c r="T8" i="28"/>
  <c r="S8" i="28"/>
  <c r="R8" i="28"/>
  <c r="Q8" i="28"/>
  <c r="P8" i="28"/>
  <c r="O8" i="28"/>
  <c r="F7" i="28"/>
  <c r="E7" i="28"/>
  <c r="D7" i="28"/>
  <c r="V6" i="28"/>
  <c r="U6" i="28"/>
  <c r="T6" i="28"/>
  <c r="S6" i="28"/>
  <c r="R6" i="28"/>
  <c r="Q6" i="28"/>
  <c r="P6" i="28"/>
  <c r="O6" i="28"/>
  <c r="F6" i="28"/>
  <c r="E6" i="28"/>
  <c r="D6" i="28"/>
  <c r="C35" i="28" l="1"/>
  <c r="AA19" i="28"/>
  <c r="W9" i="28"/>
  <c r="AA16" i="28"/>
  <c r="W6" i="28"/>
  <c r="AA18" i="28"/>
  <c r="W8" i="28"/>
  <c r="V8" i="23" l="1"/>
  <c r="V7" i="23"/>
  <c r="V6" i="23"/>
  <c r="U8" i="23"/>
  <c r="U6" i="23"/>
  <c r="T8" i="23"/>
  <c r="T7" i="23"/>
  <c r="T6" i="23"/>
  <c r="S8" i="23"/>
  <c r="S7" i="23"/>
  <c r="S6" i="23"/>
  <c r="R8" i="23"/>
  <c r="R7" i="23"/>
  <c r="R6" i="23"/>
  <c r="Q8" i="23"/>
  <c r="Q7" i="23"/>
  <c r="Q6" i="23"/>
  <c r="P8" i="23"/>
  <c r="P7" i="23"/>
  <c r="P6" i="23"/>
  <c r="O8" i="23"/>
  <c r="O7" i="23"/>
  <c r="O6" i="23"/>
  <c r="F7" i="23"/>
  <c r="F6" i="23"/>
  <c r="E7" i="23"/>
  <c r="E6" i="23"/>
  <c r="D7" i="23"/>
  <c r="D6" i="23"/>
  <c r="V21" i="23"/>
  <c r="U21" i="23"/>
  <c r="T21" i="23"/>
  <c r="S21" i="23"/>
  <c r="R21" i="23"/>
  <c r="Q21" i="23"/>
  <c r="P21" i="23"/>
  <c r="O21" i="23"/>
  <c r="V19" i="23"/>
  <c r="U19" i="23"/>
  <c r="T19" i="23"/>
  <c r="S19" i="23"/>
  <c r="R19" i="23"/>
  <c r="Q19" i="23"/>
  <c r="P19" i="23"/>
  <c r="O19" i="23"/>
  <c r="F19" i="23"/>
  <c r="E19" i="23"/>
  <c r="D19" i="23"/>
  <c r="Y17" i="23"/>
  <c r="F17" i="23"/>
  <c r="W8" i="23" s="1"/>
  <c r="E17" i="23"/>
  <c r="W7" i="23" s="1"/>
  <c r="D17" i="23"/>
  <c r="W6" i="23" s="1"/>
  <c r="Y16" i="23"/>
  <c r="Y15" i="23"/>
  <c r="K15" i="23"/>
  <c r="I15" i="23"/>
  <c r="K14" i="23"/>
  <c r="I14" i="23"/>
  <c r="D16" i="22"/>
  <c r="AA14" i="22" s="1"/>
  <c r="O25" i="23" l="1"/>
  <c r="D25" i="23"/>
  <c r="AA15" i="23"/>
  <c r="W5" i="22"/>
  <c r="AA16" i="23"/>
  <c r="AA17" i="23"/>
  <c r="C35" i="23" l="1"/>
  <c r="D24" i="22"/>
  <c r="O20" i="22"/>
  <c r="D18" i="22"/>
  <c r="O18" i="22"/>
  <c r="K14" i="22"/>
  <c r="K13" i="22"/>
  <c r="O24" i="22"/>
  <c r="Y15" i="22"/>
  <c r="Y16" i="22"/>
  <c r="Y14" i="22"/>
  <c r="I13" i="22"/>
  <c r="V20" i="22"/>
  <c r="U20" i="22"/>
  <c r="T20" i="22"/>
  <c r="S20" i="22"/>
  <c r="R20" i="22"/>
  <c r="Q20" i="22"/>
  <c r="P20" i="22"/>
  <c r="V18" i="22"/>
  <c r="U18" i="22"/>
  <c r="T18" i="22"/>
  <c r="S18" i="22"/>
  <c r="R18" i="22"/>
  <c r="Q18" i="22"/>
  <c r="P18" i="22"/>
  <c r="F18" i="22"/>
  <c r="E18" i="22"/>
  <c r="F16" i="22"/>
  <c r="W7" i="22" s="1"/>
  <c r="E16" i="22"/>
  <c r="I14" i="22"/>
  <c r="AA15" i="22" l="1"/>
  <c r="W6" i="22"/>
  <c r="AA16" i="22"/>
  <c r="C35" i="22"/>
</calcChain>
</file>

<file path=xl/sharedStrings.xml><?xml version="1.0" encoding="utf-8"?>
<sst xmlns="http://schemas.openxmlformats.org/spreadsheetml/2006/main" count="246" uniqueCount="33">
  <si>
    <t>Total Cost</t>
  </si>
  <si>
    <t>Data</t>
  </si>
  <si>
    <t>Cost ($/unit)</t>
  </si>
  <si>
    <t>Supply</t>
  </si>
  <si>
    <t>Demand</t>
  </si>
  <si>
    <t>Decisions and Constraints</t>
  </si>
  <si>
    <t>≤</t>
  </si>
  <si>
    <t>≥</t>
  </si>
  <si>
    <t>Objective</t>
  </si>
  <si>
    <t>From</t>
  </si>
  <si>
    <t>To</t>
  </si>
  <si>
    <t>Dallas</t>
  </si>
  <si>
    <t>Seattle</t>
  </si>
  <si>
    <t>Boston</t>
  </si>
  <si>
    <t>Atlanta</t>
  </si>
  <si>
    <t>Los Angeles</t>
  </si>
  <si>
    <t>San Francisco</t>
  </si>
  <si>
    <t>Houston</t>
  </si>
  <si>
    <t>Chicago</t>
  </si>
  <si>
    <t>Miami</t>
  </si>
  <si>
    <t>Philadelphia</t>
  </si>
  <si>
    <t>i= plant initial</t>
  </si>
  <si>
    <t>j=warehouse initial</t>
  </si>
  <si>
    <t>Min</t>
  </si>
  <si>
    <r>
      <rPr>
        <b/>
        <sz val="10"/>
        <rFont val="Arial"/>
        <family val="2"/>
      </rPr>
      <t>Xij</t>
    </r>
    <r>
      <rPr>
        <sz val="10"/>
        <rFont val="Arial"/>
      </rPr>
      <t>= # of unit shipped from plant to warehouse</t>
    </r>
  </si>
  <si>
    <t>Phoenix</t>
  </si>
  <si>
    <t>New York</t>
  </si>
  <si>
    <t>Warehouse-Distributor</t>
  </si>
  <si>
    <t>Manufaturing plant-Warehouse</t>
  </si>
  <si>
    <t>4192Xds+3538Xdb+1562Xda+620Xpb+1554Xpa+2270Xsl+1614Xss+3010Xsp+4134Xsc+3698Xbh+1964Xbc+400Xbn+Xbb+3000Xbm+3728Xap+1586Xah+1436Xac+1730Xan+2156Xab+1328Xam</t>
  </si>
  <si>
    <r>
      <t>4192Xds+3538Xdb+1562Xda+620Xpb+1554Xpa+2270Xsl+1614Xss+3010Xsp+4134Xsc+3698Xbh+1964Xbc+400Xbn+Xbb+3000Xbm
+3728Xap+1586Xah+1436Xac+1730Xan+2156Xab+1328Xam+</t>
    </r>
    <r>
      <rPr>
        <b/>
        <sz val="14"/>
        <rFont val="Arial"/>
        <family val="2"/>
      </rPr>
      <t>2876Xdl+3466Xds+2130Xdp+476Xdh+1936Xdc+3096Xdn+3524Xdb+2634Xdm</t>
    </r>
  </si>
  <si>
    <t>Optimal Grand Total Cost</t>
  </si>
  <si>
    <t>2096Xds+1769Xdb+781Xda+310Xpb+777Xpa+1135Xsl+807Xss+1505Xsp+2067Xsc+1849Xbh+982Xbc+200Xbn+Xbb+1500Xbm+1864Xap+793Xah+718Xac+865Xan+1078Xab+664Xam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</si>
</sst>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quot;$&quot;* #,##0_);_(&quot;$&quot;* \(#,##0\);_(&quot;$&quot;* &quot;-&quot;??_);_(@_)"/>
    <numFmt numFmtId="165" formatCode="_(* #,##0_);_(* \(#,##0\);_(* &quot;-&quot;??_);_(@_)"/>
  </numFmts>
  <fonts count="11" x14ac:knownFonts="1">
    <font>
      <sz val="10"/>
      <name val="Arial"/>
    </font>
    <font>
      <sz val="11"/>
      <color theme="1"/>
      <name val="Calibri"/>
      <family val="2"/>
      <scheme val="minor"/>
    </font>
    <font>
      <sz val="10"/>
      <name val="Arial"/>
      <family val="2"/>
    </font>
    <font>
      <b/>
      <sz val="10"/>
      <name val="Arial"/>
      <family val="2"/>
    </font>
    <font>
      <sz val="10"/>
      <name val="Arial"/>
      <family val="2"/>
    </font>
    <font>
      <sz val="10"/>
      <name val="Calibri"/>
      <family val="2"/>
    </font>
    <font>
      <sz val="14"/>
      <name val="Arial"/>
      <family val="2"/>
    </font>
    <font>
      <b/>
      <sz val="14"/>
      <color rgb="FFFF0000"/>
      <name val="Arial"/>
      <family val="2"/>
    </font>
    <font>
      <sz val="10"/>
      <name val="Arial"/>
    </font>
    <font>
      <b/>
      <sz val="10"/>
      <color rgb="FFFF0000"/>
      <name val="Arial"/>
      <family val="2"/>
    </font>
    <font>
      <b/>
      <sz val="14"/>
      <name val="Arial"/>
      <family val="2"/>
    </font>
  </fonts>
  <fills count="8">
    <fill>
      <patternFill patternType="none"/>
    </fill>
    <fill>
      <patternFill patternType="gray125"/>
    </fill>
    <fill>
      <patternFill patternType="solid">
        <fgColor indexed="44"/>
        <bgColor indexed="64"/>
      </patternFill>
    </fill>
    <fill>
      <patternFill patternType="solid">
        <fgColor theme="0" tint="-0.14999847407452621"/>
        <bgColor indexed="64"/>
      </patternFill>
    </fill>
    <fill>
      <patternFill patternType="solid">
        <fgColor indexed="13"/>
        <bgColor indexed="64"/>
      </patternFill>
    </fill>
    <fill>
      <patternFill patternType="solid">
        <fgColor indexed="11"/>
        <bgColor indexed="64"/>
      </patternFill>
    </fill>
    <fill>
      <patternFill patternType="solid">
        <fgColor theme="0" tint="-0.34998626667073579"/>
        <bgColor indexed="64"/>
      </patternFill>
    </fill>
    <fill>
      <patternFill patternType="solid">
        <fgColor rgb="FFFFFF00"/>
        <bgColor indexed="64"/>
      </patternFill>
    </fill>
  </fills>
  <borders count="18">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5">
    <xf numFmtId="0" fontId="0" fillId="0" borderId="0"/>
    <xf numFmtId="44" fontId="4" fillId="0" borderId="0" applyFont="0" applyFill="0" applyBorder="0" applyAlignment="0" applyProtection="0"/>
    <xf numFmtId="0" fontId="1" fillId="0" borderId="0"/>
    <xf numFmtId="0" fontId="2" fillId="0" borderId="0"/>
    <xf numFmtId="43" fontId="8" fillId="0" borderId="0" applyFont="0" applyFill="0" applyBorder="0" applyAlignment="0" applyProtection="0"/>
  </cellStyleXfs>
  <cellXfs count="79">
    <xf numFmtId="0" fontId="0" fillId="0" borderId="0" xfId="0"/>
    <xf numFmtId="164" fontId="3" fillId="5" borderId="15" xfId="1" applyNumberFormat="1" applyFont="1" applyFill="1" applyBorder="1" applyAlignment="1">
      <alignment horizontal="center"/>
    </xf>
    <xf numFmtId="0" fontId="0" fillId="3" borderId="0" xfId="0" applyFill="1"/>
    <xf numFmtId="0" fontId="2" fillId="3" borderId="0" xfId="0" applyFont="1" applyFill="1" applyBorder="1"/>
    <xf numFmtId="0" fontId="0" fillId="0" borderId="0" xfId="0" applyFill="1"/>
    <xf numFmtId="164" fontId="9" fillId="7" borderId="17" xfId="1" applyNumberFormat="1" applyFont="1" applyFill="1" applyBorder="1"/>
    <xf numFmtId="165" fontId="2" fillId="3" borderId="4" xfId="4" applyNumberFormat="1" applyFont="1" applyFill="1" applyBorder="1" applyAlignment="1">
      <alignment horizontal="center"/>
    </xf>
    <xf numFmtId="165" fontId="2" fillId="3" borderId="5" xfId="4" applyNumberFormat="1" applyFont="1" applyFill="1" applyBorder="1" applyAlignment="1">
      <alignment horizontal="center"/>
    </xf>
    <xf numFmtId="165" fontId="2" fillId="3" borderId="0" xfId="4" applyNumberFormat="1" applyFont="1" applyFill="1" applyBorder="1" applyAlignment="1">
      <alignment horizontal="center"/>
    </xf>
    <xf numFmtId="165" fontId="2" fillId="3" borderId="11" xfId="4" applyNumberFormat="1" applyFont="1" applyFill="1" applyBorder="1" applyAlignment="1">
      <alignment horizontal="center"/>
    </xf>
    <xf numFmtId="165" fontId="3" fillId="4" borderId="4" xfId="4" applyNumberFormat="1" applyFont="1" applyFill="1" applyBorder="1" applyAlignment="1">
      <alignment horizontal="center"/>
    </xf>
    <xf numFmtId="165" fontId="3" fillId="4" borderId="5" xfId="4" applyNumberFormat="1" applyFont="1" applyFill="1" applyBorder="1" applyAlignment="1">
      <alignment horizontal="center"/>
    </xf>
    <xf numFmtId="165" fontId="3" fillId="4" borderId="7" xfId="4" applyNumberFormat="1" applyFont="1" applyFill="1" applyBorder="1" applyAlignment="1">
      <alignment horizontal="center"/>
    </xf>
    <xf numFmtId="165" fontId="3" fillId="4" borderId="0" xfId="4" applyNumberFormat="1" applyFont="1" applyFill="1" applyBorder="1" applyAlignment="1">
      <alignment horizontal="center"/>
    </xf>
    <xf numFmtId="165" fontId="2" fillId="2" borderId="12" xfId="4" applyNumberFormat="1" applyFont="1" applyFill="1" applyBorder="1" applyAlignment="1">
      <alignment horizontal="center"/>
    </xf>
    <xf numFmtId="165" fontId="2" fillId="2" borderId="13" xfId="4" applyNumberFormat="1" applyFont="1" applyFill="1" applyBorder="1" applyAlignment="1">
      <alignment horizontal="center"/>
    </xf>
    <xf numFmtId="165" fontId="2" fillId="2" borderId="14" xfId="4" applyNumberFormat="1" applyFont="1" applyFill="1" applyBorder="1" applyAlignment="1">
      <alignment horizontal="center"/>
    </xf>
    <xf numFmtId="165" fontId="5" fillId="0" borderId="0" xfId="4" applyNumberFormat="1" applyFont="1" applyAlignment="1">
      <alignment horizontal="center"/>
    </xf>
    <xf numFmtId="165" fontId="2" fillId="0" borderId="12" xfId="4" applyNumberFormat="1" applyFont="1" applyFill="1" applyBorder="1" applyAlignment="1">
      <alignment horizontal="center"/>
    </xf>
    <xf numFmtId="165" fontId="2" fillId="0" borderId="13" xfId="4" applyNumberFormat="1" applyFont="1" applyFill="1" applyBorder="1" applyAlignment="1">
      <alignment horizontal="center"/>
    </xf>
    <xf numFmtId="165" fontId="2" fillId="0" borderId="14" xfId="4" applyNumberFormat="1" applyFont="1" applyFill="1" applyBorder="1" applyAlignment="1">
      <alignment horizontal="center"/>
    </xf>
    <xf numFmtId="165" fontId="0" fillId="0" borderId="0" xfId="4" applyNumberFormat="1" applyFont="1"/>
    <xf numFmtId="165" fontId="3" fillId="0" borderId="0" xfId="4" applyNumberFormat="1" applyFont="1"/>
    <xf numFmtId="165" fontId="2" fillId="0" borderId="0" xfId="4" applyNumberFormat="1" applyFont="1"/>
    <xf numFmtId="165" fontId="3" fillId="0" borderId="0" xfId="4" applyNumberFormat="1" applyFont="1" applyFill="1" applyAlignment="1">
      <alignment horizontal="center"/>
    </xf>
    <xf numFmtId="165" fontId="3" fillId="0" borderId="0" xfId="4" applyNumberFormat="1" applyFont="1" applyAlignment="1">
      <alignment horizontal="right"/>
    </xf>
    <xf numFmtId="165" fontId="2" fillId="6" borderId="1" xfId="4" applyNumberFormat="1" applyFont="1" applyFill="1" applyBorder="1" applyAlignment="1">
      <alignment horizontal="center"/>
    </xf>
    <xf numFmtId="165" fontId="2" fillId="0" borderId="0" xfId="4" applyNumberFormat="1" applyFont="1" applyFill="1" applyBorder="1" applyAlignment="1">
      <alignment horizontal="center"/>
    </xf>
    <xf numFmtId="165" fontId="0" fillId="6" borderId="0" xfId="4" applyNumberFormat="1" applyFont="1" applyFill="1"/>
    <xf numFmtId="165" fontId="2" fillId="6" borderId="2" xfId="4" applyNumberFormat="1" applyFont="1" applyFill="1" applyBorder="1" applyAlignment="1">
      <alignment horizontal="center"/>
    </xf>
    <xf numFmtId="165" fontId="2" fillId="3" borderId="0" xfId="4" applyNumberFormat="1" applyFont="1" applyFill="1" applyBorder="1"/>
    <xf numFmtId="165" fontId="3" fillId="0" borderId="0" xfId="4" applyNumberFormat="1" applyFont="1" applyFill="1" applyBorder="1" applyAlignment="1">
      <alignment horizontal="right"/>
    </xf>
    <xf numFmtId="165" fontId="2" fillId="6" borderId="12" xfId="4" applyNumberFormat="1" applyFont="1" applyFill="1" applyBorder="1" applyAlignment="1">
      <alignment horizontal="center"/>
    </xf>
    <xf numFmtId="165" fontId="2" fillId="6" borderId="13" xfId="4" applyNumberFormat="1" applyFont="1" applyFill="1" applyBorder="1" applyAlignment="1">
      <alignment horizontal="center"/>
    </xf>
    <xf numFmtId="165" fontId="2" fillId="6" borderId="15" xfId="4" applyNumberFormat="1" applyFont="1" applyFill="1" applyBorder="1"/>
    <xf numFmtId="165" fontId="2" fillId="0" borderId="0" xfId="4" applyNumberFormat="1" applyFont="1" applyFill="1"/>
    <xf numFmtId="165" fontId="2" fillId="3" borderId="10" xfId="4" applyNumberFormat="1" applyFont="1" applyFill="1" applyBorder="1" applyAlignment="1">
      <alignment horizontal="center"/>
    </xf>
    <xf numFmtId="165" fontId="2" fillId="3" borderId="10" xfId="4" applyNumberFormat="1" applyFont="1" applyFill="1" applyBorder="1"/>
    <xf numFmtId="165" fontId="2" fillId="3" borderId="11" xfId="4" applyNumberFormat="1" applyFont="1" applyFill="1" applyBorder="1"/>
    <xf numFmtId="165" fontId="2" fillId="6" borderId="9" xfId="4" applyNumberFormat="1" applyFont="1" applyFill="1" applyBorder="1" applyAlignment="1">
      <alignment horizontal="center"/>
    </xf>
    <xf numFmtId="165" fontId="2" fillId="6" borderId="10" xfId="4" applyNumberFormat="1" applyFont="1" applyFill="1" applyBorder="1" applyAlignment="1">
      <alignment horizontal="center"/>
    </xf>
    <xf numFmtId="165" fontId="2" fillId="6" borderId="13" xfId="4" applyNumberFormat="1" applyFont="1" applyFill="1" applyBorder="1"/>
    <xf numFmtId="165" fontId="2" fillId="6" borderId="14" xfId="4" applyNumberFormat="1" applyFont="1" applyFill="1" applyBorder="1"/>
    <xf numFmtId="165" fontId="3" fillId="0" borderId="15" xfId="4" applyNumberFormat="1" applyFont="1" applyBorder="1"/>
    <xf numFmtId="165" fontId="3" fillId="0" borderId="0" xfId="4" applyNumberFormat="1" applyFont="1" applyAlignment="1">
      <alignment horizontal="center"/>
    </xf>
    <xf numFmtId="165" fontId="2" fillId="0" borderId="12" xfId="4" applyNumberFormat="1" applyFont="1" applyBorder="1"/>
    <xf numFmtId="165" fontId="2" fillId="0" borderId="13" xfId="4" applyNumberFormat="1" applyFont="1" applyBorder="1"/>
    <xf numFmtId="165" fontId="2" fillId="0" borderId="14" xfId="4" applyNumberFormat="1" applyFont="1" applyBorder="1"/>
    <xf numFmtId="165" fontId="3" fillId="0" borderId="15" xfId="4" applyNumberFormat="1" applyFont="1" applyBorder="1" applyAlignment="1">
      <alignment horizontal="right"/>
    </xf>
    <xf numFmtId="165" fontId="2" fillId="2" borderId="1" xfId="4" applyNumberFormat="1" applyFont="1" applyFill="1" applyBorder="1" applyAlignment="1">
      <alignment horizontal="center"/>
    </xf>
    <xf numFmtId="165" fontId="2" fillId="0" borderId="1" xfId="4" applyNumberFormat="1" applyFont="1" applyFill="1" applyBorder="1"/>
    <xf numFmtId="165" fontId="2" fillId="2" borderId="3" xfId="4" applyNumberFormat="1" applyFont="1" applyFill="1" applyBorder="1" applyAlignment="1">
      <alignment horizontal="center"/>
    </xf>
    <xf numFmtId="165" fontId="2" fillId="0" borderId="3" xfId="4" applyNumberFormat="1" applyFont="1" applyFill="1" applyBorder="1"/>
    <xf numFmtId="165" fontId="2" fillId="0" borderId="0" xfId="4" applyNumberFormat="1" applyFont="1" applyAlignment="1">
      <alignment horizontal="right"/>
    </xf>
    <xf numFmtId="165" fontId="2" fillId="2" borderId="15" xfId="4" applyNumberFormat="1" applyFont="1" applyFill="1" applyBorder="1" applyAlignment="1">
      <alignment horizontal="center"/>
    </xf>
    <xf numFmtId="165" fontId="2" fillId="0" borderId="15" xfId="4" applyNumberFormat="1" applyFont="1" applyFill="1" applyBorder="1" applyAlignment="1">
      <alignment horizontal="center"/>
    </xf>
    <xf numFmtId="165" fontId="3" fillId="0" borderId="16" xfId="4" applyNumberFormat="1" applyFont="1" applyBorder="1"/>
    <xf numFmtId="165" fontId="2" fillId="3" borderId="8" xfId="4" applyNumberFormat="1" applyFont="1" applyFill="1" applyBorder="1"/>
    <xf numFmtId="164" fontId="3" fillId="0" borderId="0" xfId="1" applyNumberFormat="1" applyFont="1"/>
    <xf numFmtId="164" fontId="3" fillId="0" borderId="0" xfId="1" applyNumberFormat="1" applyFont="1" applyAlignment="1">
      <alignment horizontal="center"/>
    </xf>
    <xf numFmtId="164" fontId="0" fillId="0" borderId="0" xfId="1" applyNumberFormat="1" applyFont="1"/>
    <xf numFmtId="164" fontId="2" fillId="0" borderId="0" xfId="1" applyNumberFormat="1" applyFont="1"/>
    <xf numFmtId="164" fontId="3" fillId="0" borderId="0" xfId="1" applyNumberFormat="1" applyFont="1" applyAlignment="1">
      <alignment horizontal="right"/>
    </xf>
    <xf numFmtId="165" fontId="2" fillId="0" borderId="0" xfId="4" applyNumberFormat="1" applyFont="1" applyAlignment="1">
      <alignment horizontal="center"/>
    </xf>
    <xf numFmtId="165" fontId="2" fillId="3" borderId="7" xfId="4" applyNumberFormat="1" applyFont="1" applyFill="1" applyBorder="1" applyAlignment="1">
      <alignment horizontal="center"/>
    </xf>
    <xf numFmtId="165" fontId="2" fillId="3" borderId="5" xfId="4" applyNumberFormat="1" applyFont="1" applyFill="1" applyBorder="1"/>
    <xf numFmtId="165" fontId="2" fillId="3" borderId="6" xfId="4" applyNumberFormat="1" applyFont="1" applyFill="1" applyBorder="1"/>
    <xf numFmtId="165" fontId="2" fillId="3" borderId="9" xfId="4" applyNumberFormat="1" applyFont="1" applyFill="1" applyBorder="1" applyAlignment="1">
      <alignment horizontal="center"/>
    </xf>
    <xf numFmtId="0" fontId="7" fillId="0" borderId="0" xfId="0" applyFont="1" applyFill="1" applyBorder="1"/>
    <xf numFmtId="0" fontId="6" fillId="0" borderId="0" xfId="0" applyFont="1" applyFill="1"/>
    <xf numFmtId="165" fontId="0" fillId="3" borderId="0" xfId="4" applyNumberFormat="1" applyFont="1" applyFill="1"/>
    <xf numFmtId="165" fontId="2" fillId="2" borderId="2" xfId="4" applyNumberFormat="1" applyFont="1" applyFill="1" applyBorder="1" applyAlignment="1">
      <alignment horizontal="center"/>
    </xf>
    <xf numFmtId="165" fontId="2" fillId="0" borderId="2" xfId="4" applyNumberFormat="1" applyFont="1" applyFill="1" applyBorder="1"/>
    <xf numFmtId="165" fontId="3" fillId="0" borderId="15" xfId="4" applyNumberFormat="1" applyFont="1" applyBorder="1" applyAlignment="1">
      <alignment horizontal="center"/>
    </xf>
    <xf numFmtId="165" fontId="3" fillId="0" borderId="15" xfId="4" applyNumberFormat="1" applyFont="1" applyBorder="1" applyAlignment="1">
      <alignment horizontal="center" vertical="center"/>
    </xf>
    <xf numFmtId="165" fontId="3" fillId="0" borderId="1" xfId="4" applyNumberFormat="1" applyFont="1" applyBorder="1" applyAlignment="1">
      <alignment horizontal="center" vertical="center"/>
    </xf>
    <xf numFmtId="165" fontId="3" fillId="0" borderId="2" xfId="4" applyNumberFormat="1" applyFont="1" applyBorder="1" applyAlignment="1">
      <alignment horizontal="center" vertical="center"/>
    </xf>
    <xf numFmtId="165" fontId="3" fillId="0" borderId="3" xfId="4" applyNumberFormat="1" applyFont="1" applyBorder="1" applyAlignment="1">
      <alignment horizontal="center" vertical="center"/>
    </xf>
    <xf numFmtId="0" fontId="6" fillId="0" borderId="0" xfId="0" applyFont="1" applyFill="1" applyAlignment="1">
      <alignment horizontal="center" wrapText="1"/>
    </xf>
  </cellXfs>
  <cellStyles count="5">
    <cellStyle name="Comma" xfId="4" builtinId="3"/>
    <cellStyle name="Currency" xfId="1" builtinId="4"/>
    <cellStyle name="Normal" xfId="0" builtinId="0"/>
    <cellStyle name="Normal 2" xfId="2" xr:uid="{00000000-0005-0000-0000-000000000000}"/>
    <cellStyle name="Normal 3" xfId="3" xr:uid="{00000000-0005-0000-0000-00000100000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7</xdr:col>
      <xdr:colOff>0</xdr:colOff>
      <xdr:row>15</xdr:row>
      <xdr:rowOff>81643</xdr:rowOff>
    </xdr:from>
    <xdr:to>
      <xdr:col>11</xdr:col>
      <xdr:colOff>71439</xdr:colOff>
      <xdr:row>24</xdr:row>
      <xdr:rowOff>23813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653893" y="2530929"/>
          <a:ext cx="2656796" cy="1411741"/>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Manufaturing plant-Warehouse Condition</a:t>
          </a:r>
        </a:p>
        <a:p>
          <a:r>
            <a:rPr lang="en-US" sz="1100" b="0"/>
            <a:t>Xds+Xdb+Xda</a:t>
          </a:r>
          <a:r>
            <a:rPr lang="en-US" sz="1100" b="0" baseline="0"/>
            <a:t> </a:t>
          </a:r>
          <a:r>
            <a:rPr lang="en-US" sz="1100" b="0"/>
            <a:t>≤ 5000</a:t>
          </a:r>
          <a:r>
            <a:rPr lang="en-US" sz="1100" b="0" baseline="0"/>
            <a:t> </a:t>
          </a:r>
          <a:r>
            <a:rPr lang="en-US" sz="1100" b="0"/>
            <a:t>Dallas supply</a:t>
          </a:r>
        </a:p>
        <a:p>
          <a:r>
            <a:rPr lang="en-US" sz="1100" b="0"/>
            <a:t>Xpb+Xpa ≤ 3000</a:t>
          </a:r>
          <a:r>
            <a:rPr lang="en-US" sz="1100" b="0" baseline="0"/>
            <a:t> </a:t>
          </a:r>
          <a:r>
            <a:rPr lang="en-US" sz="1100" b="0"/>
            <a:t>Philadelphia supply</a:t>
          </a:r>
        </a:p>
        <a:p>
          <a:endParaRPr lang="en-US" sz="1100" b="0"/>
        </a:p>
        <a:p>
          <a:r>
            <a:rPr lang="en-US" sz="1100" b="0"/>
            <a:t>Xds ≥ 4000</a:t>
          </a:r>
          <a:r>
            <a:rPr lang="en-US" sz="1100" b="0" baseline="0"/>
            <a:t> </a:t>
          </a:r>
          <a:r>
            <a:rPr lang="en-US" sz="1100" b="0"/>
            <a:t>Seattle demand</a:t>
          </a:r>
        </a:p>
        <a:p>
          <a:r>
            <a:rPr lang="en-US" sz="1100" b="0"/>
            <a:t>Xdb+Xpb ≥ 4000</a:t>
          </a:r>
          <a:r>
            <a:rPr lang="en-US" sz="1100" b="0" baseline="0"/>
            <a:t> </a:t>
          </a:r>
          <a:r>
            <a:rPr lang="en-US" sz="1100" b="0"/>
            <a:t>Boston demand</a:t>
          </a:r>
        </a:p>
        <a:p>
          <a:r>
            <a:rPr lang="en-US" sz="1100" b="0"/>
            <a:t>Xda+Xpa ≥ 4000	Atlanta demand</a:t>
          </a:r>
        </a:p>
        <a:p>
          <a:endParaRPr lang="en-US" sz="1100" b="1"/>
        </a:p>
      </xdr:txBody>
    </xdr:sp>
    <xdr:clientData/>
  </xdr:twoCellAnchor>
  <xdr:twoCellAnchor>
    <xdr:from>
      <xdr:col>23</xdr:col>
      <xdr:colOff>0</xdr:colOff>
      <xdr:row>16</xdr:row>
      <xdr:rowOff>95251</xdr:rowOff>
    </xdr:from>
    <xdr:to>
      <xdr:col>28</xdr:col>
      <xdr:colOff>11906</xdr:colOff>
      <xdr:row>31</xdr:row>
      <xdr:rowOff>1</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17743714" y="2707822"/>
          <a:ext cx="3209585" cy="2354036"/>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Warehouse-Distributor Condition</a:t>
          </a:r>
        </a:p>
        <a:p>
          <a:r>
            <a:rPr lang="en-US" sz="1100" b="0" i="0" u="none" strike="noStrike">
              <a:solidFill>
                <a:schemeClr val="dk1"/>
              </a:solidFill>
              <a:effectLst/>
              <a:latin typeface="+mn-lt"/>
              <a:ea typeface="+mn-ea"/>
              <a:cs typeface="+mn-cs"/>
            </a:rPr>
            <a:t>Xsl+Xss+Xsp</a:t>
          </a:r>
          <a:r>
            <a:rPr lang="en-US"/>
            <a:t> </a:t>
          </a:r>
          <a:r>
            <a:rPr lang="en-US" sz="1100" b="0" i="0" u="none" strike="noStrike">
              <a:solidFill>
                <a:schemeClr val="dk1"/>
              </a:solidFill>
              <a:effectLst/>
              <a:latin typeface="+mn-lt"/>
              <a:ea typeface="+mn-ea"/>
              <a:cs typeface="+mn-cs"/>
            </a:rPr>
            <a:t>≤</a:t>
          </a:r>
          <a:r>
            <a:rPr lang="en-US"/>
            <a:t> </a:t>
          </a:r>
          <a:r>
            <a:rPr lang="en-US" sz="1100" b="0" i="0" u="none" strike="noStrike">
              <a:solidFill>
                <a:schemeClr val="dk1"/>
              </a:solidFill>
              <a:effectLst/>
              <a:latin typeface="+mn-lt"/>
              <a:ea typeface="+mn-ea"/>
              <a:cs typeface="+mn-cs"/>
            </a:rPr>
            <a:t>900</a:t>
          </a:r>
          <a:r>
            <a:rPr lang="en-US"/>
            <a:t> </a:t>
          </a:r>
          <a:r>
            <a:rPr lang="en-US" sz="1100" b="0" i="0" u="none" strike="noStrike">
              <a:solidFill>
                <a:schemeClr val="dk1"/>
              </a:solidFill>
              <a:effectLst/>
              <a:latin typeface="+mn-lt"/>
              <a:ea typeface="+mn-ea"/>
              <a:cs typeface="+mn-cs"/>
            </a:rPr>
            <a:t>Seattle supply</a:t>
          </a:r>
          <a:r>
            <a:rPr lang="en-US"/>
            <a:t> </a:t>
          </a:r>
        </a:p>
        <a:p>
          <a:r>
            <a:rPr lang="en-US" sz="1100" b="0" i="0" u="none" strike="noStrike">
              <a:solidFill>
                <a:schemeClr val="dk1"/>
              </a:solidFill>
              <a:effectLst/>
              <a:latin typeface="+mn-lt"/>
              <a:ea typeface="+mn-ea"/>
              <a:cs typeface="+mn-cs"/>
            </a:rPr>
            <a:t>Xbh+Xbc+Xbn+Xbb+Xbm</a:t>
          </a:r>
          <a:r>
            <a:rPr lang="en-US"/>
            <a:t> </a:t>
          </a:r>
          <a:r>
            <a:rPr lang="en-US" sz="1100" b="0" i="0" u="none" strike="noStrike">
              <a:solidFill>
                <a:schemeClr val="dk1"/>
              </a:solidFill>
              <a:effectLst/>
              <a:latin typeface="+mn-lt"/>
              <a:ea typeface="+mn-ea"/>
              <a:cs typeface="+mn-cs"/>
            </a:rPr>
            <a:t>≤</a:t>
          </a:r>
          <a:r>
            <a:rPr lang="en-US"/>
            <a:t> </a:t>
          </a:r>
          <a:r>
            <a:rPr lang="en-US" sz="1100" b="0" i="0" u="none" strike="noStrike">
              <a:solidFill>
                <a:schemeClr val="dk1"/>
              </a:solidFill>
              <a:effectLst/>
              <a:latin typeface="+mn-lt"/>
              <a:ea typeface="+mn-ea"/>
              <a:cs typeface="+mn-cs"/>
            </a:rPr>
            <a:t>3000</a:t>
          </a:r>
          <a:r>
            <a:rPr lang="en-US"/>
            <a:t> </a:t>
          </a:r>
          <a:r>
            <a:rPr lang="en-US" sz="1100" b="0" i="0" u="none" strike="noStrike">
              <a:solidFill>
                <a:schemeClr val="dk1"/>
              </a:solidFill>
              <a:effectLst/>
              <a:latin typeface="+mn-lt"/>
              <a:ea typeface="+mn-ea"/>
              <a:cs typeface="+mn-cs"/>
            </a:rPr>
            <a:t>Boston supply</a:t>
          </a:r>
          <a:r>
            <a:rPr lang="en-US"/>
            <a:t> </a:t>
          </a:r>
          <a:r>
            <a:rPr lang="en-US" sz="1100" b="0" i="0" u="none" strike="noStrike">
              <a:solidFill>
                <a:schemeClr val="dk1"/>
              </a:solidFill>
              <a:effectLst/>
              <a:latin typeface="+mn-lt"/>
              <a:ea typeface="+mn-ea"/>
              <a:cs typeface="+mn-cs"/>
            </a:rPr>
            <a:t>Xap+Xah+Xac+Xan+Xab+Xam</a:t>
          </a:r>
          <a:r>
            <a:rPr lang="en-US"/>
            <a:t> </a:t>
          </a:r>
          <a:r>
            <a:rPr lang="en-US" sz="1100" b="0" i="0" u="none" strike="noStrike">
              <a:solidFill>
                <a:schemeClr val="dk1"/>
              </a:solidFill>
              <a:effectLst/>
              <a:latin typeface="+mn-lt"/>
              <a:ea typeface="+mn-ea"/>
              <a:cs typeface="+mn-cs"/>
            </a:rPr>
            <a:t>≤</a:t>
          </a:r>
          <a:r>
            <a:rPr lang="en-US"/>
            <a:t> </a:t>
          </a:r>
          <a:r>
            <a:rPr lang="en-US" sz="1100" b="0" i="0" u="none" strike="noStrike">
              <a:solidFill>
                <a:schemeClr val="dk1"/>
              </a:solidFill>
              <a:effectLst/>
              <a:latin typeface="+mn-lt"/>
              <a:ea typeface="+mn-ea"/>
              <a:cs typeface="+mn-cs"/>
            </a:rPr>
            <a:t>4000</a:t>
          </a:r>
          <a:r>
            <a:rPr lang="en-US"/>
            <a:t> </a:t>
          </a:r>
          <a:r>
            <a:rPr lang="en-US" sz="1100" b="0" i="0" u="none" strike="noStrike">
              <a:solidFill>
                <a:schemeClr val="dk1"/>
              </a:solidFill>
              <a:effectLst/>
              <a:latin typeface="+mn-lt"/>
              <a:ea typeface="+mn-ea"/>
              <a:cs typeface="+mn-cs"/>
            </a:rPr>
            <a:t>Atlanta supply</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Xsl</a:t>
          </a:r>
          <a:r>
            <a:rPr lang="en-US"/>
            <a:t> </a:t>
          </a:r>
          <a:r>
            <a:rPr lang="en-US" sz="1100" b="0" i="0" u="none" strike="noStrike">
              <a:solidFill>
                <a:schemeClr val="dk1"/>
              </a:solidFill>
              <a:effectLst/>
              <a:latin typeface="+mn-lt"/>
              <a:ea typeface="+mn-ea"/>
              <a:cs typeface="+mn-cs"/>
            </a:rPr>
            <a:t>≥</a:t>
          </a:r>
          <a:r>
            <a:rPr lang="en-US"/>
            <a:t> </a:t>
          </a:r>
          <a:r>
            <a:rPr lang="en-US" sz="1100" b="0" i="0" u="none" strike="noStrike">
              <a:solidFill>
                <a:schemeClr val="dk1"/>
              </a:solidFill>
              <a:effectLst/>
              <a:latin typeface="+mn-lt"/>
              <a:ea typeface="+mn-ea"/>
              <a:cs typeface="+mn-cs"/>
            </a:rPr>
            <a:t>1400</a:t>
          </a:r>
          <a:r>
            <a:rPr lang="en-US"/>
            <a:t> </a:t>
          </a:r>
          <a:r>
            <a:rPr lang="en-US" sz="1100" b="0" i="0" u="none" strike="noStrike">
              <a:solidFill>
                <a:schemeClr val="dk1"/>
              </a:solidFill>
              <a:effectLst/>
              <a:latin typeface="+mn-lt"/>
              <a:ea typeface="+mn-ea"/>
              <a:cs typeface="+mn-cs"/>
            </a:rPr>
            <a:t>Los Angeles demand</a:t>
          </a:r>
          <a:r>
            <a:rPr lang="en-US"/>
            <a:t> </a:t>
          </a:r>
        </a:p>
        <a:p>
          <a:r>
            <a:rPr lang="en-US" sz="1100" b="0" i="0" u="none" strike="noStrike">
              <a:solidFill>
                <a:schemeClr val="dk1"/>
              </a:solidFill>
              <a:effectLst/>
              <a:latin typeface="+mn-lt"/>
              <a:ea typeface="+mn-ea"/>
              <a:cs typeface="+mn-cs"/>
            </a:rPr>
            <a:t>Xss</a:t>
          </a:r>
          <a:r>
            <a:rPr lang="en-US"/>
            <a:t> </a:t>
          </a:r>
          <a:r>
            <a:rPr lang="en-US" sz="1100" b="0" i="0" u="none" strike="noStrike">
              <a:solidFill>
                <a:schemeClr val="dk1"/>
              </a:solidFill>
              <a:effectLst/>
              <a:latin typeface="+mn-lt"/>
              <a:ea typeface="+mn-ea"/>
              <a:cs typeface="+mn-cs"/>
            </a:rPr>
            <a:t>≥</a:t>
          </a:r>
          <a:r>
            <a:rPr lang="en-US"/>
            <a:t> </a:t>
          </a:r>
          <a:r>
            <a:rPr lang="en-US" sz="1100" b="0" i="0" u="none" strike="noStrike">
              <a:solidFill>
                <a:schemeClr val="dk1"/>
              </a:solidFill>
              <a:effectLst/>
              <a:latin typeface="+mn-lt"/>
              <a:ea typeface="+mn-ea"/>
              <a:cs typeface="+mn-cs"/>
            </a:rPr>
            <a:t>500</a:t>
          </a:r>
          <a:r>
            <a:rPr lang="en-US"/>
            <a:t> </a:t>
          </a:r>
          <a:r>
            <a:rPr lang="en-US" sz="1100" b="0" i="0" u="none" strike="noStrike">
              <a:solidFill>
                <a:schemeClr val="dk1"/>
              </a:solidFill>
              <a:effectLst/>
              <a:latin typeface="+mn-lt"/>
              <a:ea typeface="+mn-ea"/>
              <a:cs typeface="+mn-cs"/>
            </a:rPr>
            <a:t>San Francisco demand</a:t>
          </a:r>
          <a:r>
            <a:rPr lang="en-US"/>
            <a:t> </a:t>
          </a:r>
        </a:p>
        <a:p>
          <a:r>
            <a:rPr lang="en-US" sz="1100" b="0" i="0" u="none" strike="noStrike">
              <a:solidFill>
                <a:schemeClr val="dk1"/>
              </a:solidFill>
              <a:effectLst/>
              <a:latin typeface="+mn-lt"/>
              <a:ea typeface="+mn-ea"/>
              <a:cs typeface="+mn-cs"/>
            </a:rPr>
            <a:t>Xsp+Xap</a:t>
          </a:r>
          <a:r>
            <a:rPr lang="en-US"/>
            <a:t> </a:t>
          </a:r>
          <a:r>
            <a:rPr lang="en-US" sz="1100" b="0" i="0" u="none" strike="noStrike">
              <a:solidFill>
                <a:schemeClr val="dk1"/>
              </a:solidFill>
              <a:effectLst/>
              <a:latin typeface="+mn-lt"/>
              <a:ea typeface="+mn-ea"/>
              <a:cs typeface="+mn-cs"/>
            </a:rPr>
            <a:t>≥</a:t>
          </a:r>
          <a:r>
            <a:rPr lang="en-US"/>
            <a:t> </a:t>
          </a:r>
          <a:r>
            <a:rPr lang="en-US" sz="1100" b="0" i="0" u="none" strike="noStrike">
              <a:solidFill>
                <a:schemeClr val="dk1"/>
              </a:solidFill>
              <a:effectLst/>
              <a:latin typeface="+mn-lt"/>
              <a:ea typeface="+mn-ea"/>
              <a:cs typeface="+mn-cs"/>
            </a:rPr>
            <a:t>700</a:t>
          </a:r>
          <a:r>
            <a:rPr lang="en-US"/>
            <a:t> </a:t>
          </a:r>
          <a:r>
            <a:rPr lang="en-US" sz="1100" b="0" i="0" u="none" strike="noStrike">
              <a:solidFill>
                <a:schemeClr val="dk1"/>
              </a:solidFill>
              <a:effectLst/>
              <a:latin typeface="+mn-lt"/>
              <a:ea typeface="+mn-ea"/>
              <a:cs typeface="+mn-cs"/>
            </a:rPr>
            <a:t>Phoenix demand</a:t>
          </a:r>
          <a:r>
            <a:rPr lang="en-US"/>
            <a:t> </a:t>
          </a:r>
        </a:p>
        <a:p>
          <a:r>
            <a:rPr lang="en-US" sz="1100" b="0" i="0" u="none" strike="noStrike">
              <a:solidFill>
                <a:schemeClr val="dk1"/>
              </a:solidFill>
              <a:effectLst/>
              <a:latin typeface="+mn-lt"/>
              <a:ea typeface="+mn-ea"/>
              <a:cs typeface="+mn-cs"/>
            </a:rPr>
            <a:t>Xbh+xah</a:t>
          </a:r>
          <a:r>
            <a:rPr lang="en-US"/>
            <a:t> </a:t>
          </a:r>
          <a:r>
            <a:rPr lang="en-US" sz="1100" b="0" i="0" u="none" strike="noStrike">
              <a:solidFill>
                <a:schemeClr val="dk1"/>
              </a:solidFill>
              <a:effectLst/>
              <a:latin typeface="+mn-lt"/>
              <a:ea typeface="+mn-ea"/>
              <a:cs typeface="+mn-cs"/>
            </a:rPr>
            <a:t>≥</a:t>
          </a:r>
          <a:r>
            <a:rPr lang="en-US"/>
            <a:t> </a:t>
          </a:r>
          <a:r>
            <a:rPr lang="en-US" sz="1100" b="0" i="0" u="none" strike="noStrike">
              <a:solidFill>
                <a:schemeClr val="dk1"/>
              </a:solidFill>
              <a:effectLst/>
              <a:latin typeface="+mn-lt"/>
              <a:ea typeface="+mn-ea"/>
              <a:cs typeface="+mn-cs"/>
            </a:rPr>
            <a:t>1100</a:t>
          </a:r>
          <a:r>
            <a:rPr lang="en-US"/>
            <a:t> </a:t>
          </a:r>
          <a:r>
            <a:rPr lang="en-US" sz="1100" b="0" i="0" u="none" strike="noStrike">
              <a:solidFill>
                <a:schemeClr val="dk1"/>
              </a:solidFill>
              <a:effectLst/>
              <a:latin typeface="+mn-lt"/>
              <a:ea typeface="+mn-ea"/>
              <a:cs typeface="+mn-cs"/>
            </a:rPr>
            <a:t>Houston demand</a:t>
          </a:r>
          <a:r>
            <a:rPr lang="en-US"/>
            <a:t> </a:t>
          </a:r>
        </a:p>
        <a:p>
          <a:r>
            <a:rPr lang="en-US" sz="1100" b="0" i="0" u="none" strike="noStrike">
              <a:solidFill>
                <a:schemeClr val="dk1"/>
              </a:solidFill>
              <a:effectLst/>
              <a:latin typeface="+mn-lt"/>
              <a:ea typeface="+mn-ea"/>
              <a:cs typeface="+mn-cs"/>
            </a:rPr>
            <a:t>Xbc+Xac</a:t>
          </a:r>
          <a:r>
            <a:rPr lang="en-US"/>
            <a:t> </a:t>
          </a:r>
          <a:r>
            <a:rPr lang="en-US" sz="1100" b="0" i="0" u="none" strike="noStrike">
              <a:solidFill>
                <a:schemeClr val="dk1"/>
              </a:solidFill>
              <a:effectLst/>
              <a:latin typeface="+mn-lt"/>
              <a:ea typeface="+mn-ea"/>
              <a:cs typeface="+mn-cs"/>
            </a:rPr>
            <a:t>≥</a:t>
          </a:r>
          <a:r>
            <a:rPr lang="en-US"/>
            <a:t> </a:t>
          </a:r>
          <a:r>
            <a:rPr lang="en-US" sz="1100" b="0" i="0" u="none" strike="noStrike">
              <a:solidFill>
                <a:schemeClr val="dk1"/>
              </a:solidFill>
              <a:effectLst/>
              <a:latin typeface="+mn-lt"/>
              <a:ea typeface="+mn-ea"/>
              <a:cs typeface="+mn-cs"/>
            </a:rPr>
            <a:t>1200</a:t>
          </a:r>
          <a:r>
            <a:rPr lang="en-US"/>
            <a:t> </a:t>
          </a:r>
          <a:r>
            <a:rPr lang="en-US" sz="1100" b="0" i="0" u="none" strike="noStrike">
              <a:solidFill>
                <a:schemeClr val="dk1"/>
              </a:solidFill>
              <a:effectLst/>
              <a:latin typeface="+mn-lt"/>
              <a:ea typeface="+mn-ea"/>
              <a:cs typeface="+mn-cs"/>
            </a:rPr>
            <a:t>Chicago demand</a:t>
          </a:r>
          <a:r>
            <a:rPr lang="en-US"/>
            <a:t> </a:t>
          </a:r>
        </a:p>
        <a:p>
          <a:r>
            <a:rPr lang="en-US" sz="1100" b="0" i="0" u="none" strike="noStrike">
              <a:solidFill>
                <a:schemeClr val="dk1"/>
              </a:solidFill>
              <a:effectLst/>
              <a:latin typeface="+mn-lt"/>
              <a:ea typeface="+mn-ea"/>
              <a:cs typeface="+mn-cs"/>
            </a:rPr>
            <a:t>Xbn+an</a:t>
          </a:r>
          <a:r>
            <a:rPr lang="en-US"/>
            <a:t> </a:t>
          </a:r>
          <a:r>
            <a:rPr lang="en-US" sz="1100" b="0" i="0" u="none" strike="noStrike">
              <a:solidFill>
                <a:schemeClr val="dk1"/>
              </a:solidFill>
              <a:effectLst/>
              <a:latin typeface="+mn-lt"/>
              <a:ea typeface="+mn-ea"/>
              <a:cs typeface="+mn-cs"/>
            </a:rPr>
            <a:t>≥</a:t>
          </a:r>
          <a:r>
            <a:rPr lang="en-US"/>
            <a:t> </a:t>
          </a:r>
          <a:r>
            <a:rPr lang="en-US" sz="1100" b="0" i="0" u="none" strike="noStrike">
              <a:solidFill>
                <a:schemeClr val="dk1"/>
              </a:solidFill>
              <a:effectLst/>
              <a:latin typeface="+mn-lt"/>
              <a:ea typeface="+mn-ea"/>
              <a:cs typeface="+mn-cs"/>
            </a:rPr>
            <a:t>1300</a:t>
          </a:r>
          <a:r>
            <a:rPr lang="en-US"/>
            <a:t> </a:t>
          </a:r>
          <a:r>
            <a:rPr lang="en-US" sz="1100" b="0" i="0" u="none" strike="noStrike">
              <a:solidFill>
                <a:schemeClr val="dk1"/>
              </a:solidFill>
              <a:effectLst/>
              <a:latin typeface="+mn-lt"/>
              <a:ea typeface="+mn-ea"/>
              <a:cs typeface="+mn-cs"/>
            </a:rPr>
            <a:t>New York demand</a:t>
          </a:r>
          <a:r>
            <a:rPr lang="en-US"/>
            <a:t> </a:t>
          </a:r>
        </a:p>
        <a:p>
          <a:r>
            <a:rPr lang="en-US" sz="1100" b="0" i="0" u="none" strike="noStrike">
              <a:solidFill>
                <a:schemeClr val="dk1"/>
              </a:solidFill>
              <a:effectLst/>
              <a:latin typeface="+mn-lt"/>
              <a:ea typeface="+mn-ea"/>
              <a:cs typeface="+mn-cs"/>
            </a:rPr>
            <a:t>Xbb+Xab</a:t>
          </a:r>
          <a:r>
            <a:rPr lang="en-US"/>
            <a:t> </a:t>
          </a:r>
          <a:r>
            <a:rPr lang="en-US" sz="1100" b="0" i="0" u="none" strike="noStrike">
              <a:solidFill>
                <a:schemeClr val="dk1"/>
              </a:solidFill>
              <a:effectLst/>
              <a:latin typeface="+mn-lt"/>
              <a:ea typeface="+mn-ea"/>
              <a:cs typeface="+mn-cs"/>
            </a:rPr>
            <a:t>≥</a:t>
          </a:r>
          <a:r>
            <a:rPr lang="en-US"/>
            <a:t> </a:t>
          </a:r>
          <a:r>
            <a:rPr lang="en-US" sz="1100" b="0" i="0" u="none" strike="noStrike">
              <a:solidFill>
                <a:schemeClr val="dk1"/>
              </a:solidFill>
              <a:effectLst/>
              <a:latin typeface="+mn-lt"/>
              <a:ea typeface="+mn-ea"/>
              <a:cs typeface="+mn-cs"/>
            </a:rPr>
            <a:t>1000</a:t>
          </a:r>
          <a:r>
            <a:rPr lang="en-US"/>
            <a:t> </a:t>
          </a:r>
          <a:r>
            <a:rPr lang="en-US" sz="1100" b="0" i="0" u="none" strike="noStrike">
              <a:solidFill>
                <a:schemeClr val="dk1"/>
              </a:solidFill>
              <a:effectLst/>
              <a:latin typeface="+mn-lt"/>
              <a:ea typeface="+mn-ea"/>
              <a:cs typeface="+mn-cs"/>
            </a:rPr>
            <a:t>Boston demand</a:t>
          </a:r>
          <a:r>
            <a:rPr lang="en-US"/>
            <a:t> </a:t>
          </a:r>
        </a:p>
        <a:p>
          <a:r>
            <a:rPr lang="en-US" sz="1100" b="0" i="0" u="none" strike="noStrike">
              <a:solidFill>
                <a:schemeClr val="dk1"/>
              </a:solidFill>
              <a:effectLst/>
              <a:latin typeface="+mn-lt"/>
              <a:ea typeface="+mn-ea"/>
              <a:cs typeface="+mn-cs"/>
            </a:rPr>
            <a:t>Xbm+Xam</a:t>
          </a:r>
          <a:r>
            <a:rPr lang="en-US"/>
            <a:t> </a:t>
          </a:r>
          <a:r>
            <a:rPr lang="en-US" sz="1100" b="0" i="0" u="none" strike="noStrike">
              <a:solidFill>
                <a:schemeClr val="dk1"/>
              </a:solidFill>
              <a:effectLst/>
              <a:latin typeface="+mn-lt"/>
              <a:ea typeface="+mn-ea"/>
              <a:cs typeface="+mn-cs"/>
            </a:rPr>
            <a:t>≥</a:t>
          </a:r>
          <a:r>
            <a:rPr lang="en-US"/>
            <a:t> </a:t>
          </a:r>
          <a:r>
            <a:rPr lang="en-US" sz="1100" b="0" i="0" u="none" strike="noStrike">
              <a:solidFill>
                <a:schemeClr val="dk1"/>
              </a:solidFill>
              <a:effectLst/>
              <a:latin typeface="+mn-lt"/>
              <a:ea typeface="+mn-ea"/>
              <a:cs typeface="+mn-cs"/>
            </a:rPr>
            <a:t>700</a:t>
          </a:r>
          <a:r>
            <a:rPr lang="en-US"/>
            <a:t> </a:t>
          </a:r>
          <a:r>
            <a:rPr lang="en-US" sz="1100" b="0" i="0" u="none" strike="noStrike">
              <a:solidFill>
                <a:schemeClr val="dk1"/>
              </a:solidFill>
              <a:effectLst/>
              <a:latin typeface="+mn-lt"/>
              <a:ea typeface="+mn-ea"/>
              <a:cs typeface="+mn-cs"/>
            </a:rPr>
            <a:t>Miami demand</a:t>
          </a:r>
          <a:r>
            <a:rPr lang="en-US"/>
            <a:t> </a:t>
          </a:r>
          <a:endParaRPr lang="en-US" sz="1100" b="1"/>
        </a:p>
      </xdr:txBody>
    </xdr:sp>
    <xdr:clientData/>
  </xdr:twoCellAnchor>
  <xdr:twoCellAnchor>
    <xdr:from>
      <xdr:col>24</xdr:col>
      <xdr:colOff>13607</xdr:colOff>
      <xdr:row>2</xdr:row>
      <xdr:rowOff>0</xdr:rowOff>
    </xdr:from>
    <xdr:to>
      <xdr:col>28</xdr:col>
      <xdr:colOff>13607</xdr:colOff>
      <xdr:row>8</xdr:row>
      <xdr:rowOff>149678</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19158857" y="326571"/>
          <a:ext cx="2585357" cy="1129393"/>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Solution</a:t>
          </a:r>
          <a:r>
            <a:rPr lang="en-US" sz="1100" baseline="0"/>
            <a:t> from solver suggest that we need to relex the distance constrain at least up to 2,220 in order to reach optimal solution to minimize the transportation cost. When relex the distance constrain, optimal grand total cost is $12,966,200.</a:t>
          </a:r>
          <a:endParaRPr lang="en-US" sz="1100"/>
        </a:p>
      </xdr:txBody>
    </xdr:sp>
    <xdr:clientData/>
  </xdr:twoCellAnchor>
  <xdr:twoCellAnchor editAs="oneCell">
    <xdr:from>
      <xdr:col>0</xdr:col>
      <xdr:colOff>598714</xdr:colOff>
      <xdr:row>36</xdr:row>
      <xdr:rowOff>97971</xdr:rowOff>
    </xdr:from>
    <xdr:to>
      <xdr:col>8</xdr:col>
      <xdr:colOff>391885</xdr:colOff>
      <xdr:row>74</xdr:row>
      <xdr:rowOff>77596</xdr:rowOff>
    </xdr:to>
    <xdr:pic>
      <xdr:nvPicPr>
        <xdr:cNvPr id="7" name="그림 6" descr="https://documents.lucid.app/documents/323ebf90-f4cb-4d47-bf47-cef0515f3e56/pages/xQJNQLhpFtE_?a=1271&amp;x=-12&amp;y=-77&amp;w=1584&amp;h=1254&amp;store=1&amp;accept=image%2F*&amp;auth=LCA%20f02d3f8e20d95c7be3e126aee89b47344b588b1c-ts%3D1605811657">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8714" y="6096000"/>
          <a:ext cx="8033657" cy="61844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1</xdr:colOff>
      <xdr:row>17</xdr:row>
      <xdr:rowOff>11906</xdr:rowOff>
    </xdr:from>
    <xdr:to>
      <xdr:col>11</xdr:col>
      <xdr:colOff>190502</xdr:colOff>
      <xdr:row>25</xdr:row>
      <xdr:rowOff>83343</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6619876" y="2845594"/>
          <a:ext cx="2643189" cy="1404937"/>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Manufaturing plant-Warehouse Condition</a:t>
          </a:r>
        </a:p>
        <a:p>
          <a:r>
            <a:rPr lang="en-US" sz="1100" b="0"/>
            <a:t>Xds+Xdb+Xda</a:t>
          </a:r>
          <a:r>
            <a:rPr lang="en-US" sz="1100" b="0" baseline="0"/>
            <a:t> </a:t>
          </a:r>
          <a:r>
            <a:rPr lang="en-US" sz="1100" b="0"/>
            <a:t>≤ 5000</a:t>
          </a:r>
          <a:r>
            <a:rPr lang="en-US" sz="1100" b="0" baseline="0"/>
            <a:t> </a:t>
          </a:r>
          <a:r>
            <a:rPr lang="en-US" sz="1100" b="0"/>
            <a:t>Dallas supply</a:t>
          </a:r>
        </a:p>
        <a:p>
          <a:r>
            <a:rPr lang="en-US" sz="1100" b="0"/>
            <a:t>Xpb+Xpa ≤ 3000</a:t>
          </a:r>
          <a:r>
            <a:rPr lang="en-US" sz="1100" b="0" baseline="0"/>
            <a:t> </a:t>
          </a:r>
          <a:r>
            <a:rPr lang="en-US" sz="1100" b="0"/>
            <a:t>Philadelphia supply</a:t>
          </a:r>
        </a:p>
        <a:p>
          <a:endParaRPr lang="en-US" sz="1100" b="0"/>
        </a:p>
        <a:p>
          <a:r>
            <a:rPr lang="en-US" sz="1100" b="0"/>
            <a:t>Xds ≥ 4000</a:t>
          </a:r>
          <a:r>
            <a:rPr lang="en-US" sz="1100" b="0" baseline="0"/>
            <a:t> </a:t>
          </a:r>
          <a:r>
            <a:rPr lang="en-US" sz="1100" b="0"/>
            <a:t>Seattle demand</a:t>
          </a:r>
        </a:p>
        <a:p>
          <a:r>
            <a:rPr lang="en-US" sz="1100" b="0"/>
            <a:t>Xdb+Xpb ≥ 4000</a:t>
          </a:r>
          <a:r>
            <a:rPr lang="en-US" sz="1100" b="0" baseline="0"/>
            <a:t> </a:t>
          </a:r>
          <a:r>
            <a:rPr lang="en-US" sz="1100" b="0"/>
            <a:t>Boston demand</a:t>
          </a:r>
        </a:p>
        <a:p>
          <a:r>
            <a:rPr lang="en-US" sz="1100" b="0"/>
            <a:t>Xda+Xpa ≥ 4000	Atlanta demand</a:t>
          </a:r>
        </a:p>
        <a:p>
          <a:endParaRPr lang="en-US" sz="1100" b="1"/>
        </a:p>
      </xdr:txBody>
    </xdr:sp>
    <xdr:clientData/>
  </xdr:twoCellAnchor>
  <xdr:twoCellAnchor>
    <xdr:from>
      <xdr:col>23</xdr:col>
      <xdr:colOff>0</xdr:colOff>
      <xdr:row>18</xdr:row>
      <xdr:rowOff>0</xdr:rowOff>
    </xdr:from>
    <xdr:to>
      <xdr:col>28</xdr:col>
      <xdr:colOff>95250</xdr:colOff>
      <xdr:row>32</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16978313" y="3000375"/>
          <a:ext cx="3155156" cy="233362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Warehouse-Distributor Condition</a:t>
          </a:r>
        </a:p>
        <a:p>
          <a:r>
            <a:rPr lang="en-US" sz="1100" b="0" i="0" u="none" strike="noStrike">
              <a:solidFill>
                <a:schemeClr val="dk1"/>
              </a:solidFill>
              <a:effectLst/>
              <a:latin typeface="+mn-lt"/>
              <a:ea typeface="+mn-ea"/>
              <a:cs typeface="+mn-cs"/>
            </a:rPr>
            <a:t>Xsl+Xss+Xsp</a:t>
          </a:r>
          <a:r>
            <a:rPr lang="en-US"/>
            <a:t> </a:t>
          </a:r>
          <a:r>
            <a:rPr lang="en-US" sz="1100" b="0" i="0" u="none" strike="noStrike">
              <a:solidFill>
                <a:schemeClr val="dk1"/>
              </a:solidFill>
              <a:effectLst/>
              <a:latin typeface="+mn-lt"/>
              <a:ea typeface="+mn-ea"/>
              <a:cs typeface="+mn-cs"/>
            </a:rPr>
            <a:t>≤</a:t>
          </a:r>
          <a:r>
            <a:rPr lang="en-US"/>
            <a:t> </a:t>
          </a:r>
          <a:r>
            <a:rPr lang="en-US" sz="1100" b="0" i="0" u="none" strike="noStrike">
              <a:solidFill>
                <a:schemeClr val="dk1"/>
              </a:solidFill>
              <a:effectLst/>
              <a:latin typeface="+mn-lt"/>
              <a:ea typeface="+mn-ea"/>
              <a:cs typeface="+mn-cs"/>
            </a:rPr>
            <a:t>900</a:t>
          </a:r>
          <a:r>
            <a:rPr lang="en-US"/>
            <a:t> </a:t>
          </a:r>
          <a:r>
            <a:rPr lang="en-US" sz="1100" b="0" i="0" u="none" strike="noStrike">
              <a:solidFill>
                <a:schemeClr val="dk1"/>
              </a:solidFill>
              <a:effectLst/>
              <a:latin typeface="+mn-lt"/>
              <a:ea typeface="+mn-ea"/>
              <a:cs typeface="+mn-cs"/>
            </a:rPr>
            <a:t>Seattle supply</a:t>
          </a:r>
          <a:r>
            <a:rPr lang="en-US"/>
            <a:t> </a:t>
          </a:r>
        </a:p>
        <a:p>
          <a:r>
            <a:rPr lang="en-US" sz="1100" b="0" i="0" u="none" strike="noStrike">
              <a:solidFill>
                <a:schemeClr val="dk1"/>
              </a:solidFill>
              <a:effectLst/>
              <a:latin typeface="+mn-lt"/>
              <a:ea typeface="+mn-ea"/>
              <a:cs typeface="+mn-cs"/>
            </a:rPr>
            <a:t>Xbh+Xbc+Xbn+Xbb+Xbm</a:t>
          </a:r>
          <a:r>
            <a:rPr lang="en-US"/>
            <a:t> </a:t>
          </a:r>
          <a:r>
            <a:rPr lang="en-US" sz="1100" b="0" i="0" u="none" strike="noStrike">
              <a:solidFill>
                <a:schemeClr val="dk1"/>
              </a:solidFill>
              <a:effectLst/>
              <a:latin typeface="+mn-lt"/>
              <a:ea typeface="+mn-ea"/>
              <a:cs typeface="+mn-cs"/>
            </a:rPr>
            <a:t>≤</a:t>
          </a:r>
          <a:r>
            <a:rPr lang="en-US"/>
            <a:t> </a:t>
          </a:r>
          <a:r>
            <a:rPr lang="en-US" sz="1100" b="0" i="0" u="none" strike="noStrike">
              <a:solidFill>
                <a:schemeClr val="dk1"/>
              </a:solidFill>
              <a:effectLst/>
              <a:latin typeface="+mn-lt"/>
              <a:ea typeface="+mn-ea"/>
              <a:cs typeface="+mn-cs"/>
            </a:rPr>
            <a:t>3000</a:t>
          </a:r>
          <a:r>
            <a:rPr lang="en-US"/>
            <a:t> </a:t>
          </a:r>
          <a:r>
            <a:rPr lang="en-US" sz="1100" b="0" i="0" u="none" strike="noStrike">
              <a:solidFill>
                <a:schemeClr val="dk1"/>
              </a:solidFill>
              <a:effectLst/>
              <a:latin typeface="+mn-lt"/>
              <a:ea typeface="+mn-ea"/>
              <a:cs typeface="+mn-cs"/>
            </a:rPr>
            <a:t>Boston supply</a:t>
          </a:r>
          <a:r>
            <a:rPr lang="en-US"/>
            <a:t> </a:t>
          </a:r>
          <a:r>
            <a:rPr lang="en-US" sz="1100" b="0" i="0" u="none" strike="noStrike">
              <a:solidFill>
                <a:schemeClr val="dk1"/>
              </a:solidFill>
              <a:effectLst/>
              <a:latin typeface="+mn-lt"/>
              <a:ea typeface="+mn-ea"/>
              <a:cs typeface="+mn-cs"/>
            </a:rPr>
            <a:t>Xap+Xah+Xac+Xan+Xab+Xam</a:t>
          </a:r>
          <a:r>
            <a:rPr lang="en-US"/>
            <a:t> </a:t>
          </a:r>
          <a:r>
            <a:rPr lang="en-US" sz="1100" b="0" i="0" u="none" strike="noStrike">
              <a:solidFill>
                <a:schemeClr val="dk1"/>
              </a:solidFill>
              <a:effectLst/>
              <a:latin typeface="+mn-lt"/>
              <a:ea typeface="+mn-ea"/>
              <a:cs typeface="+mn-cs"/>
            </a:rPr>
            <a:t>≤</a:t>
          </a:r>
          <a:r>
            <a:rPr lang="en-US"/>
            <a:t> </a:t>
          </a:r>
          <a:r>
            <a:rPr lang="en-US" sz="1100" b="0" i="0" u="none" strike="noStrike">
              <a:solidFill>
                <a:schemeClr val="dk1"/>
              </a:solidFill>
              <a:effectLst/>
              <a:latin typeface="+mn-lt"/>
              <a:ea typeface="+mn-ea"/>
              <a:cs typeface="+mn-cs"/>
            </a:rPr>
            <a:t>4000</a:t>
          </a:r>
          <a:r>
            <a:rPr lang="en-US"/>
            <a:t> </a:t>
          </a:r>
          <a:r>
            <a:rPr lang="en-US" sz="1100" b="0" i="0" u="none" strike="noStrike">
              <a:solidFill>
                <a:schemeClr val="dk1"/>
              </a:solidFill>
              <a:effectLst/>
              <a:latin typeface="+mn-lt"/>
              <a:ea typeface="+mn-ea"/>
              <a:cs typeface="+mn-cs"/>
            </a:rPr>
            <a:t>Atlanta supply</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Xsl</a:t>
          </a:r>
          <a:r>
            <a:rPr lang="en-US"/>
            <a:t> </a:t>
          </a:r>
          <a:r>
            <a:rPr lang="en-US" sz="1100" b="0" i="0" u="none" strike="noStrike">
              <a:solidFill>
                <a:schemeClr val="dk1"/>
              </a:solidFill>
              <a:effectLst/>
              <a:latin typeface="+mn-lt"/>
              <a:ea typeface="+mn-ea"/>
              <a:cs typeface="+mn-cs"/>
            </a:rPr>
            <a:t>≥</a:t>
          </a:r>
          <a:r>
            <a:rPr lang="en-US"/>
            <a:t> </a:t>
          </a:r>
          <a:r>
            <a:rPr lang="en-US" sz="1100" b="0" i="0" u="none" strike="noStrike">
              <a:solidFill>
                <a:schemeClr val="dk1"/>
              </a:solidFill>
              <a:effectLst/>
              <a:latin typeface="+mn-lt"/>
              <a:ea typeface="+mn-ea"/>
              <a:cs typeface="+mn-cs"/>
            </a:rPr>
            <a:t>1400</a:t>
          </a:r>
          <a:r>
            <a:rPr lang="en-US"/>
            <a:t> </a:t>
          </a:r>
          <a:r>
            <a:rPr lang="en-US" sz="1100" b="0" i="0" u="none" strike="noStrike">
              <a:solidFill>
                <a:schemeClr val="dk1"/>
              </a:solidFill>
              <a:effectLst/>
              <a:latin typeface="+mn-lt"/>
              <a:ea typeface="+mn-ea"/>
              <a:cs typeface="+mn-cs"/>
            </a:rPr>
            <a:t>Los Angeles demand</a:t>
          </a:r>
          <a:r>
            <a:rPr lang="en-US"/>
            <a:t> </a:t>
          </a:r>
        </a:p>
        <a:p>
          <a:r>
            <a:rPr lang="en-US" sz="1100" b="0" i="0" u="none" strike="noStrike">
              <a:solidFill>
                <a:schemeClr val="dk1"/>
              </a:solidFill>
              <a:effectLst/>
              <a:latin typeface="+mn-lt"/>
              <a:ea typeface="+mn-ea"/>
              <a:cs typeface="+mn-cs"/>
            </a:rPr>
            <a:t>Xss</a:t>
          </a:r>
          <a:r>
            <a:rPr lang="en-US"/>
            <a:t> </a:t>
          </a:r>
          <a:r>
            <a:rPr lang="en-US" sz="1100" b="0" i="0" u="none" strike="noStrike">
              <a:solidFill>
                <a:schemeClr val="dk1"/>
              </a:solidFill>
              <a:effectLst/>
              <a:latin typeface="+mn-lt"/>
              <a:ea typeface="+mn-ea"/>
              <a:cs typeface="+mn-cs"/>
            </a:rPr>
            <a:t>≥</a:t>
          </a:r>
          <a:r>
            <a:rPr lang="en-US"/>
            <a:t> </a:t>
          </a:r>
          <a:r>
            <a:rPr lang="en-US" sz="1100" b="0" i="0" u="none" strike="noStrike">
              <a:solidFill>
                <a:schemeClr val="dk1"/>
              </a:solidFill>
              <a:effectLst/>
              <a:latin typeface="+mn-lt"/>
              <a:ea typeface="+mn-ea"/>
              <a:cs typeface="+mn-cs"/>
            </a:rPr>
            <a:t>500</a:t>
          </a:r>
          <a:r>
            <a:rPr lang="en-US"/>
            <a:t> </a:t>
          </a:r>
          <a:r>
            <a:rPr lang="en-US" sz="1100" b="0" i="0" u="none" strike="noStrike">
              <a:solidFill>
                <a:schemeClr val="dk1"/>
              </a:solidFill>
              <a:effectLst/>
              <a:latin typeface="+mn-lt"/>
              <a:ea typeface="+mn-ea"/>
              <a:cs typeface="+mn-cs"/>
            </a:rPr>
            <a:t>San Francisco demand</a:t>
          </a:r>
          <a:r>
            <a:rPr lang="en-US"/>
            <a:t> </a:t>
          </a:r>
        </a:p>
        <a:p>
          <a:r>
            <a:rPr lang="en-US" sz="1100" b="0" i="0" u="none" strike="noStrike">
              <a:solidFill>
                <a:schemeClr val="dk1"/>
              </a:solidFill>
              <a:effectLst/>
              <a:latin typeface="+mn-lt"/>
              <a:ea typeface="+mn-ea"/>
              <a:cs typeface="+mn-cs"/>
            </a:rPr>
            <a:t>Xsp+Xap</a:t>
          </a:r>
          <a:r>
            <a:rPr lang="en-US"/>
            <a:t> </a:t>
          </a:r>
          <a:r>
            <a:rPr lang="en-US" sz="1100" b="0" i="0" u="none" strike="noStrike">
              <a:solidFill>
                <a:schemeClr val="dk1"/>
              </a:solidFill>
              <a:effectLst/>
              <a:latin typeface="+mn-lt"/>
              <a:ea typeface="+mn-ea"/>
              <a:cs typeface="+mn-cs"/>
            </a:rPr>
            <a:t>≥</a:t>
          </a:r>
          <a:r>
            <a:rPr lang="en-US"/>
            <a:t> </a:t>
          </a:r>
          <a:r>
            <a:rPr lang="en-US" sz="1100" b="0" i="0" u="none" strike="noStrike">
              <a:solidFill>
                <a:schemeClr val="dk1"/>
              </a:solidFill>
              <a:effectLst/>
              <a:latin typeface="+mn-lt"/>
              <a:ea typeface="+mn-ea"/>
              <a:cs typeface="+mn-cs"/>
            </a:rPr>
            <a:t>700</a:t>
          </a:r>
          <a:r>
            <a:rPr lang="en-US"/>
            <a:t> </a:t>
          </a:r>
          <a:r>
            <a:rPr lang="en-US" sz="1100" b="0" i="0" u="none" strike="noStrike">
              <a:solidFill>
                <a:schemeClr val="dk1"/>
              </a:solidFill>
              <a:effectLst/>
              <a:latin typeface="+mn-lt"/>
              <a:ea typeface="+mn-ea"/>
              <a:cs typeface="+mn-cs"/>
            </a:rPr>
            <a:t>Phoenix demand</a:t>
          </a:r>
          <a:r>
            <a:rPr lang="en-US"/>
            <a:t> </a:t>
          </a:r>
        </a:p>
        <a:p>
          <a:r>
            <a:rPr lang="en-US" sz="1100" b="0" i="0" u="none" strike="noStrike">
              <a:solidFill>
                <a:schemeClr val="dk1"/>
              </a:solidFill>
              <a:effectLst/>
              <a:latin typeface="+mn-lt"/>
              <a:ea typeface="+mn-ea"/>
              <a:cs typeface="+mn-cs"/>
            </a:rPr>
            <a:t>Xbh+xah</a:t>
          </a:r>
          <a:r>
            <a:rPr lang="en-US"/>
            <a:t> </a:t>
          </a:r>
          <a:r>
            <a:rPr lang="en-US" sz="1100" b="0" i="0" u="none" strike="noStrike">
              <a:solidFill>
                <a:schemeClr val="dk1"/>
              </a:solidFill>
              <a:effectLst/>
              <a:latin typeface="+mn-lt"/>
              <a:ea typeface="+mn-ea"/>
              <a:cs typeface="+mn-cs"/>
            </a:rPr>
            <a:t>≥</a:t>
          </a:r>
          <a:r>
            <a:rPr lang="en-US"/>
            <a:t> </a:t>
          </a:r>
          <a:r>
            <a:rPr lang="en-US" sz="1100" b="0" i="0" u="none" strike="noStrike">
              <a:solidFill>
                <a:schemeClr val="dk1"/>
              </a:solidFill>
              <a:effectLst/>
              <a:latin typeface="+mn-lt"/>
              <a:ea typeface="+mn-ea"/>
              <a:cs typeface="+mn-cs"/>
            </a:rPr>
            <a:t>1100</a:t>
          </a:r>
          <a:r>
            <a:rPr lang="en-US"/>
            <a:t> </a:t>
          </a:r>
          <a:r>
            <a:rPr lang="en-US" sz="1100" b="0" i="0" u="none" strike="noStrike">
              <a:solidFill>
                <a:schemeClr val="dk1"/>
              </a:solidFill>
              <a:effectLst/>
              <a:latin typeface="+mn-lt"/>
              <a:ea typeface="+mn-ea"/>
              <a:cs typeface="+mn-cs"/>
            </a:rPr>
            <a:t>Houston demand</a:t>
          </a:r>
          <a:r>
            <a:rPr lang="en-US"/>
            <a:t> </a:t>
          </a:r>
        </a:p>
        <a:p>
          <a:r>
            <a:rPr lang="en-US" sz="1100" b="0" i="0" u="none" strike="noStrike">
              <a:solidFill>
                <a:schemeClr val="dk1"/>
              </a:solidFill>
              <a:effectLst/>
              <a:latin typeface="+mn-lt"/>
              <a:ea typeface="+mn-ea"/>
              <a:cs typeface="+mn-cs"/>
            </a:rPr>
            <a:t>Xbc+Xac</a:t>
          </a:r>
          <a:r>
            <a:rPr lang="en-US"/>
            <a:t> </a:t>
          </a:r>
          <a:r>
            <a:rPr lang="en-US" sz="1100" b="0" i="0" u="none" strike="noStrike">
              <a:solidFill>
                <a:schemeClr val="dk1"/>
              </a:solidFill>
              <a:effectLst/>
              <a:latin typeface="+mn-lt"/>
              <a:ea typeface="+mn-ea"/>
              <a:cs typeface="+mn-cs"/>
            </a:rPr>
            <a:t>≥</a:t>
          </a:r>
          <a:r>
            <a:rPr lang="en-US"/>
            <a:t> </a:t>
          </a:r>
          <a:r>
            <a:rPr lang="en-US" sz="1100" b="0" i="0" u="none" strike="noStrike">
              <a:solidFill>
                <a:schemeClr val="dk1"/>
              </a:solidFill>
              <a:effectLst/>
              <a:latin typeface="+mn-lt"/>
              <a:ea typeface="+mn-ea"/>
              <a:cs typeface="+mn-cs"/>
            </a:rPr>
            <a:t>1200</a:t>
          </a:r>
          <a:r>
            <a:rPr lang="en-US"/>
            <a:t> </a:t>
          </a:r>
          <a:r>
            <a:rPr lang="en-US" sz="1100" b="0" i="0" u="none" strike="noStrike">
              <a:solidFill>
                <a:schemeClr val="dk1"/>
              </a:solidFill>
              <a:effectLst/>
              <a:latin typeface="+mn-lt"/>
              <a:ea typeface="+mn-ea"/>
              <a:cs typeface="+mn-cs"/>
            </a:rPr>
            <a:t>Chicago demand</a:t>
          </a:r>
          <a:r>
            <a:rPr lang="en-US"/>
            <a:t> </a:t>
          </a:r>
        </a:p>
        <a:p>
          <a:r>
            <a:rPr lang="en-US" sz="1100" b="0" i="0" u="none" strike="noStrike">
              <a:solidFill>
                <a:schemeClr val="dk1"/>
              </a:solidFill>
              <a:effectLst/>
              <a:latin typeface="+mn-lt"/>
              <a:ea typeface="+mn-ea"/>
              <a:cs typeface="+mn-cs"/>
            </a:rPr>
            <a:t>Xbn+an</a:t>
          </a:r>
          <a:r>
            <a:rPr lang="en-US"/>
            <a:t> </a:t>
          </a:r>
          <a:r>
            <a:rPr lang="en-US" sz="1100" b="0" i="0" u="none" strike="noStrike">
              <a:solidFill>
                <a:schemeClr val="dk1"/>
              </a:solidFill>
              <a:effectLst/>
              <a:latin typeface="+mn-lt"/>
              <a:ea typeface="+mn-ea"/>
              <a:cs typeface="+mn-cs"/>
            </a:rPr>
            <a:t>≥</a:t>
          </a:r>
          <a:r>
            <a:rPr lang="en-US"/>
            <a:t> </a:t>
          </a:r>
          <a:r>
            <a:rPr lang="en-US" sz="1100" b="0" i="0" u="none" strike="noStrike">
              <a:solidFill>
                <a:schemeClr val="dk1"/>
              </a:solidFill>
              <a:effectLst/>
              <a:latin typeface="+mn-lt"/>
              <a:ea typeface="+mn-ea"/>
              <a:cs typeface="+mn-cs"/>
            </a:rPr>
            <a:t>1300</a:t>
          </a:r>
          <a:r>
            <a:rPr lang="en-US"/>
            <a:t> </a:t>
          </a:r>
          <a:r>
            <a:rPr lang="en-US" sz="1100" b="0" i="0" u="none" strike="noStrike">
              <a:solidFill>
                <a:schemeClr val="dk1"/>
              </a:solidFill>
              <a:effectLst/>
              <a:latin typeface="+mn-lt"/>
              <a:ea typeface="+mn-ea"/>
              <a:cs typeface="+mn-cs"/>
            </a:rPr>
            <a:t>New York demand</a:t>
          </a:r>
          <a:r>
            <a:rPr lang="en-US"/>
            <a:t> </a:t>
          </a:r>
        </a:p>
        <a:p>
          <a:r>
            <a:rPr lang="en-US" sz="1100" b="0" i="0" u="none" strike="noStrike">
              <a:solidFill>
                <a:schemeClr val="dk1"/>
              </a:solidFill>
              <a:effectLst/>
              <a:latin typeface="+mn-lt"/>
              <a:ea typeface="+mn-ea"/>
              <a:cs typeface="+mn-cs"/>
            </a:rPr>
            <a:t>Xbb+Xab</a:t>
          </a:r>
          <a:r>
            <a:rPr lang="en-US"/>
            <a:t> </a:t>
          </a:r>
          <a:r>
            <a:rPr lang="en-US" sz="1100" b="0" i="0" u="none" strike="noStrike">
              <a:solidFill>
                <a:schemeClr val="dk1"/>
              </a:solidFill>
              <a:effectLst/>
              <a:latin typeface="+mn-lt"/>
              <a:ea typeface="+mn-ea"/>
              <a:cs typeface="+mn-cs"/>
            </a:rPr>
            <a:t>≥</a:t>
          </a:r>
          <a:r>
            <a:rPr lang="en-US"/>
            <a:t> </a:t>
          </a:r>
          <a:r>
            <a:rPr lang="en-US" sz="1100" b="0" i="0" u="none" strike="noStrike">
              <a:solidFill>
                <a:schemeClr val="dk1"/>
              </a:solidFill>
              <a:effectLst/>
              <a:latin typeface="+mn-lt"/>
              <a:ea typeface="+mn-ea"/>
              <a:cs typeface="+mn-cs"/>
            </a:rPr>
            <a:t>1000</a:t>
          </a:r>
          <a:r>
            <a:rPr lang="en-US"/>
            <a:t> </a:t>
          </a:r>
          <a:r>
            <a:rPr lang="en-US" sz="1100" b="0" i="0" u="none" strike="noStrike">
              <a:solidFill>
                <a:schemeClr val="dk1"/>
              </a:solidFill>
              <a:effectLst/>
              <a:latin typeface="+mn-lt"/>
              <a:ea typeface="+mn-ea"/>
              <a:cs typeface="+mn-cs"/>
            </a:rPr>
            <a:t>Boston demand</a:t>
          </a:r>
          <a:r>
            <a:rPr lang="en-US"/>
            <a:t> </a:t>
          </a:r>
        </a:p>
        <a:p>
          <a:r>
            <a:rPr lang="en-US" sz="1100" b="0" i="0" u="none" strike="noStrike">
              <a:solidFill>
                <a:schemeClr val="dk1"/>
              </a:solidFill>
              <a:effectLst/>
              <a:latin typeface="+mn-lt"/>
              <a:ea typeface="+mn-ea"/>
              <a:cs typeface="+mn-cs"/>
            </a:rPr>
            <a:t>Xbm+Xam</a:t>
          </a:r>
          <a:r>
            <a:rPr lang="en-US"/>
            <a:t> </a:t>
          </a:r>
          <a:r>
            <a:rPr lang="en-US" sz="1100" b="0" i="0" u="none" strike="noStrike">
              <a:solidFill>
                <a:schemeClr val="dk1"/>
              </a:solidFill>
              <a:effectLst/>
              <a:latin typeface="+mn-lt"/>
              <a:ea typeface="+mn-ea"/>
              <a:cs typeface="+mn-cs"/>
            </a:rPr>
            <a:t>≥</a:t>
          </a:r>
          <a:r>
            <a:rPr lang="en-US"/>
            <a:t> </a:t>
          </a:r>
          <a:r>
            <a:rPr lang="en-US" sz="1100" b="0" i="0" u="none" strike="noStrike">
              <a:solidFill>
                <a:schemeClr val="dk1"/>
              </a:solidFill>
              <a:effectLst/>
              <a:latin typeface="+mn-lt"/>
              <a:ea typeface="+mn-ea"/>
              <a:cs typeface="+mn-cs"/>
            </a:rPr>
            <a:t>700</a:t>
          </a:r>
          <a:r>
            <a:rPr lang="en-US"/>
            <a:t> </a:t>
          </a:r>
          <a:r>
            <a:rPr lang="en-US" sz="1100" b="0" i="0" u="none" strike="noStrike">
              <a:solidFill>
                <a:schemeClr val="dk1"/>
              </a:solidFill>
              <a:effectLst/>
              <a:latin typeface="+mn-lt"/>
              <a:ea typeface="+mn-ea"/>
              <a:cs typeface="+mn-cs"/>
            </a:rPr>
            <a:t>Miami demand</a:t>
          </a:r>
          <a:r>
            <a:rPr lang="en-US"/>
            <a:t> </a:t>
          </a:r>
          <a:endParaRPr lang="en-US" sz="1100" b="1"/>
        </a:p>
      </xdr:txBody>
    </xdr:sp>
    <xdr:clientData/>
  </xdr:twoCellAnchor>
  <xdr:twoCellAnchor editAs="oneCell">
    <xdr:from>
      <xdr:col>1</xdr:col>
      <xdr:colOff>1</xdr:colOff>
      <xdr:row>36</xdr:row>
      <xdr:rowOff>1</xdr:rowOff>
    </xdr:from>
    <xdr:to>
      <xdr:col>7</xdr:col>
      <xdr:colOff>270260</xdr:colOff>
      <xdr:row>72</xdr:row>
      <xdr:rowOff>95250</xdr:rowOff>
    </xdr:to>
    <xdr:pic>
      <xdr:nvPicPr>
        <xdr:cNvPr id="6" name="Picture 5">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7220" y="6060282"/>
          <a:ext cx="6902040" cy="60959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24</xdr:col>
      <xdr:colOff>11907</xdr:colOff>
      <xdr:row>1</xdr:row>
      <xdr:rowOff>163284</xdr:rowOff>
    </xdr:from>
    <xdr:to>
      <xdr:col>28</xdr:col>
      <xdr:colOff>149679</xdr:colOff>
      <xdr:row>10</xdr:row>
      <xdr:rowOff>13606</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18340728" y="326570"/>
          <a:ext cx="2614272" cy="1319893"/>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Solution</a:t>
          </a:r>
          <a:r>
            <a:rPr lang="en-US" sz="1100" baseline="0"/>
            <a:t> from solver suggest that we need to relex the distance constrain at least up to 2,220 in order to reach optimal solution to minimize the transportation cost. </a:t>
          </a:r>
          <a:r>
            <a:rPr lang="en-US" sz="1100" baseline="0">
              <a:solidFill>
                <a:schemeClr val="dk1"/>
              </a:solidFill>
              <a:effectLst/>
              <a:latin typeface="+mn-lt"/>
              <a:ea typeface="+mn-ea"/>
              <a:cs typeface="+mn-cs"/>
            </a:rPr>
            <a:t>When relex the distance constrain, optimal grand total cost is $25,932,400.</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xdr:colOff>
      <xdr:row>16</xdr:row>
      <xdr:rowOff>149679</xdr:rowOff>
    </xdr:from>
    <xdr:to>
      <xdr:col>11</xdr:col>
      <xdr:colOff>190502</xdr:colOff>
      <xdr:row>25</xdr:row>
      <xdr:rowOff>23812</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6640287" y="2762250"/>
          <a:ext cx="2667001" cy="134370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Manufaturing plant-Warehouse Condition</a:t>
          </a:r>
        </a:p>
        <a:p>
          <a:r>
            <a:rPr lang="en-US" sz="1100" b="0"/>
            <a:t>Xds+Xdb+Xda</a:t>
          </a:r>
          <a:r>
            <a:rPr lang="en-US" sz="1100" b="0" baseline="0"/>
            <a:t> </a:t>
          </a:r>
          <a:r>
            <a:rPr lang="en-US" sz="1100" b="0"/>
            <a:t>≤ 5000</a:t>
          </a:r>
          <a:r>
            <a:rPr lang="en-US" sz="1100" b="0" baseline="0"/>
            <a:t> </a:t>
          </a:r>
          <a:r>
            <a:rPr lang="en-US" sz="1100" b="0"/>
            <a:t>Dallas supply</a:t>
          </a:r>
        </a:p>
        <a:p>
          <a:r>
            <a:rPr lang="en-US" sz="1100" b="0"/>
            <a:t>Xpb+Xpa ≤ 3000</a:t>
          </a:r>
          <a:r>
            <a:rPr lang="en-US" sz="1100" b="0" baseline="0"/>
            <a:t> </a:t>
          </a:r>
          <a:r>
            <a:rPr lang="en-US" sz="1100" b="0"/>
            <a:t>Philadelphia supply</a:t>
          </a:r>
        </a:p>
        <a:p>
          <a:endParaRPr lang="en-US" sz="1100" b="0"/>
        </a:p>
        <a:p>
          <a:r>
            <a:rPr lang="en-US" sz="1100" b="0"/>
            <a:t>Xds ≥ 4000</a:t>
          </a:r>
          <a:r>
            <a:rPr lang="en-US" sz="1100" b="0" baseline="0"/>
            <a:t> </a:t>
          </a:r>
          <a:r>
            <a:rPr lang="en-US" sz="1100" b="0"/>
            <a:t>Seattle demand</a:t>
          </a:r>
        </a:p>
        <a:p>
          <a:r>
            <a:rPr lang="en-US" sz="1100" b="0"/>
            <a:t>Xdb+Xpb ≥ 4000</a:t>
          </a:r>
          <a:r>
            <a:rPr lang="en-US" sz="1100" b="0" baseline="0"/>
            <a:t> </a:t>
          </a:r>
          <a:r>
            <a:rPr lang="en-US" sz="1100" b="0"/>
            <a:t>Boston demand</a:t>
          </a:r>
        </a:p>
        <a:p>
          <a:r>
            <a:rPr lang="en-US" sz="1100" b="0"/>
            <a:t>Xda+Xpa ≥ 4000	Atlanta demand</a:t>
          </a:r>
        </a:p>
        <a:p>
          <a:endParaRPr lang="en-US" sz="1100" b="1"/>
        </a:p>
      </xdr:txBody>
    </xdr:sp>
    <xdr:clientData/>
  </xdr:twoCellAnchor>
  <xdr:twoCellAnchor>
    <xdr:from>
      <xdr:col>22</xdr:col>
      <xdr:colOff>423182</xdr:colOff>
      <xdr:row>19</xdr:row>
      <xdr:rowOff>137432</xdr:rowOff>
    </xdr:from>
    <xdr:to>
      <xdr:col>28</xdr:col>
      <xdr:colOff>326571</xdr:colOff>
      <xdr:row>32</xdr:row>
      <xdr:rowOff>544286</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6887825" y="3239861"/>
          <a:ext cx="3618139" cy="2529568"/>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Warehouse-Distributor Condition</a:t>
          </a:r>
        </a:p>
        <a:p>
          <a:r>
            <a:rPr lang="en-US" sz="1100" b="0" i="0" u="none" strike="noStrike">
              <a:solidFill>
                <a:schemeClr val="dk1"/>
              </a:solidFill>
              <a:effectLst/>
              <a:latin typeface="+mn-lt"/>
              <a:ea typeface="+mn-ea"/>
              <a:cs typeface="+mn-cs"/>
            </a:rPr>
            <a:t>Xsl+Xss+Xsp</a:t>
          </a:r>
          <a:r>
            <a:rPr lang="en-US"/>
            <a:t> </a:t>
          </a:r>
          <a:r>
            <a:rPr lang="en-US" sz="1100" b="0" i="0" u="none" strike="noStrike">
              <a:solidFill>
                <a:schemeClr val="dk1"/>
              </a:solidFill>
              <a:effectLst/>
              <a:latin typeface="+mn-lt"/>
              <a:ea typeface="+mn-ea"/>
              <a:cs typeface="+mn-cs"/>
            </a:rPr>
            <a:t>≤</a:t>
          </a:r>
          <a:r>
            <a:rPr lang="en-US"/>
            <a:t> </a:t>
          </a:r>
          <a:r>
            <a:rPr lang="en-US" sz="1100" b="0" i="0" u="none" strike="noStrike">
              <a:solidFill>
                <a:schemeClr val="dk1"/>
              </a:solidFill>
              <a:effectLst/>
              <a:latin typeface="+mn-lt"/>
              <a:ea typeface="+mn-ea"/>
              <a:cs typeface="+mn-cs"/>
            </a:rPr>
            <a:t>500</a:t>
          </a:r>
          <a:r>
            <a:rPr lang="en-US"/>
            <a:t> </a:t>
          </a:r>
          <a:r>
            <a:rPr lang="en-US" sz="1100" b="0" i="0" u="none" strike="noStrike">
              <a:solidFill>
                <a:schemeClr val="dk1"/>
              </a:solidFill>
              <a:effectLst/>
              <a:latin typeface="+mn-lt"/>
              <a:ea typeface="+mn-ea"/>
              <a:cs typeface="+mn-cs"/>
            </a:rPr>
            <a:t>Seattle supply</a:t>
          </a:r>
          <a:r>
            <a:rPr lang="en-US"/>
            <a:t> </a:t>
          </a:r>
        </a:p>
        <a:p>
          <a:r>
            <a:rPr lang="en-US" sz="1100" b="0" i="0" u="none" strike="noStrike">
              <a:solidFill>
                <a:schemeClr val="dk1"/>
              </a:solidFill>
              <a:effectLst/>
              <a:latin typeface="+mn-lt"/>
              <a:ea typeface="+mn-ea"/>
              <a:cs typeface="+mn-cs"/>
            </a:rPr>
            <a:t>Xbh+Xbc+Xbn+Xbb+Xbm</a:t>
          </a:r>
          <a:r>
            <a:rPr lang="en-US"/>
            <a:t> </a:t>
          </a:r>
          <a:r>
            <a:rPr lang="en-US" sz="1100" b="0" i="0" u="none" strike="noStrike">
              <a:solidFill>
                <a:schemeClr val="dk1"/>
              </a:solidFill>
              <a:effectLst/>
              <a:latin typeface="+mn-lt"/>
              <a:ea typeface="+mn-ea"/>
              <a:cs typeface="+mn-cs"/>
            </a:rPr>
            <a:t>≤</a:t>
          </a:r>
          <a:r>
            <a:rPr lang="en-US"/>
            <a:t> </a:t>
          </a:r>
          <a:r>
            <a:rPr lang="en-US" sz="1100" b="0" i="0" u="none" strike="noStrike">
              <a:solidFill>
                <a:schemeClr val="dk1"/>
              </a:solidFill>
              <a:effectLst/>
              <a:latin typeface="+mn-lt"/>
              <a:ea typeface="+mn-ea"/>
              <a:cs typeface="+mn-cs"/>
            </a:rPr>
            <a:t>3000</a:t>
          </a:r>
          <a:r>
            <a:rPr lang="en-US"/>
            <a:t> </a:t>
          </a:r>
          <a:r>
            <a:rPr lang="en-US" sz="1100" b="0" i="0" u="none" strike="noStrike">
              <a:solidFill>
                <a:schemeClr val="dk1"/>
              </a:solidFill>
              <a:effectLst/>
              <a:latin typeface="+mn-lt"/>
              <a:ea typeface="+mn-ea"/>
              <a:cs typeface="+mn-cs"/>
            </a:rPr>
            <a:t>Boston supply</a:t>
          </a:r>
          <a:r>
            <a:rPr lang="en-US"/>
            <a:t> </a:t>
          </a:r>
          <a:r>
            <a:rPr lang="en-US" sz="1100" b="0" i="0" u="none" strike="noStrike">
              <a:solidFill>
                <a:schemeClr val="dk1"/>
              </a:solidFill>
              <a:effectLst/>
              <a:latin typeface="+mn-lt"/>
              <a:ea typeface="+mn-ea"/>
              <a:cs typeface="+mn-cs"/>
            </a:rPr>
            <a:t>Xap+Xah+Xac+Xan+Xab+Xam</a:t>
          </a:r>
          <a:r>
            <a:rPr lang="en-US"/>
            <a:t> </a:t>
          </a:r>
          <a:r>
            <a:rPr lang="en-US" sz="1100" b="0" i="0" u="none" strike="noStrike">
              <a:solidFill>
                <a:schemeClr val="dk1"/>
              </a:solidFill>
              <a:effectLst/>
              <a:latin typeface="+mn-lt"/>
              <a:ea typeface="+mn-ea"/>
              <a:cs typeface="+mn-cs"/>
            </a:rPr>
            <a:t>≤</a:t>
          </a:r>
          <a:r>
            <a:rPr lang="en-US"/>
            <a:t> </a:t>
          </a:r>
          <a:r>
            <a:rPr lang="en-US" sz="1100" b="0" i="0" u="none" strike="noStrike">
              <a:solidFill>
                <a:schemeClr val="dk1"/>
              </a:solidFill>
              <a:effectLst/>
              <a:latin typeface="+mn-lt"/>
              <a:ea typeface="+mn-ea"/>
              <a:cs typeface="+mn-cs"/>
            </a:rPr>
            <a:t>3000</a:t>
          </a:r>
          <a:r>
            <a:rPr lang="en-US"/>
            <a:t> </a:t>
          </a:r>
          <a:r>
            <a:rPr lang="en-US" sz="1100" b="0" i="0" u="none" strike="noStrike">
              <a:solidFill>
                <a:schemeClr val="dk1"/>
              </a:solidFill>
              <a:effectLst/>
              <a:latin typeface="+mn-lt"/>
              <a:ea typeface="+mn-ea"/>
              <a:cs typeface="+mn-cs"/>
            </a:rPr>
            <a:t>Atlanta supply</a:t>
          </a:r>
        </a:p>
        <a:p>
          <a:r>
            <a:rPr lang="en-US" sz="1100" b="0" i="0" u="none" strike="noStrike">
              <a:solidFill>
                <a:schemeClr val="dk1"/>
              </a:solidFill>
              <a:effectLst/>
              <a:latin typeface="+mn-lt"/>
              <a:ea typeface="+mn-ea"/>
              <a:cs typeface="+mn-cs"/>
            </a:rPr>
            <a:t>Xdl+Xds+Xdp+Xdh+Xdc+Xdn+Xdb+Xdm </a:t>
          </a:r>
          <a:r>
            <a:rPr lang="en-US" sz="1100" b="0" i="0">
              <a:solidFill>
                <a:schemeClr val="dk1"/>
              </a:solidFill>
              <a:effectLst/>
              <a:latin typeface="+mn-lt"/>
              <a:ea typeface="+mn-ea"/>
              <a:cs typeface="+mn-cs"/>
            </a:rPr>
            <a:t>≤ 1400 Dallas</a:t>
          </a:r>
          <a:r>
            <a:rPr lang="en-US" sz="1100" b="0" i="0" baseline="0">
              <a:solidFill>
                <a:schemeClr val="dk1"/>
              </a:solidFill>
              <a:effectLst/>
              <a:latin typeface="+mn-lt"/>
              <a:ea typeface="+mn-ea"/>
              <a:cs typeface="+mn-cs"/>
            </a:rPr>
            <a:t> Supply</a:t>
          </a:r>
          <a:endParaRPr lang="en-US" sz="1100" b="0" i="0" u="none" strike="noStrike">
            <a:solidFill>
              <a:schemeClr val="dk1"/>
            </a:solidFill>
            <a:effectLst/>
            <a:latin typeface="+mn-lt"/>
            <a:ea typeface="+mn-ea"/>
            <a:cs typeface="+mn-cs"/>
          </a:endParaRP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Xsl</a:t>
          </a:r>
          <a:r>
            <a:rPr lang="en-US"/>
            <a:t> </a:t>
          </a:r>
          <a:r>
            <a:rPr lang="en-US" sz="1100" b="0" i="0" u="none" strike="noStrike">
              <a:solidFill>
                <a:schemeClr val="dk1"/>
              </a:solidFill>
              <a:effectLst/>
              <a:latin typeface="+mn-lt"/>
              <a:ea typeface="+mn-ea"/>
              <a:cs typeface="+mn-cs"/>
            </a:rPr>
            <a:t>≥</a:t>
          </a:r>
          <a:r>
            <a:rPr lang="en-US"/>
            <a:t> </a:t>
          </a:r>
          <a:r>
            <a:rPr lang="en-US" sz="1100" b="0" i="0" u="none" strike="noStrike">
              <a:solidFill>
                <a:schemeClr val="dk1"/>
              </a:solidFill>
              <a:effectLst/>
              <a:latin typeface="+mn-lt"/>
              <a:ea typeface="+mn-ea"/>
              <a:cs typeface="+mn-cs"/>
            </a:rPr>
            <a:t>1400</a:t>
          </a:r>
          <a:r>
            <a:rPr lang="en-US"/>
            <a:t> </a:t>
          </a:r>
          <a:r>
            <a:rPr lang="en-US" sz="1100" b="0" i="0" u="none" strike="noStrike">
              <a:solidFill>
                <a:schemeClr val="dk1"/>
              </a:solidFill>
              <a:effectLst/>
              <a:latin typeface="+mn-lt"/>
              <a:ea typeface="+mn-ea"/>
              <a:cs typeface="+mn-cs"/>
            </a:rPr>
            <a:t>Los Angeles demand</a:t>
          </a:r>
          <a:r>
            <a:rPr lang="en-US"/>
            <a:t> </a:t>
          </a:r>
        </a:p>
        <a:p>
          <a:r>
            <a:rPr lang="en-US" sz="1100" b="0" i="0" u="none" strike="noStrike">
              <a:solidFill>
                <a:schemeClr val="dk1"/>
              </a:solidFill>
              <a:effectLst/>
              <a:latin typeface="+mn-lt"/>
              <a:ea typeface="+mn-ea"/>
              <a:cs typeface="+mn-cs"/>
            </a:rPr>
            <a:t>Xss</a:t>
          </a:r>
          <a:r>
            <a:rPr lang="en-US"/>
            <a:t> </a:t>
          </a:r>
          <a:r>
            <a:rPr lang="en-US" sz="1100" b="0" i="0" u="none" strike="noStrike">
              <a:solidFill>
                <a:schemeClr val="dk1"/>
              </a:solidFill>
              <a:effectLst/>
              <a:latin typeface="+mn-lt"/>
              <a:ea typeface="+mn-ea"/>
              <a:cs typeface="+mn-cs"/>
            </a:rPr>
            <a:t>≥</a:t>
          </a:r>
          <a:r>
            <a:rPr lang="en-US"/>
            <a:t> </a:t>
          </a:r>
          <a:r>
            <a:rPr lang="en-US" sz="1100" b="0" i="0" u="none" strike="noStrike">
              <a:solidFill>
                <a:schemeClr val="dk1"/>
              </a:solidFill>
              <a:effectLst/>
              <a:latin typeface="+mn-lt"/>
              <a:ea typeface="+mn-ea"/>
              <a:cs typeface="+mn-cs"/>
            </a:rPr>
            <a:t>500</a:t>
          </a:r>
          <a:r>
            <a:rPr lang="en-US"/>
            <a:t> </a:t>
          </a:r>
          <a:r>
            <a:rPr lang="en-US" sz="1100" b="0" i="0" u="none" strike="noStrike">
              <a:solidFill>
                <a:schemeClr val="dk1"/>
              </a:solidFill>
              <a:effectLst/>
              <a:latin typeface="+mn-lt"/>
              <a:ea typeface="+mn-ea"/>
              <a:cs typeface="+mn-cs"/>
            </a:rPr>
            <a:t>San Francisco demand</a:t>
          </a:r>
          <a:r>
            <a:rPr lang="en-US"/>
            <a:t> </a:t>
          </a:r>
        </a:p>
        <a:p>
          <a:r>
            <a:rPr lang="en-US" sz="1100" b="0" i="0" u="none" strike="noStrike">
              <a:solidFill>
                <a:schemeClr val="dk1"/>
              </a:solidFill>
              <a:effectLst/>
              <a:latin typeface="+mn-lt"/>
              <a:ea typeface="+mn-ea"/>
              <a:cs typeface="+mn-cs"/>
            </a:rPr>
            <a:t>Xsp+Xap</a:t>
          </a:r>
          <a:r>
            <a:rPr lang="en-US"/>
            <a:t> </a:t>
          </a:r>
          <a:r>
            <a:rPr lang="en-US" sz="1100" b="0" i="0" u="none" strike="noStrike">
              <a:solidFill>
                <a:schemeClr val="dk1"/>
              </a:solidFill>
              <a:effectLst/>
              <a:latin typeface="+mn-lt"/>
              <a:ea typeface="+mn-ea"/>
              <a:cs typeface="+mn-cs"/>
            </a:rPr>
            <a:t>≥</a:t>
          </a:r>
          <a:r>
            <a:rPr lang="en-US"/>
            <a:t> </a:t>
          </a:r>
          <a:r>
            <a:rPr lang="en-US" sz="1100" b="0" i="0" u="none" strike="noStrike">
              <a:solidFill>
                <a:schemeClr val="dk1"/>
              </a:solidFill>
              <a:effectLst/>
              <a:latin typeface="+mn-lt"/>
              <a:ea typeface="+mn-ea"/>
              <a:cs typeface="+mn-cs"/>
            </a:rPr>
            <a:t>700</a:t>
          </a:r>
          <a:r>
            <a:rPr lang="en-US"/>
            <a:t> </a:t>
          </a:r>
          <a:r>
            <a:rPr lang="en-US" sz="1100" b="0" i="0" u="none" strike="noStrike">
              <a:solidFill>
                <a:schemeClr val="dk1"/>
              </a:solidFill>
              <a:effectLst/>
              <a:latin typeface="+mn-lt"/>
              <a:ea typeface="+mn-ea"/>
              <a:cs typeface="+mn-cs"/>
            </a:rPr>
            <a:t>Phoenix demand</a:t>
          </a:r>
          <a:r>
            <a:rPr lang="en-US"/>
            <a:t> </a:t>
          </a:r>
        </a:p>
        <a:p>
          <a:r>
            <a:rPr lang="en-US" sz="1100" b="0" i="0" u="none" strike="noStrike">
              <a:solidFill>
                <a:schemeClr val="dk1"/>
              </a:solidFill>
              <a:effectLst/>
              <a:latin typeface="+mn-lt"/>
              <a:ea typeface="+mn-ea"/>
              <a:cs typeface="+mn-cs"/>
            </a:rPr>
            <a:t>Xbh+xah</a:t>
          </a:r>
          <a:r>
            <a:rPr lang="en-US"/>
            <a:t> </a:t>
          </a:r>
          <a:r>
            <a:rPr lang="en-US" sz="1100" b="0" i="0" u="none" strike="noStrike">
              <a:solidFill>
                <a:schemeClr val="dk1"/>
              </a:solidFill>
              <a:effectLst/>
              <a:latin typeface="+mn-lt"/>
              <a:ea typeface="+mn-ea"/>
              <a:cs typeface="+mn-cs"/>
            </a:rPr>
            <a:t>≥</a:t>
          </a:r>
          <a:r>
            <a:rPr lang="en-US"/>
            <a:t> </a:t>
          </a:r>
          <a:r>
            <a:rPr lang="en-US" sz="1100" b="0" i="0" u="none" strike="noStrike">
              <a:solidFill>
                <a:schemeClr val="dk1"/>
              </a:solidFill>
              <a:effectLst/>
              <a:latin typeface="+mn-lt"/>
              <a:ea typeface="+mn-ea"/>
              <a:cs typeface="+mn-cs"/>
            </a:rPr>
            <a:t>1100</a:t>
          </a:r>
          <a:r>
            <a:rPr lang="en-US"/>
            <a:t> </a:t>
          </a:r>
          <a:r>
            <a:rPr lang="en-US" sz="1100" b="0" i="0" u="none" strike="noStrike">
              <a:solidFill>
                <a:schemeClr val="dk1"/>
              </a:solidFill>
              <a:effectLst/>
              <a:latin typeface="+mn-lt"/>
              <a:ea typeface="+mn-ea"/>
              <a:cs typeface="+mn-cs"/>
            </a:rPr>
            <a:t>Houston demand</a:t>
          </a:r>
          <a:r>
            <a:rPr lang="en-US"/>
            <a:t> </a:t>
          </a:r>
        </a:p>
        <a:p>
          <a:r>
            <a:rPr lang="en-US" sz="1100" b="0" i="0" u="none" strike="noStrike">
              <a:solidFill>
                <a:schemeClr val="dk1"/>
              </a:solidFill>
              <a:effectLst/>
              <a:latin typeface="+mn-lt"/>
              <a:ea typeface="+mn-ea"/>
              <a:cs typeface="+mn-cs"/>
            </a:rPr>
            <a:t>Xbc+Xac</a:t>
          </a:r>
          <a:r>
            <a:rPr lang="en-US"/>
            <a:t> </a:t>
          </a:r>
          <a:r>
            <a:rPr lang="en-US" sz="1100" b="0" i="0" u="none" strike="noStrike">
              <a:solidFill>
                <a:schemeClr val="dk1"/>
              </a:solidFill>
              <a:effectLst/>
              <a:latin typeface="+mn-lt"/>
              <a:ea typeface="+mn-ea"/>
              <a:cs typeface="+mn-cs"/>
            </a:rPr>
            <a:t>≥</a:t>
          </a:r>
          <a:r>
            <a:rPr lang="en-US"/>
            <a:t> </a:t>
          </a:r>
          <a:r>
            <a:rPr lang="en-US" sz="1100" b="0" i="0" u="none" strike="noStrike">
              <a:solidFill>
                <a:schemeClr val="dk1"/>
              </a:solidFill>
              <a:effectLst/>
              <a:latin typeface="+mn-lt"/>
              <a:ea typeface="+mn-ea"/>
              <a:cs typeface="+mn-cs"/>
            </a:rPr>
            <a:t>1200</a:t>
          </a:r>
          <a:r>
            <a:rPr lang="en-US"/>
            <a:t> </a:t>
          </a:r>
          <a:r>
            <a:rPr lang="en-US" sz="1100" b="0" i="0" u="none" strike="noStrike">
              <a:solidFill>
                <a:schemeClr val="dk1"/>
              </a:solidFill>
              <a:effectLst/>
              <a:latin typeface="+mn-lt"/>
              <a:ea typeface="+mn-ea"/>
              <a:cs typeface="+mn-cs"/>
            </a:rPr>
            <a:t>Chicago demand</a:t>
          </a:r>
          <a:r>
            <a:rPr lang="en-US"/>
            <a:t> </a:t>
          </a:r>
        </a:p>
        <a:p>
          <a:r>
            <a:rPr lang="en-US" sz="1100" b="0" i="0" u="none" strike="noStrike">
              <a:solidFill>
                <a:schemeClr val="dk1"/>
              </a:solidFill>
              <a:effectLst/>
              <a:latin typeface="+mn-lt"/>
              <a:ea typeface="+mn-ea"/>
              <a:cs typeface="+mn-cs"/>
            </a:rPr>
            <a:t>Xbn+an</a:t>
          </a:r>
          <a:r>
            <a:rPr lang="en-US"/>
            <a:t> </a:t>
          </a:r>
          <a:r>
            <a:rPr lang="en-US" sz="1100" b="0" i="0" u="none" strike="noStrike">
              <a:solidFill>
                <a:schemeClr val="dk1"/>
              </a:solidFill>
              <a:effectLst/>
              <a:latin typeface="+mn-lt"/>
              <a:ea typeface="+mn-ea"/>
              <a:cs typeface="+mn-cs"/>
            </a:rPr>
            <a:t>≥</a:t>
          </a:r>
          <a:r>
            <a:rPr lang="en-US"/>
            <a:t> </a:t>
          </a:r>
          <a:r>
            <a:rPr lang="en-US" sz="1100" b="0" i="0" u="none" strike="noStrike">
              <a:solidFill>
                <a:schemeClr val="dk1"/>
              </a:solidFill>
              <a:effectLst/>
              <a:latin typeface="+mn-lt"/>
              <a:ea typeface="+mn-ea"/>
              <a:cs typeface="+mn-cs"/>
            </a:rPr>
            <a:t>1300</a:t>
          </a:r>
          <a:r>
            <a:rPr lang="en-US"/>
            <a:t> </a:t>
          </a:r>
          <a:r>
            <a:rPr lang="en-US" sz="1100" b="0" i="0" u="none" strike="noStrike">
              <a:solidFill>
                <a:schemeClr val="dk1"/>
              </a:solidFill>
              <a:effectLst/>
              <a:latin typeface="+mn-lt"/>
              <a:ea typeface="+mn-ea"/>
              <a:cs typeface="+mn-cs"/>
            </a:rPr>
            <a:t>New York demand</a:t>
          </a:r>
          <a:r>
            <a:rPr lang="en-US"/>
            <a:t> </a:t>
          </a:r>
        </a:p>
        <a:p>
          <a:r>
            <a:rPr lang="en-US" sz="1100" b="0" i="0" u="none" strike="noStrike">
              <a:solidFill>
                <a:schemeClr val="dk1"/>
              </a:solidFill>
              <a:effectLst/>
              <a:latin typeface="+mn-lt"/>
              <a:ea typeface="+mn-ea"/>
              <a:cs typeface="+mn-cs"/>
            </a:rPr>
            <a:t>Xbb+Xab</a:t>
          </a:r>
          <a:r>
            <a:rPr lang="en-US"/>
            <a:t> </a:t>
          </a:r>
          <a:r>
            <a:rPr lang="en-US" sz="1100" b="0" i="0" u="none" strike="noStrike">
              <a:solidFill>
                <a:schemeClr val="dk1"/>
              </a:solidFill>
              <a:effectLst/>
              <a:latin typeface="+mn-lt"/>
              <a:ea typeface="+mn-ea"/>
              <a:cs typeface="+mn-cs"/>
            </a:rPr>
            <a:t>≥</a:t>
          </a:r>
          <a:r>
            <a:rPr lang="en-US"/>
            <a:t> </a:t>
          </a:r>
          <a:r>
            <a:rPr lang="en-US" sz="1100" b="0" i="0" u="none" strike="noStrike">
              <a:solidFill>
                <a:schemeClr val="dk1"/>
              </a:solidFill>
              <a:effectLst/>
              <a:latin typeface="+mn-lt"/>
              <a:ea typeface="+mn-ea"/>
              <a:cs typeface="+mn-cs"/>
            </a:rPr>
            <a:t>1000</a:t>
          </a:r>
          <a:r>
            <a:rPr lang="en-US"/>
            <a:t> </a:t>
          </a:r>
          <a:r>
            <a:rPr lang="en-US" sz="1100" b="0" i="0" u="none" strike="noStrike">
              <a:solidFill>
                <a:schemeClr val="dk1"/>
              </a:solidFill>
              <a:effectLst/>
              <a:latin typeface="+mn-lt"/>
              <a:ea typeface="+mn-ea"/>
              <a:cs typeface="+mn-cs"/>
            </a:rPr>
            <a:t>Boston demand</a:t>
          </a:r>
          <a:r>
            <a:rPr lang="en-US"/>
            <a:t> </a:t>
          </a:r>
        </a:p>
        <a:p>
          <a:r>
            <a:rPr lang="en-US" sz="1100" b="0" i="0" u="none" strike="noStrike">
              <a:solidFill>
                <a:schemeClr val="dk1"/>
              </a:solidFill>
              <a:effectLst/>
              <a:latin typeface="+mn-lt"/>
              <a:ea typeface="+mn-ea"/>
              <a:cs typeface="+mn-cs"/>
            </a:rPr>
            <a:t>Xbm+Xam</a:t>
          </a:r>
          <a:r>
            <a:rPr lang="en-US"/>
            <a:t> </a:t>
          </a:r>
          <a:r>
            <a:rPr lang="en-US" sz="1100" b="0" i="0" u="none" strike="noStrike">
              <a:solidFill>
                <a:schemeClr val="dk1"/>
              </a:solidFill>
              <a:effectLst/>
              <a:latin typeface="+mn-lt"/>
              <a:ea typeface="+mn-ea"/>
              <a:cs typeface="+mn-cs"/>
            </a:rPr>
            <a:t>≥</a:t>
          </a:r>
          <a:r>
            <a:rPr lang="en-US"/>
            <a:t> </a:t>
          </a:r>
          <a:r>
            <a:rPr lang="en-US" sz="1100" b="0" i="0" u="none" strike="noStrike">
              <a:solidFill>
                <a:schemeClr val="dk1"/>
              </a:solidFill>
              <a:effectLst/>
              <a:latin typeface="+mn-lt"/>
              <a:ea typeface="+mn-ea"/>
              <a:cs typeface="+mn-cs"/>
            </a:rPr>
            <a:t>700</a:t>
          </a:r>
          <a:r>
            <a:rPr lang="en-US"/>
            <a:t> </a:t>
          </a:r>
          <a:r>
            <a:rPr lang="en-US" sz="1100" b="0" i="0" u="none" strike="noStrike">
              <a:solidFill>
                <a:schemeClr val="dk1"/>
              </a:solidFill>
              <a:effectLst/>
              <a:latin typeface="+mn-lt"/>
              <a:ea typeface="+mn-ea"/>
              <a:cs typeface="+mn-cs"/>
            </a:rPr>
            <a:t>Miami demand</a:t>
          </a:r>
          <a:r>
            <a:rPr lang="en-US"/>
            <a:t> </a:t>
          </a:r>
          <a:endParaRPr lang="en-US" sz="1100" b="1"/>
        </a:p>
      </xdr:txBody>
    </xdr:sp>
    <xdr:clientData/>
  </xdr:twoCellAnchor>
  <xdr:twoCellAnchor editAs="oneCell">
    <xdr:from>
      <xdr:col>1</xdr:col>
      <xdr:colOff>0</xdr:colOff>
      <xdr:row>36</xdr:row>
      <xdr:rowOff>0</xdr:rowOff>
    </xdr:from>
    <xdr:to>
      <xdr:col>7</xdr:col>
      <xdr:colOff>526790</xdr:colOff>
      <xdr:row>72</xdr:row>
      <xdr:rowOff>68035</xdr:rowOff>
    </xdr:to>
    <xdr:pic>
      <xdr:nvPicPr>
        <xdr:cNvPr id="8" name="Picture 7">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2321" y="6381750"/>
          <a:ext cx="7343969" cy="59463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24</xdr:col>
      <xdr:colOff>0</xdr:colOff>
      <xdr:row>3</xdr:row>
      <xdr:rowOff>0</xdr:rowOff>
    </xdr:from>
    <xdr:to>
      <xdr:col>28</xdr:col>
      <xdr:colOff>40822</xdr:colOff>
      <xdr:row>11</xdr:row>
      <xdr:rowOff>27214</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18492107" y="489857"/>
          <a:ext cx="2517322" cy="133350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Solution</a:t>
          </a:r>
          <a:r>
            <a:rPr lang="en-US" sz="1100" baseline="0"/>
            <a:t> from solver suggest that we need to relex the distance constrain at least up to 2,220 in order to reach optimal solution to minimize the transportation cost. </a:t>
          </a:r>
          <a:r>
            <a:rPr lang="en-US" sz="1100" baseline="0">
              <a:solidFill>
                <a:schemeClr val="dk1"/>
              </a:solidFill>
              <a:effectLst/>
              <a:latin typeface="+mn-lt"/>
              <a:ea typeface="+mn-ea"/>
              <a:cs typeface="+mn-cs"/>
            </a:rPr>
            <a:t>When relex the distance constrain, optimal grand total cost is $16,755,200.</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440055</xdr:colOff>
      <xdr:row>0</xdr:row>
      <xdr:rowOff>83820</xdr:rowOff>
    </xdr:from>
    <xdr:to>
      <xdr:col>20</xdr:col>
      <xdr:colOff>373380</xdr:colOff>
      <xdr:row>29</xdr:row>
      <xdr:rowOff>134749</xdr:rowOff>
    </xdr:to>
    <xdr:pic>
      <xdr:nvPicPr>
        <xdr:cNvPr id="3" name="Picture 2">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5655" y="83820"/>
          <a:ext cx="5419725" cy="49124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xdr:colOff>
      <xdr:row>31</xdr:row>
      <xdr:rowOff>0</xdr:rowOff>
    </xdr:from>
    <xdr:to>
      <xdr:col>10</xdr:col>
      <xdr:colOff>352425</xdr:colOff>
      <xdr:row>60</xdr:row>
      <xdr:rowOff>13922</xdr:rowOff>
    </xdr:to>
    <xdr:pic>
      <xdr:nvPicPr>
        <xdr:cNvPr id="4" name="Picture 3">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1" y="5019675"/>
          <a:ext cx="5838824" cy="47097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xdr:colOff>
      <xdr:row>1</xdr:row>
      <xdr:rowOff>0</xdr:rowOff>
    </xdr:from>
    <xdr:to>
      <xdr:col>10</xdr:col>
      <xdr:colOff>342900</xdr:colOff>
      <xdr:row>29</xdr:row>
      <xdr:rowOff>87283</xdr:rowOff>
    </xdr:to>
    <xdr:pic>
      <xdr:nvPicPr>
        <xdr:cNvPr id="5" name="그림 4" descr="https://documents.lucid.app/documents/323ebf90-f4cb-4d47-bf47-cef0515f3e56/pages/xQJNQLhpFtE_?a=1271&amp;x=-12&amp;y=-79&amp;w=1584&amp;h=1298&amp;store=1&amp;accept=image%2F*&amp;auth=LCA%202ef864c2e4dc87a2ce001bd741428de8392dd2a5-ts%3D1605811657">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1" y="167640"/>
          <a:ext cx="5829299" cy="47812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36"/>
  <sheetViews>
    <sheetView tabSelected="1" zoomScale="70" zoomScaleNormal="70" workbookViewId="0">
      <selection activeCell="O47" sqref="O47"/>
    </sheetView>
  </sheetViews>
  <sheetFormatPr defaultRowHeight="12.75" x14ac:dyDescent="0.2"/>
  <cols>
    <col min="2" max="2" width="36.28515625" bestFit="1" customWidth="1"/>
    <col min="3" max="3" width="16.42578125" bestFit="1" customWidth="1"/>
    <col min="4" max="4" width="19" customWidth="1"/>
    <col min="5" max="7" width="10.140625" bestFit="1" customWidth="1"/>
    <col min="9" max="9" width="10.140625" bestFit="1" customWidth="1"/>
    <col min="11" max="11" width="10.140625" bestFit="1" customWidth="1"/>
    <col min="15" max="15" width="18.28515625" customWidth="1"/>
    <col min="16" max="23" width="10.140625" bestFit="1" customWidth="1"/>
    <col min="25" max="25" width="10.140625" bestFit="1" customWidth="1"/>
    <col min="27" max="27" width="10.140625" bestFit="1" customWidth="1"/>
  </cols>
  <sheetData>
    <row r="1" spans="1:28" x14ac:dyDescent="0.2">
      <c r="A1" s="21"/>
      <c r="B1" s="21"/>
      <c r="C1" s="21"/>
      <c r="D1" s="21"/>
      <c r="E1" s="21"/>
      <c r="F1" s="21"/>
      <c r="G1" s="21"/>
      <c r="H1" s="21"/>
      <c r="I1" s="21"/>
      <c r="J1" s="21"/>
      <c r="K1" s="21"/>
      <c r="L1" s="21"/>
      <c r="M1" s="21"/>
      <c r="N1" s="21"/>
      <c r="O1" s="21"/>
      <c r="P1" s="21"/>
      <c r="Q1" s="21"/>
      <c r="R1" s="21"/>
      <c r="S1" s="21"/>
      <c r="T1" s="21"/>
      <c r="U1" s="21"/>
      <c r="V1" s="21"/>
      <c r="W1" s="21"/>
      <c r="X1" s="21"/>
      <c r="Y1" s="21"/>
      <c r="Z1" s="21"/>
      <c r="AA1" s="21"/>
      <c r="AB1" s="21"/>
    </row>
    <row r="2" spans="1:28" x14ac:dyDescent="0.2">
      <c r="A2" s="21"/>
      <c r="B2" s="22" t="s">
        <v>28</v>
      </c>
      <c r="C2" s="21"/>
      <c r="D2" s="21"/>
      <c r="E2" s="21"/>
      <c r="F2" s="21"/>
      <c r="G2" s="21"/>
      <c r="H2" s="21"/>
      <c r="I2" s="21"/>
      <c r="J2" s="21"/>
      <c r="K2" s="21"/>
      <c r="L2" s="21"/>
      <c r="M2" s="22" t="s">
        <v>27</v>
      </c>
      <c r="N2" s="21"/>
      <c r="O2" s="21"/>
      <c r="P2" s="21"/>
      <c r="Q2" s="21"/>
      <c r="R2" s="21"/>
      <c r="S2" s="21"/>
      <c r="T2" s="21"/>
      <c r="U2" s="21"/>
      <c r="V2" s="21"/>
      <c r="W2" s="21"/>
      <c r="X2" s="21"/>
      <c r="Y2" s="21"/>
      <c r="Z2" s="21"/>
      <c r="AA2" s="21"/>
      <c r="AB2" s="21"/>
    </row>
    <row r="3" spans="1:28" x14ac:dyDescent="0.2">
      <c r="A3" s="21"/>
      <c r="B3" s="22" t="s">
        <v>1</v>
      </c>
      <c r="C3" s="23"/>
      <c r="D3" s="23"/>
      <c r="E3" s="23"/>
      <c r="F3" s="23"/>
      <c r="G3" s="23"/>
      <c r="H3" s="23"/>
      <c r="I3" s="23"/>
      <c r="J3" s="23"/>
      <c r="K3" s="23"/>
      <c r="L3" s="21"/>
      <c r="M3" s="22" t="s">
        <v>1</v>
      </c>
      <c r="N3" s="23"/>
      <c r="O3" s="23"/>
      <c r="P3" s="23"/>
      <c r="Q3" s="23"/>
      <c r="R3" s="23"/>
      <c r="S3" s="23"/>
      <c r="T3" s="23"/>
      <c r="U3" s="23"/>
      <c r="V3" s="23"/>
      <c r="W3" s="21"/>
      <c r="X3" s="21"/>
      <c r="Y3" s="21"/>
      <c r="Z3" s="21"/>
      <c r="AA3" s="21"/>
      <c r="AB3" s="21"/>
    </row>
    <row r="4" spans="1:28" x14ac:dyDescent="0.2">
      <c r="A4" s="21"/>
      <c r="B4" s="23"/>
      <c r="C4" s="22" t="s">
        <v>2</v>
      </c>
      <c r="D4" s="22" t="s">
        <v>12</v>
      </c>
      <c r="E4" s="22" t="s">
        <v>13</v>
      </c>
      <c r="F4" s="22" t="s">
        <v>14</v>
      </c>
      <c r="G4" s="24" t="s">
        <v>3</v>
      </c>
      <c r="H4" s="24"/>
      <c r="I4" s="23"/>
      <c r="J4" s="23"/>
      <c r="K4" s="23"/>
      <c r="L4" s="21"/>
      <c r="M4" s="23"/>
      <c r="N4" s="22" t="s">
        <v>2</v>
      </c>
      <c r="O4" s="22" t="s">
        <v>15</v>
      </c>
      <c r="P4" s="22" t="s">
        <v>16</v>
      </c>
      <c r="Q4" s="22" t="s">
        <v>25</v>
      </c>
      <c r="R4" s="24" t="s">
        <v>17</v>
      </c>
      <c r="S4" s="24" t="s">
        <v>18</v>
      </c>
      <c r="T4" s="22" t="s">
        <v>26</v>
      </c>
      <c r="U4" s="22" t="s">
        <v>13</v>
      </c>
      <c r="V4" s="22" t="s">
        <v>19</v>
      </c>
      <c r="W4" s="22" t="s">
        <v>3</v>
      </c>
      <c r="X4" s="21"/>
      <c r="Y4" s="21"/>
      <c r="Z4" s="21"/>
      <c r="AA4" s="21"/>
      <c r="AB4" s="21"/>
    </row>
    <row r="5" spans="1:28" x14ac:dyDescent="0.2">
      <c r="A5" s="21"/>
      <c r="B5" s="23"/>
      <c r="C5" s="25" t="s">
        <v>11</v>
      </c>
      <c r="D5" s="6">
        <v>2096</v>
      </c>
      <c r="E5" s="7">
        <v>1769</v>
      </c>
      <c r="F5" s="7">
        <v>781</v>
      </c>
      <c r="G5" s="26">
        <v>5000</v>
      </c>
      <c r="H5" s="27"/>
      <c r="I5" s="23"/>
      <c r="J5" s="23"/>
      <c r="K5" s="23"/>
      <c r="L5" s="21"/>
      <c r="M5" s="23"/>
      <c r="N5" s="25" t="s">
        <v>12</v>
      </c>
      <c r="O5" s="6">
        <v>1135</v>
      </c>
      <c r="P5" s="7">
        <v>807</v>
      </c>
      <c r="Q5" s="7">
        <v>1505</v>
      </c>
      <c r="R5" s="7">
        <v>2344</v>
      </c>
      <c r="S5" s="7">
        <v>2067</v>
      </c>
      <c r="T5" s="65">
        <v>2857</v>
      </c>
      <c r="U5" s="65">
        <v>3051</v>
      </c>
      <c r="V5" s="66">
        <v>3302</v>
      </c>
      <c r="W5" s="28">
        <f>D16</f>
        <v>900</v>
      </c>
      <c r="X5" s="21"/>
      <c r="Y5" s="21"/>
      <c r="Z5" s="21"/>
      <c r="AA5" s="21"/>
      <c r="AB5" s="21"/>
    </row>
    <row r="6" spans="1:28" x14ac:dyDescent="0.2">
      <c r="A6" s="21"/>
      <c r="B6" s="23"/>
      <c r="C6" s="25" t="s">
        <v>20</v>
      </c>
      <c r="D6" s="64">
        <v>2800</v>
      </c>
      <c r="E6" s="8">
        <v>310</v>
      </c>
      <c r="F6" s="9">
        <v>777</v>
      </c>
      <c r="G6" s="29">
        <v>3000</v>
      </c>
      <c r="H6" s="27"/>
      <c r="I6" s="23"/>
      <c r="J6" s="23"/>
      <c r="K6" s="23"/>
      <c r="L6" s="21"/>
      <c r="M6" s="23"/>
      <c r="N6" s="25" t="s">
        <v>13</v>
      </c>
      <c r="O6" s="64">
        <v>2987</v>
      </c>
      <c r="P6" s="8">
        <v>3101</v>
      </c>
      <c r="Q6" s="8">
        <v>2650</v>
      </c>
      <c r="R6" s="8">
        <v>1849</v>
      </c>
      <c r="S6" s="8">
        <v>982</v>
      </c>
      <c r="T6" s="30">
        <v>200</v>
      </c>
      <c r="U6" s="30">
        <v>0</v>
      </c>
      <c r="V6" s="57">
        <v>1500</v>
      </c>
      <c r="W6" s="28">
        <f>E16</f>
        <v>3000</v>
      </c>
      <c r="X6" s="21"/>
      <c r="Y6" s="21"/>
      <c r="Z6" s="21"/>
      <c r="AA6" s="21"/>
      <c r="AB6" s="21"/>
    </row>
    <row r="7" spans="1:28" x14ac:dyDescent="0.2">
      <c r="A7" s="21"/>
      <c r="B7" s="23"/>
      <c r="C7" s="31" t="s">
        <v>4</v>
      </c>
      <c r="D7" s="32">
        <v>4000</v>
      </c>
      <c r="E7" s="33">
        <v>4000</v>
      </c>
      <c r="F7" s="33">
        <v>4000</v>
      </c>
      <c r="G7" s="34"/>
      <c r="H7" s="35"/>
      <c r="I7" s="23"/>
      <c r="J7" s="23"/>
      <c r="K7" s="23"/>
      <c r="L7" s="21"/>
      <c r="M7" s="23"/>
      <c r="N7" s="25" t="s">
        <v>14</v>
      </c>
      <c r="O7" s="67">
        <v>2220</v>
      </c>
      <c r="P7" s="36">
        <v>2476</v>
      </c>
      <c r="Q7" s="36">
        <v>1864</v>
      </c>
      <c r="R7" s="36">
        <v>793</v>
      </c>
      <c r="S7" s="36">
        <v>718</v>
      </c>
      <c r="T7" s="37">
        <v>865</v>
      </c>
      <c r="U7" s="37">
        <v>1078</v>
      </c>
      <c r="V7" s="38">
        <v>664</v>
      </c>
      <c r="W7" s="28">
        <f>F16</f>
        <v>4000</v>
      </c>
      <c r="X7" s="21"/>
      <c r="Y7" s="21"/>
      <c r="Z7" s="21"/>
      <c r="AA7" s="21"/>
      <c r="AB7" s="21"/>
    </row>
    <row r="8" spans="1:28" x14ac:dyDescent="0.2">
      <c r="A8" s="21"/>
      <c r="B8" s="23"/>
      <c r="C8" s="23"/>
      <c r="D8" s="23"/>
      <c r="E8" s="23"/>
      <c r="F8" s="23"/>
      <c r="G8" s="23"/>
      <c r="H8" s="23"/>
      <c r="I8" s="23"/>
      <c r="J8" s="23"/>
      <c r="K8" s="23"/>
      <c r="L8" s="21"/>
      <c r="M8" s="23"/>
      <c r="N8" s="31" t="s">
        <v>4</v>
      </c>
      <c r="O8" s="39">
        <v>1400</v>
      </c>
      <c r="P8" s="40">
        <v>500</v>
      </c>
      <c r="Q8" s="40">
        <v>700</v>
      </c>
      <c r="R8" s="41">
        <v>1100</v>
      </c>
      <c r="S8" s="41">
        <v>1200</v>
      </c>
      <c r="T8" s="41">
        <v>1300</v>
      </c>
      <c r="U8" s="41">
        <v>1000</v>
      </c>
      <c r="V8" s="42">
        <v>700</v>
      </c>
      <c r="W8" s="21"/>
      <c r="X8" s="21"/>
      <c r="Y8" s="21"/>
      <c r="Z8" s="21"/>
      <c r="AA8" s="21"/>
      <c r="AB8" s="21"/>
    </row>
    <row r="9" spans="1:28" x14ac:dyDescent="0.2">
      <c r="A9" s="21"/>
      <c r="B9" s="23"/>
      <c r="C9" s="23"/>
      <c r="D9" s="23"/>
      <c r="E9" s="23"/>
      <c r="F9" s="23"/>
      <c r="G9" s="23"/>
      <c r="H9" s="23"/>
      <c r="I9" s="23"/>
      <c r="J9" s="23"/>
      <c r="K9" s="23"/>
      <c r="L9" s="21"/>
      <c r="M9" s="23"/>
      <c r="N9" s="23"/>
      <c r="O9" s="23"/>
      <c r="P9" s="23"/>
      <c r="Q9" s="23"/>
      <c r="R9" s="23"/>
      <c r="S9" s="23"/>
      <c r="T9" s="23"/>
      <c r="U9" s="23"/>
      <c r="V9" s="23"/>
      <c r="W9" s="21"/>
      <c r="X9" s="21"/>
      <c r="Y9" s="21"/>
      <c r="Z9" s="21"/>
      <c r="AA9" s="21"/>
      <c r="AB9" s="21"/>
    </row>
    <row r="10" spans="1:28" x14ac:dyDescent="0.2">
      <c r="A10" s="21"/>
      <c r="B10" s="22" t="s">
        <v>5</v>
      </c>
      <c r="C10" s="23"/>
      <c r="D10" s="23"/>
      <c r="E10" s="23"/>
      <c r="F10" s="23"/>
      <c r="G10" s="23"/>
      <c r="H10" s="23"/>
      <c r="I10" s="23"/>
      <c r="J10" s="23"/>
      <c r="K10" s="23"/>
      <c r="L10" s="21"/>
      <c r="M10" s="23"/>
      <c r="N10" s="23"/>
      <c r="O10" s="23"/>
      <c r="P10" s="23"/>
      <c r="Q10" s="23"/>
      <c r="R10" s="23"/>
      <c r="S10" s="23"/>
      <c r="T10" s="23"/>
      <c r="U10" s="23"/>
      <c r="V10" s="23"/>
      <c r="W10" s="21"/>
      <c r="X10" s="21"/>
      <c r="Y10" s="21"/>
      <c r="Z10" s="21"/>
      <c r="AA10" s="21"/>
      <c r="AB10" s="21"/>
    </row>
    <row r="11" spans="1:28" x14ac:dyDescent="0.2">
      <c r="A11" s="21"/>
      <c r="B11" s="23"/>
      <c r="C11" s="23"/>
      <c r="D11" s="73" t="s">
        <v>10</v>
      </c>
      <c r="E11" s="73"/>
      <c r="F11" s="73"/>
      <c r="G11" s="23"/>
      <c r="H11" s="23"/>
      <c r="I11" s="23"/>
      <c r="J11" s="23"/>
      <c r="K11" s="23"/>
      <c r="L11" s="21"/>
      <c r="M11" s="22" t="s">
        <v>5</v>
      </c>
      <c r="N11" s="23"/>
      <c r="O11" s="23"/>
      <c r="P11" s="23"/>
      <c r="Q11" s="23"/>
      <c r="R11" s="23"/>
      <c r="S11" s="23"/>
      <c r="T11" s="23"/>
      <c r="U11" s="23"/>
      <c r="V11" s="23"/>
      <c r="W11" s="21"/>
      <c r="X11" s="21"/>
      <c r="Y11" s="21"/>
      <c r="Z11" s="21"/>
      <c r="AA11" s="21"/>
      <c r="AB11" s="21"/>
    </row>
    <row r="12" spans="1:28" x14ac:dyDescent="0.2">
      <c r="A12" s="21"/>
      <c r="B12" s="23"/>
      <c r="C12" s="23"/>
      <c r="D12" s="43" t="s">
        <v>12</v>
      </c>
      <c r="E12" s="43" t="s">
        <v>13</v>
      </c>
      <c r="F12" s="43" t="s">
        <v>14</v>
      </c>
      <c r="G12" s="23"/>
      <c r="H12" s="23"/>
      <c r="I12" s="44" t="s">
        <v>3</v>
      </c>
      <c r="J12" s="23"/>
      <c r="K12" s="23"/>
      <c r="L12" s="21"/>
      <c r="M12" s="23"/>
      <c r="N12" s="23"/>
      <c r="O12" s="73" t="s">
        <v>10</v>
      </c>
      <c r="P12" s="73"/>
      <c r="Q12" s="73"/>
      <c r="R12" s="45"/>
      <c r="S12" s="46"/>
      <c r="T12" s="46"/>
      <c r="U12" s="46"/>
      <c r="V12" s="47"/>
      <c r="W12" s="21"/>
      <c r="X12" s="21"/>
      <c r="Y12" s="21"/>
      <c r="Z12" s="21"/>
      <c r="AA12" s="21"/>
      <c r="AB12" s="21"/>
    </row>
    <row r="13" spans="1:28" x14ac:dyDescent="0.2">
      <c r="A13" s="21"/>
      <c r="B13" s="74" t="s">
        <v>9</v>
      </c>
      <c r="C13" s="48" t="s">
        <v>11</v>
      </c>
      <c r="D13" s="10">
        <v>900</v>
      </c>
      <c r="E13" s="11">
        <v>0</v>
      </c>
      <c r="F13" s="11">
        <v>4000</v>
      </c>
      <c r="G13" s="23"/>
      <c r="H13" s="23"/>
      <c r="I13" s="49">
        <f>SUM(D13:F13)</f>
        <v>4900</v>
      </c>
      <c r="J13" s="17" t="s">
        <v>6</v>
      </c>
      <c r="K13" s="50">
        <f>G5</f>
        <v>5000</v>
      </c>
      <c r="L13" s="21"/>
      <c r="M13" s="23"/>
      <c r="N13" s="23"/>
      <c r="O13" s="43" t="s">
        <v>15</v>
      </c>
      <c r="P13" s="43" t="s">
        <v>16</v>
      </c>
      <c r="Q13" s="43" t="s">
        <v>25</v>
      </c>
      <c r="R13" s="43" t="s">
        <v>17</v>
      </c>
      <c r="S13" s="43" t="s">
        <v>18</v>
      </c>
      <c r="T13" s="43" t="s">
        <v>26</v>
      </c>
      <c r="U13" s="43" t="s">
        <v>13</v>
      </c>
      <c r="V13" s="43" t="s">
        <v>19</v>
      </c>
      <c r="W13" s="23"/>
      <c r="X13" s="23"/>
      <c r="Y13" s="44" t="s">
        <v>3</v>
      </c>
      <c r="Z13" s="23"/>
      <c r="AA13" s="23"/>
      <c r="AB13" s="21"/>
    </row>
    <row r="14" spans="1:28" x14ac:dyDescent="0.2">
      <c r="A14" s="21"/>
      <c r="B14" s="74"/>
      <c r="C14" s="48" t="s">
        <v>20</v>
      </c>
      <c r="D14" s="12">
        <v>0</v>
      </c>
      <c r="E14" s="13">
        <v>3000</v>
      </c>
      <c r="F14" s="13">
        <v>0</v>
      </c>
      <c r="G14" s="23"/>
      <c r="H14" s="23"/>
      <c r="I14" s="51">
        <f>SUM(D14:F14)</f>
        <v>3000</v>
      </c>
      <c r="J14" s="17" t="s">
        <v>6</v>
      </c>
      <c r="K14" s="52">
        <f>G6</f>
        <v>3000</v>
      </c>
      <c r="L14" s="21"/>
      <c r="M14" s="74" t="s">
        <v>9</v>
      </c>
      <c r="N14" s="48" t="s">
        <v>12</v>
      </c>
      <c r="O14" s="10">
        <v>400</v>
      </c>
      <c r="P14" s="11">
        <v>500</v>
      </c>
      <c r="Q14" s="11">
        <v>0</v>
      </c>
      <c r="R14" s="11">
        <v>0</v>
      </c>
      <c r="S14" s="11">
        <v>0</v>
      </c>
      <c r="T14" s="11">
        <v>0</v>
      </c>
      <c r="U14" s="11">
        <v>0</v>
      </c>
      <c r="V14" s="11">
        <v>0</v>
      </c>
      <c r="W14" s="23"/>
      <c r="X14" s="23"/>
      <c r="Y14" s="49">
        <f>SUM(O14:V14)</f>
        <v>900</v>
      </c>
      <c r="Z14" s="63" t="s">
        <v>6</v>
      </c>
      <c r="AA14" s="50">
        <f>D16</f>
        <v>900</v>
      </c>
      <c r="AB14" s="21"/>
    </row>
    <row r="15" spans="1:28" x14ac:dyDescent="0.2">
      <c r="A15" s="21"/>
      <c r="B15" s="23"/>
      <c r="C15" s="53"/>
      <c r="D15" s="23"/>
      <c r="E15" s="23"/>
      <c r="F15" s="23"/>
      <c r="G15" s="23"/>
      <c r="H15" s="23"/>
      <c r="I15" s="23"/>
      <c r="J15" s="23"/>
      <c r="K15" s="23"/>
      <c r="L15" s="21"/>
      <c r="M15" s="74"/>
      <c r="N15" s="48" t="s">
        <v>13</v>
      </c>
      <c r="O15" s="12">
        <v>0</v>
      </c>
      <c r="P15" s="13">
        <v>0</v>
      </c>
      <c r="Q15" s="13">
        <v>0</v>
      </c>
      <c r="R15" s="13">
        <v>0</v>
      </c>
      <c r="S15" s="13">
        <v>700</v>
      </c>
      <c r="T15" s="13">
        <v>1300</v>
      </c>
      <c r="U15" s="13">
        <v>1000</v>
      </c>
      <c r="V15" s="13">
        <v>0</v>
      </c>
      <c r="W15" s="23"/>
      <c r="X15" s="23"/>
      <c r="Y15" s="71">
        <f t="shared" ref="Y15:Y16" si="0">SUM(O15:V15)</f>
        <v>3000</v>
      </c>
      <c r="Z15" s="63" t="s">
        <v>6</v>
      </c>
      <c r="AA15" s="72">
        <f>E16</f>
        <v>3000</v>
      </c>
      <c r="AB15" s="21"/>
    </row>
    <row r="16" spans="1:28" x14ac:dyDescent="0.2">
      <c r="A16" s="21"/>
      <c r="B16" s="23"/>
      <c r="C16" s="31" t="s">
        <v>4</v>
      </c>
      <c r="D16" s="14">
        <f>SUM(D13:D14)</f>
        <v>900</v>
      </c>
      <c r="E16" s="15">
        <f>SUM(E13:E14)</f>
        <v>3000</v>
      </c>
      <c r="F16" s="16">
        <f>SUM(F13:F14)</f>
        <v>4000</v>
      </c>
      <c r="G16" s="23"/>
      <c r="H16" s="23"/>
      <c r="I16" s="23"/>
      <c r="J16" s="23"/>
      <c r="K16" s="23"/>
      <c r="L16" s="21"/>
      <c r="M16" s="74"/>
      <c r="N16" s="48" t="s">
        <v>14</v>
      </c>
      <c r="O16" s="12">
        <v>1000</v>
      </c>
      <c r="P16" s="13">
        <v>0</v>
      </c>
      <c r="Q16" s="13">
        <v>700</v>
      </c>
      <c r="R16" s="13">
        <v>1100</v>
      </c>
      <c r="S16" s="13">
        <v>500</v>
      </c>
      <c r="T16" s="13">
        <v>0</v>
      </c>
      <c r="U16" s="13">
        <v>0</v>
      </c>
      <c r="V16" s="13">
        <v>700</v>
      </c>
      <c r="W16" s="23"/>
      <c r="X16" s="23"/>
      <c r="Y16" s="51">
        <f t="shared" si="0"/>
        <v>4000</v>
      </c>
      <c r="Z16" s="63" t="s">
        <v>6</v>
      </c>
      <c r="AA16" s="52">
        <f>F16</f>
        <v>4000</v>
      </c>
      <c r="AB16" s="21"/>
    </row>
    <row r="17" spans="1:28" x14ac:dyDescent="0.2">
      <c r="A17" s="21"/>
      <c r="B17" s="23"/>
      <c r="C17" s="23"/>
      <c r="D17" s="17" t="s">
        <v>6</v>
      </c>
      <c r="E17" s="17" t="s">
        <v>6</v>
      </c>
      <c r="F17" s="17" t="s">
        <v>6</v>
      </c>
      <c r="G17" s="23"/>
      <c r="H17" s="23"/>
      <c r="I17" s="23"/>
      <c r="J17" s="23"/>
      <c r="K17" s="23"/>
      <c r="L17" s="21"/>
      <c r="M17" s="23"/>
      <c r="N17" s="53"/>
      <c r="O17" s="23"/>
      <c r="P17" s="23"/>
      <c r="Q17" s="23"/>
      <c r="R17" s="23"/>
      <c r="S17" s="23"/>
      <c r="T17" s="23"/>
      <c r="U17" s="23"/>
      <c r="V17" s="23"/>
      <c r="W17" s="23"/>
      <c r="X17" s="23"/>
      <c r="Y17" s="23"/>
      <c r="Z17" s="23"/>
      <c r="AA17" s="23"/>
      <c r="AB17" s="21"/>
    </row>
    <row r="18" spans="1:28" x14ac:dyDescent="0.2">
      <c r="A18" s="21"/>
      <c r="B18" s="23"/>
      <c r="C18" s="23"/>
      <c r="D18" s="18">
        <f>D7</f>
        <v>4000</v>
      </c>
      <c r="E18" s="19">
        <f>E7</f>
        <v>4000</v>
      </c>
      <c r="F18" s="20">
        <f>F7</f>
        <v>4000</v>
      </c>
      <c r="G18" s="23"/>
      <c r="H18" s="23"/>
      <c r="I18" s="23"/>
      <c r="J18" s="23"/>
      <c r="K18" s="23"/>
      <c r="L18" s="21"/>
      <c r="M18" s="23"/>
      <c r="N18" s="31" t="s">
        <v>4</v>
      </c>
      <c r="O18" s="14">
        <f>SUM(O14:O16)</f>
        <v>1400</v>
      </c>
      <c r="P18" s="14">
        <f t="shared" ref="P18:V18" si="1">SUM(P14:P16)</f>
        <v>500</v>
      </c>
      <c r="Q18" s="14">
        <f t="shared" si="1"/>
        <v>700</v>
      </c>
      <c r="R18" s="14">
        <f t="shared" si="1"/>
        <v>1100</v>
      </c>
      <c r="S18" s="14">
        <f t="shared" si="1"/>
        <v>1200</v>
      </c>
      <c r="T18" s="14">
        <f t="shared" si="1"/>
        <v>1300</v>
      </c>
      <c r="U18" s="14">
        <f t="shared" si="1"/>
        <v>1000</v>
      </c>
      <c r="V18" s="54">
        <f t="shared" si="1"/>
        <v>700</v>
      </c>
      <c r="W18" s="23"/>
      <c r="X18" s="23"/>
      <c r="Y18" s="23"/>
      <c r="Z18" s="23"/>
      <c r="AA18" s="23"/>
      <c r="AB18" s="21"/>
    </row>
    <row r="19" spans="1:28" x14ac:dyDescent="0.2">
      <c r="A19" s="21"/>
      <c r="B19" s="23"/>
      <c r="C19" s="23"/>
      <c r="D19" s="23"/>
      <c r="E19" s="23"/>
      <c r="F19" s="23"/>
      <c r="G19" s="23"/>
      <c r="H19" s="23"/>
      <c r="I19" s="23"/>
      <c r="J19" s="23"/>
      <c r="K19" s="23"/>
      <c r="L19" s="21"/>
      <c r="M19" s="23"/>
      <c r="N19" s="23"/>
      <c r="O19" s="17" t="s">
        <v>7</v>
      </c>
      <c r="P19" s="17" t="s">
        <v>7</v>
      </c>
      <c r="Q19" s="17" t="s">
        <v>7</v>
      </c>
      <c r="R19" s="17" t="s">
        <v>7</v>
      </c>
      <c r="S19" s="17" t="s">
        <v>7</v>
      </c>
      <c r="T19" s="17" t="s">
        <v>7</v>
      </c>
      <c r="U19" s="17" t="s">
        <v>7</v>
      </c>
      <c r="V19" s="17" t="s">
        <v>7</v>
      </c>
      <c r="W19" s="23"/>
      <c r="X19" s="23"/>
      <c r="Y19" s="23"/>
      <c r="Z19" s="23"/>
      <c r="AA19" s="23"/>
      <c r="AB19" s="21"/>
    </row>
    <row r="20" spans="1:28" x14ac:dyDescent="0.2">
      <c r="A20" s="21"/>
      <c r="B20" s="23"/>
      <c r="C20" s="23"/>
      <c r="D20" s="23"/>
      <c r="E20" s="23"/>
      <c r="F20" s="23"/>
      <c r="G20" s="23"/>
      <c r="H20" s="23"/>
      <c r="I20" s="23"/>
      <c r="J20" s="21"/>
      <c r="K20" s="21"/>
      <c r="L20" s="21"/>
      <c r="M20" s="23"/>
      <c r="N20" s="23"/>
      <c r="O20" s="18">
        <f>O8</f>
        <v>1400</v>
      </c>
      <c r="P20" s="18">
        <f t="shared" ref="P20:V20" si="2">P8</f>
        <v>500</v>
      </c>
      <c r="Q20" s="18">
        <f t="shared" si="2"/>
        <v>700</v>
      </c>
      <c r="R20" s="18">
        <f t="shared" si="2"/>
        <v>1100</v>
      </c>
      <c r="S20" s="18">
        <f t="shared" si="2"/>
        <v>1200</v>
      </c>
      <c r="T20" s="18">
        <f t="shared" si="2"/>
        <v>1300</v>
      </c>
      <c r="U20" s="18">
        <f t="shared" si="2"/>
        <v>1000</v>
      </c>
      <c r="V20" s="55">
        <f t="shared" si="2"/>
        <v>700</v>
      </c>
      <c r="W20" s="21"/>
      <c r="X20" s="21"/>
      <c r="Y20" s="21"/>
      <c r="Z20" s="21"/>
      <c r="AA20" s="21"/>
      <c r="AB20" s="21"/>
    </row>
    <row r="21" spans="1:28" x14ac:dyDescent="0.2">
      <c r="A21" s="21"/>
      <c r="B21" s="23"/>
      <c r="C21" s="23"/>
      <c r="D21" s="23"/>
      <c r="E21" s="23"/>
      <c r="F21" s="23"/>
      <c r="G21" s="23"/>
      <c r="H21" s="23"/>
      <c r="I21" s="23"/>
      <c r="J21" s="21"/>
      <c r="K21" s="21"/>
      <c r="L21" s="21"/>
      <c r="M21" s="23"/>
      <c r="N21" s="23"/>
      <c r="O21" s="23"/>
      <c r="P21" s="23"/>
      <c r="Q21" s="23"/>
      <c r="R21" s="23"/>
      <c r="S21" s="23"/>
      <c r="T21" s="23"/>
      <c r="U21" s="23"/>
      <c r="V21" s="23"/>
      <c r="W21" s="21"/>
      <c r="X21" s="21"/>
      <c r="Y21" s="21"/>
      <c r="Z21" s="21"/>
      <c r="AA21" s="21"/>
      <c r="AB21" s="21"/>
    </row>
    <row r="22" spans="1:28" x14ac:dyDescent="0.2">
      <c r="A22" s="21"/>
      <c r="B22" s="22" t="s">
        <v>8</v>
      </c>
      <c r="C22" s="23"/>
      <c r="D22" s="23"/>
      <c r="E22" s="23"/>
      <c r="F22" s="23"/>
      <c r="G22" s="23"/>
      <c r="H22" s="23"/>
      <c r="I22" s="23"/>
      <c r="J22" s="21"/>
      <c r="K22" s="21"/>
      <c r="L22" s="21"/>
      <c r="M22" s="22" t="s">
        <v>8</v>
      </c>
      <c r="N22" s="23"/>
      <c r="O22" s="23"/>
      <c r="P22" s="23"/>
      <c r="Q22" s="23"/>
      <c r="R22" s="23"/>
      <c r="S22" s="23"/>
      <c r="T22" s="23"/>
      <c r="U22" s="23"/>
      <c r="V22" s="23"/>
      <c r="W22" s="21"/>
      <c r="X22" s="21"/>
      <c r="Y22" s="21"/>
      <c r="Z22" s="21"/>
      <c r="AA22" s="21"/>
      <c r="AB22" s="21"/>
    </row>
    <row r="23" spans="1:28" x14ac:dyDescent="0.2">
      <c r="A23" s="21"/>
      <c r="B23" s="23"/>
      <c r="C23" s="22"/>
      <c r="D23" s="44"/>
      <c r="E23" s="21"/>
      <c r="F23" s="21"/>
      <c r="G23" s="21"/>
      <c r="H23" s="21"/>
      <c r="I23" s="21"/>
      <c r="J23" s="21"/>
      <c r="K23" s="21"/>
      <c r="L23" s="21"/>
      <c r="M23" s="23"/>
      <c r="N23" s="22"/>
      <c r="O23" s="44"/>
      <c r="P23" s="23"/>
      <c r="Q23" s="23"/>
      <c r="R23" s="23"/>
      <c r="S23" s="23"/>
      <c r="T23" s="23"/>
      <c r="U23" s="23"/>
      <c r="V23" s="23"/>
      <c r="W23" s="21"/>
      <c r="X23" s="21"/>
      <c r="Y23" s="21"/>
      <c r="Z23" s="21"/>
      <c r="AA23" s="21"/>
      <c r="AB23" s="21"/>
    </row>
    <row r="24" spans="1:28" x14ac:dyDescent="0.2">
      <c r="A24" s="21"/>
      <c r="B24" s="23"/>
      <c r="C24" s="25" t="s">
        <v>0</v>
      </c>
      <c r="D24" s="1">
        <f>SUMPRODUCT(D5:F6,D13:F14)</f>
        <v>5940400</v>
      </c>
      <c r="E24" s="21"/>
      <c r="F24" s="21"/>
      <c r="G24" s="21"/>
      <c r="H24" s="21"/>
      <c r="I24" s="21"/>
      <c r="J24" s="21"/>
      <c r="K24" s="21"/>
      <c r="L24" s="21"/>
      <c r="M24" s="23"/>
      <c r="N24" s="25" t="s">
        <v>0</v>
      </c>
      <c r="O24" s="1">
        <f>SUMPRODUCT(O5:V7,O14:V16)</f>
        <v>7025800</v>
      </c>
      <c r="P24" s="23"/>
      <c r="Q24" s="23"/>
      <c r="R24" s="23"/>
      <c r="S24" s="23"/>
      <c r="T24" s="23"/>
      <c r="U24" s="23"/>
      <c r="V24" s="23"/>
      <c r="W24" s="21"/>
      <c r="X24" s="21"/>
      <c r="Y24" s="21"/>
      <c r="Z24" s="21"/>
      <c r="AA24" s="21"/>
      <c r="AB24" s="21"/>
    </row>
    <row r="25" spans="1:28" x14ac:dyDescent="0.2">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row>
    <row r="26" spans="1:28" x14ac:dyDescent="0.2">
      <c r="A26" s="21"/>
      <c r="B26" s="21"/>
      <c r="C26" s="21"/>
      <c r="D26" s="21"/>
      <c r="E26" s="21"/>
      <c r="F26" s="21"/>
      <c r="G26" s="21"/>
      <c r="H26" s="3" t="s">
        <v>24</v>
      </c>
      <c r="I26" s="2"/>
      <c r="J26" s="2"/>
      <c r="K26" s="2"/>
      <c r="L26" s="21"/>
      <c r="M26" s="21"/>
      <c r="N26" s="21"/>
      <c r="O26" s="21"/>
      <c r="P26" s="21"/>
      <c r="Q26" s="21"/>
      <c r="R26" s="21"/>
      <c r="S26" s="21"/>
      <c r="T26" s="21"/>
      <c r="U26" s="21"/>
      <c r="V26" s="21"/>
      <c r="W26" s="21"/>
      <c r="X26" s="21"/>
      <c r="Y26" s="21"/>
      <c r="Z26" s="21"/>
      <c r="AA26" s="21"/>
      <c r="AB26" s="21"/>
    </row>
    <row r="27" spans="1:28" x14ac:dyDescent="0.2">
      <c r="A27" s="21"/>
      <c r="B27" s="21"/>
      <c r="C27" s="21"/>
      <c r="D27" s="21"/>
      <c r="E27" s="21"/>
      <c r="F27" s="21"/>
      <c r="G27" s="21"/>
      <c r="H27" s="3" t="s">
        <v>21</v>
      </c>
      <c r="I27" s="2"/>
      <c r="J27" s="2"/>
      <c r="K27" s="2"/>
      <c r="L27" s="21"/>
      <c r="M27" s="21"/>
      <c r="N27" s="21"/>
      <c r="O27" s="21"/>
      <c r="P27" s="21"/>
      <c r="Q27" s="21"/>
      <c r="R27" s="21"/>
      <c r="S27" s="21"/>
      <c r="T27" s="21"/>
      <c r="U27" s="21"/>
      <c r="V27" s="21"/>
      <c r="W27" s="21"/>
      <c r="X27" s="21"/>
      <c r="Y27" s="21"/>
      <c r="Z27" s="21"/>
      <c r="AA27" s="21"/>
      <c r="AB27" s="21"/>
    </row>
    <row r="28" spans="1:28" x14ac:dyDescent="0.2">
      <c r="A28" s="21"/>
      <c r="B28" s="21"/>
      <c r="C28" s="21"/>
      <c r="D28" s="21"/>
      <c r="E28" s="21"/>
      <c r="F28" s="21"/>
      <c r="G28" s="21"/>
      <c r="H28" s="3" t="s">
        <v>22</v>
      </c>
      <c r="I28" s="2"/>
      <c r="J28" s="2"/>
      <c r="K28" s="2"/>
      <c r="L28" s="21"/>
      <c r="M28" s="21"/>
      <c r="N28" s="21"/>
      <c r="O28" s="21"/>
      <c r="P28" s="21"/>
      <c r="Q28" s="21"/>
      <c r="R28" s="21"/>
      <c r="S28" s="21"/>
      <c r="T28" s="21"/>
      <c r="U28" s="21"/>
      <c r="V28" s="21"/>
      <c r="W28" s="21"/>
      <c r="X28" s="21"/>
      <c r="Y28" s="21"/>
      <c r="Z28" s="21"/>
      <c r="AA28" s="21"/>
      <c r="AB28" s="21"/>
    </row>
    <row r="29" spans="1:28" x14ac:dyDescent="0.2">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row>
    <row r="30" spans="1:28" x14ac:dyDescent="0.2">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row>
    <row r="31" spans="1:28" x14ac:dyDescent="0.2">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row>
    <row r="32" spans="1:28" x14ac:dyDescent="0.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row>
    <row r="33" spans="1:28" ht="18" x14ac:dyDescent="0.25">
      <c r="A33" s="21"/>
      <c r="B33" s="68" t="s">
        <v>23</v>
      </c>
      <c r="C33" s="69" t="s">
        <v>32</v>
      </c>
      <c r="D33" s="21"/>
      <c r="E33" s="21"/>
      <c r="F33" s="21"/>
      <c r="G33" s="21"/>
      <c r="H33" s="21"/>
      <c r="I33" s="21"/>
      <c r="J33" s="21"/>
      <c r="K33" s="21"/>
      <c r="L33" s="21"/>
      <c r="M33" s="21"/>
      <c r="N33" s="21"/>
      <c r="O33" s="21"/>
      <c r="P33" s="21"/>
      <c r="Q33" s="21"/>
      <c r="R33" s="21"/>
      <c r="S33" s="21"/>
      <c r="T33" s="21"/>
      <c r="U33" s="21"/>
      <c r="V33" s="21"/>
      <c r="W33" s="21"/>
      <c r="X33" s="3" t="s">
        <v>24</v>
      </c>
      <c r="Y33" s="2"/>
      <c r="Z33" s="2"/>
      <c r="AA33" s="2"/>
      <c r="AB33" s="21"/>
    </row>
    <row r="34" spans="1:28" ht="13.5" thickBot="1" x14ac:dyDescent="0.25">
      <c r="A34" s="21"/>
      <c r="B34" s="21"/>
      <c r="C34" s="23"/>
      <c r="D34" s="21"/>
      <c r="E34" s="21"/>
      <c r="F34" s="21"/>
      <c r="G34" s="21"/>
      <c r="H34" s="21"/>
      <c r="I34" s="21"/>
      <c r="J34" s="21"/>
      <c r="K34" s="21"/>
      <c r="L34" s="21"/>
      <c r="M34" s="21"/>
      <c r="N34" s="21"/>
      <c r="O34" s="21"/>
      <c r="P34" s="21"/>
      <c r="Q34" s="21"/>
      <c r="R34" s="21"/>
      <c r="S34" s="21"/>
      <c r="T34" s="21"/>
      <c r="U34" s="21"/>
      <c r="V34" s="21"/>
      <c r="W34" s="21"/>
      <c r="X34" s="3" t="s">
        <v>21</v>
      </c>
      <c r="Y34" s="2"/>
      <c r="Z34" s="2"/>
      <c r="AA34" s="2"/>
      <c r="AB34" s="21"/>
    </row>
    <row r="35" spans="1:28" ht="13.5" thickBot="1" x14ac:dyDescent="0.25">
      <c r="A35" s="21"/>
      <c r="B35" s="56" t="s">
        <v>31</v>
      </c>
      <c r="C35" s="5">
        <f>D24+O24</f>
        <v>12966200</v>
      </c>
      <c r="D35" s="21"/>
      <c r="E35" s="21"/>
      <c r="F35" s="21"/>
      <c r="G35" s="21"/>
      <c r="H35" s="21"/>
      <c r="I35" s="21"/>
      <c r="J35" s="21"/>
      <c r="K35" s="21"/>
      <c r="L35" s="21"/>
      <c r="M35" s="21"/>
      <c r="N35" s="21"/>
      <c r="O35" s="21"/>
      <c r="P35" s="21"/>
      <c r="Q35" s="21"/>
      <c r="R35" s="21"/>
      <c r="S35" s="21"/>
      <c r="T35" s="21"/>
      <c r="U35" s="21"/>
      <c r="V35" s="21"/>
      <c r="W35" s="21"/>
      <c r="X35" s="3" t="s">
        <v>22</v>
      </c>
      <c r="Y35" s="2"/>
      <c r="Z35" s="2"/>
      <c r="AA35" s="2"/>
      <c r="AB35" s="21"/>
    </row>
    <row r="36" spans="1:28" x14ac:dyDescent="0.2">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row>
  </sheetData>
  <mergeCells count="4">
    <mergeCell ref="D11:F11"/>
    <mergeCell ref="B13:B14"/>
    <mergeCell ref="O12:Q12"/>
    <mergeCell ref="M14:M16"/>
  </mergeCells>
  <conditionalFormatting sqref="D5:F6">
    <cfRule type="cellIs" dxfId="6" priority="2" operator="greaterThan">
      <formula>2200</formula>
    </cfRule>
  </conditionalFormatting>
  <conditionalFormatting sqref="O5:V7">
    <cfRule type="cellIs" dxfId="5" priority="1" operator="greaterThan">
      <formula>2200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B37"/>
  <sheetViews>
    <sheetView zoomScale="70" zoomScaleNormal="70" zoomScaleSheetLayoutView="70" workbookViewId="0">
      <selection activeCell="AE16" sqref="AE16"/>
    </sheetView>
  </sheetViews>
  <sheetFormatPr defaultRowHeight="12.75" x14ac:dyDescent="0.2"/>
  <cols>
    <col min="2" max="2" width="33.85546875" bestFit="1" customWidth="1"/>
    <col min="3" max="3" width="20.42578125" bestFit="1" customWidth="1"/>
    <col min="4" max="4" width="17.28515625" bestFit="1" customWidth="1"/>
    <col min="5" max="7" width="9.28515625" bestFit="1" customWidth="1"/>
    <col min="9" max="9" width="9.28515625" bestFit="1" customWidth="1"/>
    <col min="11" max="11" width="9.28515625" bestFit="1" customWidth="1"/>
    <col min="15" max="15" width="17" bestFit="1" customWidth="1"/>
    <col min="16" max="23" width="9.28515625" bestFit="1" customWidth="1"/>
    <col min="25" max="25" width="9.28515625" bestFit="1" customWidth="1"/>
    <col min="27" max="27" width="9.28515625" bestFit="1" customWidth="1"/>
  </cols>
  <sheetData>
    <row r="1" spans="2:28" x14ac:dyDescent="0.2">
      <c r="B1" s="21"/>
      <c r="C1" s="21"/>
      <c r="D1" s="21"/>
      <c r="E1" s="21"/>
      <c r="F1" s="21"/>
      <c r="G1" s="21"/>
      <c r="H1" s="21"/>
      <c r="I1" s="21"/>
      <c r="J1" s="21"/>
      <c r="K1" s="21"/>
      <c r="L1" s="21"/>
      <c r="M1" s="21"/>
      <c r="N1" s="21"/>
      <c r="O1" s="21"/>
      <c r="P1" s="21"/>
      <c r="Q1" s="21"/>
      <c r="R1" s="21"/>
      <c r="S1" s="21"/>
      <c r="T1" s="21"/>
      <c r="U1" s="21"/>
      <c r="V1" s="21"/>
      <c r="W1" s="21"/>
      <c r="X1" s="21"/>
      <c r="Y1" s="21"/>
      <c r="Z1" s="21"/>
      <c r="AA1" s="21"/>
      <c r="AB1" s="21"/>
    </row>
    <row r="2" spans="2:28" x14ac:dyDescent="0.2">
      <c r="B2" s="22" t="s">
        <v>28</v>
      </c>
      <c r="C2" s="21"/>
      <c r="D2" s="21"/>
      <c r="E2" s="21"/>
      <c r="F2" s="21"/>
      <c r="G2" s="21"/>
      <c r="H2" s="21"/>
      <c r="I2" s="21"/>
      <c r="J2" s="21"/>
      <c r="K2" s="21"/>
      <c r="L2" s="21"/>
      <c r="M2" s="22" t="s">
        <v>27</v>
      </c>
      <c r="N2" s="21"/>
      <c r="O2" s="21"/>
      <c r="P2" s="21"/>
      <c r="Q2" s="21"/>
      <c r="R2" s="21"/>
      <c r="S2" s="21"/>
      <c r="T2" s="21"/>
      <c r="U2" s="21"/>
      <c r="V2" s="21"/>
      <c r="W2" s="21"/>
      <c r="X2" s="21"/>
      <c r="Y2" s="21"/>
      <c r="Z2" s="21"/>
      <c r="AA2" s="21"/>
      <c r="AB2" s="21"/>
    </row>
    <row r="3" spans="2:28" x14ac:dyDescent="0.2">
      <c r="B3" s="22" t="s">
        <v>1</v>
      </c>
      <c r="C3" s="23"/>
      <c r="D3" s="23"/>
      <c r="E3" s="23"/>
      <c r="F3" s="23"/>
      <c r="G3" s="23"/>
      <c r="H3" s="23"/>
      <c r="I3" s="23"/>
      <c r="J3" s="23"/>
      <c r="K3" s="23"/>
      <c r="L3" s="21"/>
      <c r="M3" s="22" t="s">
        <v>1</v>
      </c>
      <c r="N3" s="23"/>
      <c r="O3" s="23"/>
      <c r="P3" s="23"/>
      <c r="Q3" s="23"/>
      <c r="R3" s="23"/>
      <c r="S3" s="23"/>
      <c r="T3" s="23"/>
      <c r="U3" s="23"/>
      <c r="V3" s="23"/>
      <c r="W3" s="21"/>
      <c r="X3" s="21"/>
      <c r="Y3" s="21"/>
      <c r="Z3" s="21"/>
      <c r="AA3" s="21"/>
      <c r="AB3" s="21"/>
    </row>
    <row r="4" spans="2:28" x14ac:dyDescent="0.2">
      <c r="B4" s="23"/>
      <c r="C4" s="23"/>
      <c r="D4" s="23"/>
      <c r="E4" s="23"/>
      <c r="F4" s="23"/>
      <c r="G4" s="23"/>
      <c r="H4" s="23"/>
      <c r="I4" s="23"/>
      <c r="J4" s="23"/>
      <c r="K4" s="23"/>
      <c r="L4" s="21"/>
      <c r="M4" s="23"/>
      <c r="N4" s="23"/>
      <c r="O4" s="23"/>
      <c r="P4" s="23"/>
      <c r="Q4" s="23"/>
      <c r="R4" s="23"/>
      <c r="S4" s="23"/>
      <c r="T4" s="23"/>
      <c r="U4" s="23"/>
      <c r="V4" s="23"/>
      <c r="W4" s="21"/>
      <c r="X4" s="21"/>
      <c r="Y4" s="21"/>
      <c r="Z4" s="21"/>
      <c r="AA4" s="21"/>
      <c r="AB4" s="21"/>
    </row>
    <row r="5" spans="2:28" x14ac:dyDescent="0.2">
      <c r="B5" s="23"/>
      <c r="C5" s="22" t="s">
        <v>2</v>
      </c>
      <c r="D5" s="22" t="s">
        <v>12</v>
      </c>
      <c r="E5" s="22" t="s">
        <v>13</v>
      </c>
      <c r="F5" s="22" t="s">
        <v>14</v>
      </c>
      <c r="G5" s="24" t="s">
        <v>3</v>
      </c>
      <c r="H5" s="24"/>
      <c r="I5" s="23"/>
      <c r="J5" s="23"/>
      <c r="K5" s="23"/>
      <c r="L5" s="21"/>
      <c r="M5" s="23"/>
      <c r="N5" s="22" t="s">
        <v>2</v>
      </c>
      <c r="O5" s="22" t="s">
        <v>15</v>
      </c>
      <c r="P5" s="22" t="s">
        <v>16</v>
      </c>
      <c r="Q5" s="22" t="s">
        <v>25</v>
      </c>
      <c r="R5" s="24" t="s">
        <v>17</v>
      </c>
      <c r="S5" s="24" t="s">
        <v>18</v>
      </c>
      <c r="T5" s="22" t="s">
        <v>26</v>
      </c>
      <c r="U5" s="22" t="s">
        <v>13</v>
      </c>
      <c r="V5" s="22" t="s">
        <v>19</v>
      </c>
      <c r="W5" s="22" t="s">
        <v>3</v>
      </c>
      <c r="X5" s="21"/>
      <c r="Y5" s="21"/>
      <c r="Z5" s="21"/>
      <c r="AA5" s="21"/>
      <c r="AB5" s="21"/>
    </row>
    <row r="6" spans="2:28" x14ac:dyDescent="0.2">
      <c r="B6" s="23"/>
      <c r="C6" s="25" t="s">
        <v>11</v>
      </c>
      <c r="D6" s="6">
        <f>2096*2</f>
        <v>4192</v>
      </c>
      <c r="E6" s="7">
        <f>1769*2</f>
        <v>3538</v>
      </c>
      <c r="F6" s="7">
        <f>781*2</f>
        <v>1562</v>
      </c>
      <c r="G6" s="26">
        <v>5000</v>
      </c>
      <c r="H6" s="27"/>
      <c r="I6" s="23"/>
      <c r="J6" s="23"/>
      <c r="K6" s="23"/>
      <c r="L6" s="21"/>
      <c r="M6" s="23"/>
      <c r="N6" s="25" t="s">
        <v>12</v>
      </c>
      <c r="O6" s="6">
        <f>1135*2</f>
        <v>2270</v>
      </c>
      <c r="P6" s="7">
        <f>807*2</f>
        <v>1614</v>
      </c>
      <c r="Q6" s="7">
        <f>1505*2</f>
        <v>3010</v>
      </c>
      <c r="R6" s="7">
        <f>2344*2</f>
        <v>4688</v>
      </c>
      <c r="S6" s="7">
        <f>2067*2</f>
        <v>4134</v>
      </c>
      <c r="T6" s="65">
        <f>2857*2</f>
        <v>5714</v>
      </c>
      <c r="U6" s="65">
        <f>3051*2</f>
        <v>6102</v>
      </c>
      <c r="V6" s="66">
        <f>3302*2</f>
        <v>6604</v>
      </c>
      <c r="W6" s="28">
        <f>D17</f>
        <v>900</v>
      </c>
      <c r="X6" s="21"/>
      <c r="Y6" s="21"/>
      <c r="Z6" s="21"/>
      <c r="AA6" s="21"/>
      <c r="AB6" s="21"/>
    </row>
    <row r="7" spans="2:28" x14ac:dyDescent="0.2">
      <c r="B7" s="23"/>
      <c r="C7" s="25" t="s">
        <v>20</v>
      </c>
      <c r="D7" s="64">
        <f>2800*2</f>
        <v>5600</v>
      </c>
      <c r="E7" s="8">
        <f>310*2</f>
        <v>620</v>
      </c>
      <c r="F7" s="9">
        <f>777*2</f>
        <v>1554</v>
      </c>
      <c r="G7" s="29">
        <v>3000</v>
      </c>
      <c r="H7" s="27"/>
      <c r="I7" s="23"/>
      <c r="J7" s="23"/>
      <c r="K7" s="23"/>
      <c r="L7" s="21"/>
      <c r="M7" s="23"/>
      <c r="N7" s="25" t="s">
        <v>13</v>
      </c>
      <c r="O7" s="64">
        <f>2987*2</f>
        <v>5974</v>
      </c>
      <c r="P7" s="8">
        <f>3101*2</f>
        <v>6202</v>
      </c>
      <c r="Q7" s="8">
        <f>2650*2</f>
        <v>5300</v>
      </c>
      <c r="R7" s="8">
        <f>1849*2</f>
        <v>3698</v>
      </c>
      <c r="S7" s="8">
        <f>982*2</f>
        <v>1964</v>
      </c>
      <c r="T7" s="30">
        <f>200*2</f>
        <v>400</v>
      </c>
      <c r="U7" s="30">
        <v>0</v>
      </c>
      <c r="V7" s="57">
        <f>1500*2</f>
        <v>3000</v>
      </c>
      <c r="W7" s="28">
        <f>E17</f>
        <v>3000</v>
      </c>
      <c r="X7" s="21"/>
      <c r="Y7" s="21"/>
      <c r="Z7" s="21"/>
      <c r="AA7" s="21"/>
      <c r="AB7" s="21"/>
    </row>
    <row r="8" spans="2:28" x14ac:dyDescent="0.2">
      <c r="B8" s="23"/>
      <c r="C8" s="31" t="s">
        <v>4</v>
      </c>
      <c r="D8" s="32">
        <v>4000</v>
      </c>
      <c r="E8" s="33">
        <v>4000</v>
      </c>
      <c r="F8" s="33">
        <v>4000</v>
      </c>
      <c r="G8" s="34"/>
      <c r="H8" s="35"/>
      <c r="I8" s="23"/>
      <c r="J8" s="23"/>
      <c r="K8" s="23"/>
      <c r="L8" s="21"/>
      <c r="M8" s="23"/>
      <c r="N8" s="25" t="s">
        <v>14</v>
      </c>
      <c r="O8" s="67">
        <f>2220*2</f>
        <v>4440</v>
      </c>
      <c r="P8" s="36">
        <f>2476*2</f>
        <v>4952</v>
      </c>
      <c r="Q8" s="36">
        <f>1864*2</f>
        <v>3728</v>
      </c>
      <c r="R8" s="36">
        <f>793*2</f>
        <v>1586</v>
      </c>
      <c r="S8" s="36">
        <f>718*2</f>
        <v>1436</v>
      </c>
      <c r="T8" s="37">
        <f>865*2</f>
        <v>1730</v>
      </c>
      <c r="U8" s="37">
        <f>1078*2</f>
        <v>2156</v>
      </c>
      <c r="V8" s="38">
        <f>664*2</f>
        <v>1328</v>
      </c>
      <c r="W8" s="28">
        <f>F17</f>
        <v>4000</v>
      </c>
      <c r="X8" s="21"/>
      <c r="Y8" s="21"/>
      <c r="Z8" s="21"/>
      <c r="AA8" s="21"/>
      <c r="AB8" s="21"/>
    </row>
    <row r="9" spans="2:28" x14ac:dyDescent="0.2">
      <c r="B9" s="23"/>
      <c r="C9" s="23"/>
      <c r="D9" s="23"/>
      <c r="E9" s="23"/>
      <c r="F9" s="23"/>
      <c r="G9" s="23"/>
      <c r="H9" s="23"/>
      <c r="I9" s="23"/>
      <c r="J9" s="23"/>
      <c r="K9" s="23"/>
      <c r="L9" s="21"/>
      <c r="M9" s="23"/>
      <c r="N9" s="31" t="s">
        <v>4</v>
      </c>
      <c r="O9" s="39">
        <v>1400</v>
      </c>
      <c r="P9" s="40">
        <v>500</v>
      </c>
      <c r="Q9" s="40">
        <v>700</v>
      </c>
      <c r="R9" s="41">
        <v>1100</v>
      </c>
      <c r="S9" s="41">
        <v>1200</v>
      </c>
      <c r="T9" s="41">
        <v>1300</v>
      </c>
      <c r="U9" s="41">
        <v>1000</v>
      </c>
      <c r="V9" s="42">
        <v>700</v>
      </c>
      <c r="W9" s="21"/>
      <c r="X9" s="21"/>
      <c r="Y9" s="21"/>
      <c r="Z9" s="21"/>
      <c r="AA9" s="21"/>
      <c r="AB9" s="21"/>
    </row>
    <row r="10" spans="2:28" x14ac:dyDescent="0.2">
      <c r="B10" s="23"/>
      <c r="C10" s="23"/>
      <c r="D10" s="23"/>
      <c r="E10" s="23"/>
      <c r="F10" s="23"/>
      <c r="G10" s="23"/>
      <c r="H10" s="23"/>
      <c r="I10" s="23"/>
      <c r="J10" s="23"/>
      <c r="K10" s="23"/>
      <c r="L10" s="21"/>
      <c r="M10" s="23"/>
      <c r="N10" s="23"/>
      <c r="O10" s="23"/>
      <c r="P10" s="23"/>
      <c r="Q10" s="23"/>
      <c r="R10" s="23"/>
      <c r="S10" s="23"/>
      <c r="T10" s="23"/>
      <c r="U10" s="23"/>
      <c r="V10" s="23"/>
      <c r="W10" s="21"/>
      <c r="X10" s="21"/>
      <c r="Y10" s="21"/>
      <c r="Z10" s="21"/>
      <c r="AA10" s="21"/>
      <c r="AB10" s="21"/>
    </row>
    <row r="11" spans="2:28" x14ac:dyDescent="0.2">
      <c r="B11" s="22" t="s">
        <v>5</v>
      </c>
      <c r="C11" s="23"/>
      <c r="D11" s="23"/>
      <c r="E11" s="23"/>
      <c r="F11" s="23"/>
      <c r="G11" s="23"/>
      <c r="H11" s="23"/>
      <c r="I11" s="23"/>
      <c r="J11" s="23"/>
      <c r="K11" s="23"/>
      <c r="L11" s="21"/>
      <c r="M11" s="23"/>
      <c r="N11" s="23"/>
      <c r="O11" s="23"/>
      <c r="P11" s="23"/>
      <c r="Q11" s="23"/>
      <c r="R11" s="23"/>
      <c r="S11" s="23"/>
      <c r="T11" s="23"/>
      <c r="U11" s="23"/>
      <c r="V11" s="23"/>
      <c r="W11" s="21"/>
      <c r="X11" s="21"/>
      <c r="Y11" s="21"/>
      <c r="Z11" s="21"/>
      <c r="AA11" s="21"/>
      <c r="AB11" s="21"/>
    </row>
    <row r="12" spans="2:28" x14ac:dyDescent="0.2">
      <c r="B12" s="23"/>
      <c r="C12" s="23"/>
      <c r="D12" s="73" t="s">
        <v>10</v>
      </c>
      <c r="E12" s="73"/>
      <c r="F12" s="73"/>
      <c r="G12" s="23"/>
      <c r="H12" s="23"/>
      <c r="I12" s="23"/>
      <c r="J12" s="23"/>
      <c r="K12" s="23"/>
      <c r="L12" s="21"/>
      <c r="M12" s="22" t="s">
        <v>5</v>
      </c>
      <c r="N12" s="23"/>
      <c r="O12" s="23"/>
      <c r="P12" s="23"/>
      <c r="Q12" s="23"/>
      <c r="R12" s="23"/>
      <c r="S12" s="23"/>
      <c r="T12" s="23"/>
      <c r="U12" s="23"/>
      <c r="V12" s="23"/>
      <c r="W12" s="21"/>
      <c r="X12" s="21"/>
      <c r="Y12" s="21"/>
      <c r="Z12" s="21"/>
      <c r="AA12" s="21"/>
      <c r="AB12" s="21"/>
    </row>
    <row r="13" spans="2:28" x14ac:dyDescent="0.2">
      <c r="B13" s="23"/>
      <c r="C13" s="23"/>
      <c r="D13" s="43" t="s">
        <v>12</v>
      </c>
      <c r="E13" s="43" t="s">
        <v>13</v>
      </c>
      <c r="F13" s="43" t="s">
        <v>14</v>
      </c>
      <c r="G13" s="23"/>
      <c r="H13" s="23"/>
      <c r="I13" s="44" t="s">
        <v>3</v>
      </c>
      <c r="J13" s="23"/>
      <c r="K13" s="23"/>
      <c r="L13" s="21"/>
      <c r="M13" s="23"/>
      <c r="N13" s="23"/>
      <c r="O13" s="73" t="s">
        <v>10</v>
      </c>
      <c r="P13" s="73"/>
      <c r="Q13" s="73"/>
      <c r="R13" s="45"/>
      <c r="S13" s="46"/>
      <c r="T13" s="46"/>
      <c r="U13" s="46"/>
      <c r="V13" s="47"/>
      <c r="W13" s="21"/>
      <c r="X13" s="21"/>
      <c r="Y13" s="21"/>
      <c r="Z13" s="21"/>
      <c r="AA13" s="21"/>
      <c r="AB13" s="21"/>
    </row>
    <row r="14" spans="2:28" x14ac:dyDescent="0.2">
      <c r="B14" s="74" t="s">
        <v>9</v>
      </c>
      <c r="C14" s="48" t="s">
        <v>11</v>
      </c>
      <c r="D14" s="10">
        <v>900</v>
      </c>
      <c r="E14" s="11">
        <v>0</v>
      </c>
      <c r="F14" s="11">
        <v>4000</v>
      </c>
      <c r="G14" s="23"/>
      <c r="H14" s="23"/>
      <c r="I14" s="49">
        <f>SUM(D14:F14)</f>
        <v>4900</v>
      </c>
      <c r="J14" s="17" t="s">
        <v>6</v>
      </c>
      <c r="K14" s="50">
        <f>G6</f>
        <v>5000</v>
      </c>
      <c r="L14" s="21"/>
      <c r="M14" s="23"/>
      <c r="N14" s="23"/>
      <c r="O14" s="43" t="s">
        <v>15</v>
      </c>
      <c r="P14" s="43" t="s">
        <v>16</v>
      </c>
      <c r="Q14" s="43" t="s">
        <v>25</v>
      </c>
      <c r="R14" s="43" t="s">
        <v>17</v>
      </c>
      <c r="S14" s="43" t="s">
        <v>18</v>
      </c>
      <c r="T14" s="43" t="s">
        <v>26</v>
      </c>
      <c r="U14" s="43" t="s">
        <v>13</v>
      </c>
      <c r="V14" s="43" t="s">
        <v>19</v>
      </c>
      <c r="W14" s="23"/>
      <c r="X14" s="23"/>
      <c r="Y14" s="44" t="s">
        <v>3</v>
      </c>
      <c r="Z14" s="23"/>
      <c r="AA14" s="23"/>
      <c r="AB14" s="21"/>
    </row>
    <row r="15" spans="2:28" x14ac:dyDescent="0.2">
      <c r="B15" s="74"/>
      <c r="C15" s="48" t="s">
        <v>20</v>
      </c>
      <c r="D15" s="12">
        <v>0</v>
      </c>
      <c r="E15" s="13">
        <v>3000</v>
      </c>
      <c r="F15" s="13">
        <v>0</v>
      </c>
      <c r="G15" s="23"/>
      <c r="H15" s="23"/>
      <c r="I15" s="51">
        <f>SUM(D15:F15)</f>
        <v>3000</v>
      </c>
      <c r="J15" s="17" t="s">
        <v>6</v>
      </c>
      <c r="K15" s="52">
        <f>G7</f>
        <v>3000</v>
      </c>
      <c r="L15" s="21"/>
      <c r="M15" s="74" t="s">
        <v>9</v>
      </c>
      <c r="N15" s="48" t="s">
        <v>12</v>
      </c>
      <c r="O15" s="10">
        <v>400</v>
      </c>
      <c r="P15" s="11">
        <v>500</v>
      </c>
      <c r="Q15" s="11">
        <v>0</v>
      </c>
      <c r="R15" s="11">
        <v>0</v>
      </c>
      <c r="S15" s="11">
        <v>0</v>
      </c>
      <c r="T15" s="11">
        <v>0</v>
      </c>
      <c r="U15" s="11">
        <v>0</v>
      </c>
      <c r="V15" s="11">
        <v>0</v>
      </c>
      <c r="W15" s="23"/>
      <c r="X15" s="23"/>
      <c r="Y15" s="49">
        <f>SUM(O15:V15)</f>
        <v>900</v>
      </c>
      <c r="Z15" s="63" t="s">
        <v>6</v>
      </c>
      <c r="AA15" s="50">
        <f>D17</f>
        <v>900</v>
      </c>
      <c r="AB15" s="21"/>
    </row>
    <row r="16" spans="2:28" x14ac:dyDescent="0.2">
      <c r="B16" s="23"/>
      <c r="C16" s="53"/>
      <c r="D16" s="23"/>
      <c r="E16" s="23"/>
      <c r="F16" s="23"/>
      <c r="G16" s="23"/>
      <c r="H16" s="23"/>
      <c r="I16" s="23"/>
      <c r="J16" s="23"/>
      <c r="K16" s="23"/>
      <c r="L16" s="21"/>
      <c r="M16" s="74"/>
      <c r="N16" s="48" t="s">
        <v>13</v>
      </c>
      <c r="O16" s="12">
        <v>0</v>
      </c>
      <c r="P16" s="13">
        <v>0</v>
      </c>
      <c r="Q16" s="13">
        <v>0</v>
      </c>
      <c r="R16" s="13">
        <v>0</v>
      </c>
      <c r="S16" s="13">
        <v>700</v>
      </c>
      <c r="T16" s="13">
        <v>1300</v>
      </c>
      <c r="U16" s="13">
        <v>1000</v>
      </c>
      <c r="V16" s="13">
        <v>0</v>
      </c>
      <c r="W16" s="23"/>
      <c r="X16" s="23"/>
      <c r="Y16" s="71">
        <f t="shared" ref="Y16:Y17" si="0">SUM(O16:V16)</f>
        <v>3000</v>
      </c>
      <c r="Z16" s="63" t="s">
        <v>6</v>
      </c>
      <c r="AA16" s="72">
        <f>E17</f>
        <v>3000</v>
      </c>
      <c r="AB16" s="21"/>
    </row>
    <row r="17" spans="2:28" x14ac:dyDescent="0.2">
      <c r="B17" s="23"/>
      <c r="C17" s="31" t="s">
        <v>4</v>
      </c>
      <c r="D17" s="14">
        <f>SUM(D14:D15)</f>
        <v>900</v>
      </c>
      <c r="E17" s="15">
        <f>SUM(E14:E15)</f>
        <v>3000</v>
      </c>
      <c r="F17" s="16">
        <f>SUM(F14:F15)</f>
        <v>4000</v>
      </c>
      <c r="G17" s="23"/>
      <c r="H17" s="23"/>
      <c r="I17" s="23"/>
      <c r="J17" s="23"/>
      <c r="K17" s="23"/>
      <c r="L17" s="21"/>
      <c r="M17" s="74"/>
      <c r="N17" s="48" t="s">
        <v>14</v>
      </c>
      <c r="O17" s="12">
        <v>1000</v>
      </c>
      <c r="P17" s="13">
        <v>0</v>
      </c>
      <c r="Q17" s="13">
        <v>700</v>
      </c>
      <c r="R17" s="13">
        <v>1100</v>
      </c>
      <c r="S17" s="13">
        <v>500</v>
      </c>
      <c r="T17" s="13">
        <v>0</v>
      </c>
      <c r="U17" s="13">
        <v>0</v>
      </c>
      <c r="V17" s="13">
        <v>700</v>
      </c>
      <c r="W17" s="23"/>
      <c r="X17" s="23"/>
      <c r="Y17" s="51">
        <f t="shared" si="0"/>
        <v>4000</v>
      </c>
      <c r="Z17" s="63" t="s">
        <v>6</v>
      </c>
      <c r="AA17" s="52">
        <f>F17</f>
        <v>4000</v>
      </c>
      <c r="AB17" s="21"/>
    </row>
    <row r="18" spans="2:28" x14ac:dyDescent="0.2">
      <c r="B18" s="23"/>
      <c r="C18" s="23"/>
      <c r="D18" s="17" t="s">
        <v>6</v>
      </c>
      <c r="E18" s="17" t="s">
        <v>6</v>
      </c>
      <c r="F18" s="17" t="s">
        <v>6</v>
      </c>
      <c r="G18" s="23"/>
      <c r="H18" s="23"/>
      <c r="I18" s="23"/>
      <c r="J18" s="23"/>
      <c r="K18" s="23"/>
      <c r="L18" s="21"/>
      <c r="M18" s="23"/>
      <c r="N18" s="53"/>
      <c r="O18" s="23"/>
      <c r="P18" s="23"/>
      <c r="Q18" s="23"/>
      <c r="R18" s="23"/>
      <c r="S18" s="23"/>
      <c r="T18" s="23"/>
      <c r="U18" s="23"/>
      <c r="V18" s="23"/>
      <c r="W18" s="23"/>
      <c r="X18" s="23"/>
      <c r="Y18" s="23"/>
      <c r="Z18" s="23"/>
      <c r="AA18" s="23"/>
      <c r="AB18" s="21"/>
    </row>
    <row r="19" spans="2:28" x14ac:dyDescent="0.2">
      <c r="B19" s="23"/>
      <c r="C19" s="23"/>
      <c r="D19" s="18">
        <f>D8</f>
        <v>4000</v>
      </c>
      <c r="E19" s="19">
        <f>E8</f>
        <v>4000</v>
      </c>
      <c r="F19" s="20">
        <f>F8</f>
        <v>4000</v>
      </c>
      <c r="G19" s="23"/>
      <c r="H19" s="23"/>
      <c r="I19" s="23"/>
      <c r="J19" s="23"/>
      <c r="K19" s="23"/>
      <c r="L19" s="21"/>
      <c r="M19" s="23"/>
      <c r="N19" s="31" t="s">
        <v>4</v>
      </c>
      <c r="O19" s="14">
        <f>SUM(O15:O17)</f>
        <v>1400</v>
      </c>
      <c r="P19" s="14">
        <f t="shared" ref="P19:V19" si="1">SUM(P15:P17)</f>
        <v>500</v>
      </c>
      <c r="Q19" s="14">
        <f t="shared" si="1"/>
        <v>700</v>
      </c>
      <c r="R19" s="14">
        <f t="shared" si="1"/>
        <v>1100</v>
      </c>
      <c r="S19" s="14">
        <f t="shared" si="1"/>
        <v>1200</v>
      </c>
      <c r="T19" s="14">
        <f t="shared" si="1"/>
        <v>1300</v>
      </c>
      <c r="U19" s="14">
        <f t="shared" si="1"/>
        <v>1000</v>
      </c>
      <c r="V19" s="54">
        <f t="shared" si="1"/>
        <v>700</v>
      </c>
      <c r="W19" s="23"/>
      <c r="X19" s="23"/>
      <c r="Y19" s="23"/>
      <c r="Z19" s="23"/>
      <c r="AA19" s="23"/>
      <c r="AB19" s="21"/>
    </row>
    <row r="20" spans="2:28" x14ac:dyDescent="0.2">
      <c r="B20" s="23"/>
      <c r="C20" s="23"/>
      <c r="D20" s="23"/>
      <c r="E20" s="23"/>
      <c r="F20" s="23"/>
      <c r="G20" s="23"/>
      <c r="H20" s="23"/>
      <c r="I20" s="23"/>
      <c r="J20" s="23"/>
      <c r="K20" s="23"/>
      <c r="L20" s="21"/>
      <c r="M20" s="23"/>
      <c r="N20" s="23"/>
      <c r="O20" s="17" t="s">
        <v>7</v>
      </c>
      <c r="P20" s="17" t="s">
        <v>7</v>
      </c>
      <c r="Q20" s="17" t="s">
        <v>7</v>
      </c>
      <c r="R20" s="17" t="s">
        <v>7</v>
      </c>
      <c r="S20" s="17" t="s">
        <v>7</v>
      </c>
      <c r="T20" s="17" t="s">
        <v>7</v>
      </c>
      <c r="U20" s="17" t="s">
        <v>7</v>
      </c>
      <c r="V20" s="17" t="s">
        <v>7</v>
      </c>
      <c r="W20" s="23"/>
      <c r="X20" s="23"/>
      <c r="Y20" s="23"/>
      <c r="Z20" s="23"/>
      <c r="AA20" s="23"/>
      <c r="AB20" s="21"/>
    </row>
    <row r="21" spans="2:28" x14ac:dyDescent="0.2">
      <c r="B21" s="23"/>
      <c r="C21" s="23"/>
      <c r="D21" s="23"/>
      <c r="E21" s="23"/>
      <c r="F21" s="23"/>
      <c r="G21" s="23"/>
      <c r="H21" s="23"/>
      <c r="I21" s="23"/>
      <c r="J21" s="21"/>
      <c r="K21" s="21"/>
      <c r="L21" s="21"/>
      <c r="M21" s="23"/>
      <c r="N21" s="23"/>
      <c r="O21" s="18">
        <f>O9</f>
        <v>1400</v>
      </c>
      <c r="P21" s="18">
        <f t="shared" ref="P21:V21" si="2">P9</f>
        <v>500</v>
      </c>
      <c r="Q21" s="18">
        <f t="shared" si="2"/>
        <v>700</v>
      </c>
      <c r="R21" s="18">
        <f t="shared" si="2"/>
        <v>1100</v>
      </c>
      <c r="S21" s="18">
        <f t="shared" si="2"/>
        <v>1200</v>
      </c>
      <c r="T21" s="18">
        <f t="shared" si="2"/>
        <v>1300</v>
      </c>
      <c r="U21" s="18">
        <f t="shared" si="2"/>
        <v>1000</v>
      </c>
      <c r="V21" s="55">
        <f t="shared" si="2"/>
        <v>700</v>
      </c>
      <c r="W21" s="21"/>
      <c r="X21" s="21"/>
      <c r="Y21" s="21"/>
      <c r="Z21" s="21"/>
      <c r="AA21" s="21"/>
      <c r="AB21" s="21"/>
    </row>
    <row r="22" spans="2:28" x14ac:dyDescent="0.2">
      <c r="B22" s="23"/>
      <c r="C22" s="23"/>
      <c r="D22" s="23"/>
      <c r="E22" s="23"/>
      <c r="F22" s="23"/>
      <c r="G22" s="23"/>
      <c r="H22" s="23"/>
      <c r="I22" s="23"/>
      <c r="J22" s="21"/>
      <c r="K22" s="21"/>
      <c r="L22" s="21"/>
      <c r="M22" s="23"/>
      <c r="N22" s="23"/>
      <c r="O22" s="23"/>
      <c r="P22" s="23"/>
      <c r="Q22" s="23"/>
      <c r="R22" s="23"/>
      <c r="S22" s="23"/>
      <c r="T22" s="23"/>
      <c r="U22" s="23"/>
      <c r="V22" s="23"/>
      <c r="W22" s="21"/>
      <c r="X22" s="21"/>
      <c r="Y22" s="21"/>
      <c r="Z22" s="21"/>
      <c r="AA22" s="21"/>
      <c r="AB22" s="21"/>
    </row>
    <row r="23" spans="2:28" x14ac:dyDescent="0.2">
      <c r="B23" s="22" t="s">
        <v>8</v>
      </c>
      <c r="C23" s="23"/>
      <c r="D23" s="23"/>
      <c r="E23" s="23"/>
      <c r="F23" s="23"/>
      <c r="G23" s="23"/>
      <c r="H23" s="23"/>
      <c r="I23" s="23"/>
      <c r="J23" s="21"/>
      <c r="K23" s="21"/>
      <c r="L23" s="21"/>
      <c r="M23" s="22" t="s">
        <v>8</v>
      </c>
      <c r="N23" s="23"/>
      <c r="O23" s="23"/>
      <c r="P23" s="23"/>
      <c r="Q23" s="23"/>
      <c r="R23" s="23"/>
      <c r="S23" s="23"/>
      <c r="T23" s="23"/>
      <c r="U23" s="23"/>
      <c r="V23" s="23"/>
      <c r="W23" s="21"/>
      <c r="X23" s="21"/>
      <c r="Y23" s="21"/>
      <c r="Z23" s="21"/>
      <c r="AA23" s="21"/>
      <c r="AB23" s="21"/>
    </row>
    <row r="24" spans="2:28" x14ac:dyDescent="0.2">
      <c r="B24" s="23"/>
      <c r="C24" s="58"/>
      <c r="D24" s="59"/>
      <c r="E24" s="60"/>
      <c r="F24" s="60"/>
      <c r="G24" s="60"/>
      <c r="H24" s="60"/>
      <c r="I24" s="60"/>
      <c r="J24" s="60"/>
      <c r="K24" s="60"/>
      <c r="L24" s="60"/>
      <c r="M24" s="61"/>
      <c r="N24" s="58"/>
      <c r="O24" s="59"/>
      <c r="P24" s="23"/>
      <c r="Q24" s="23"/>
      <c r="R24" s="23"/>
      <c r="S24" s="23"/>
      <c r="T24" s="23"/>
      <c r="U24" s="23"/>
      <c r="V24" s="23"/>
      <c r="W24" s="21"/>
      <c r="X24" s="21"/>
      <c r="Y24" s="21"/>
      <c r="Z24" s="21"/>
      <c r="AA24" s="21"/>
      <c r="AB24" s="21"/>
    </row>
    <row r="25" spans="2:28" x14ac:dyDescent="0.2">
      <c r="B25" s="23"/>
      <c r="C25" s="62" t="s">
        <v>0</v>
      </c>
      <c r="D25" s="1">
        <f>SUMPRODUCT(D6:F7,D14:F15)</f>
        <v>11880800</v>
      </c>
      <c r="E25" s="60"/>
      <c r="F25" s="60"/>
      <c r="G25" s="60"/>
      <c r="H25" s="60"/>
      <c r="I25" s="60"/>
      <c r="J25" s="60"/>
      <c r="K25" s="60"/>
      <c r="L25" s="60"/>
      <c r="M25" s="61"/>
      <c r="N25" s="62" t="s">
        <v>0</v>
      </c>
      <c r="O25" s="1">
        <f>SUMPRODUCT(O6:V8,O15:V17)</f>
        <v>14051600</v>
      </c>
      <c r="P25" s="23"/>
      <c r="Q25" s="23"/>
      <c r="R25" s="23"/>
      <c r="S25" s="23"/>
      <c r="T25" s="23"/>
      <c r="U25" s="23"/>
      <c r="V25" s="23"/>
      <c r="W25" s="21"/>
      <c r="X25" s="21"/>
      <c r="Y25" s="21"/>
      <c r="Z25" s="21"/>
      <c r="AA25" s="21"/>
      <c r="AB25" s="21"/>
    </row>
    <row r="26" spans="2:28" x14ac:dyDescent="0.2">
      <c r="B26" s="21"/>
      <c r="C26" s="60"/>
      <c r="D26" s="60"/>
      <c r="E26" s="60"/>
      <c r="F26" s="60"/>
      <c r="G26" s="60"/>
      <c r="H26" s="60"/>
      <c r="I26" s="60"/>
      <c r="J26" s="60"/>
      <c r="K26" s="60"/>
      <c r="L26" s="60"/>
      <c r="M26" s="60"/>
      <c r="N26" s="60"/>
      <c r="O26" s="60"/>
      <c r="P26" s="21"/>
      <c r="Q26" s="21"/>
      <c r="R26" s="21"/>
      <c r="S26" s="21"/>
      <c r="T26" s="21"/>
      <c r="U26" s="21"/>
      <c r="V26" s="21"/>
      <c r="W26" s="21"/>
      <c r="X26" s="21"/>
      <c r="Y26" s="21"/>
      <c r="Z26" s="21"/>
      <c r="AA26" s="21"/>
      <c r="AB26" s="21"/>
    </row>
    <row r="27" spans="2:28" x14ac:dyDescent="0.2">
      <c r="B27" s="21"/>
      <c r="C27" s="60"/>
      <c r="D27" s="60"/>
      <c r="E27" s="60"/>
      <c r="F27" s="60"/>
      <c r="G27" s="60"/>
      <c r="H27" s="3" t="s">
        <v>24</v>
      </c>
      <c r="I27" s="2"/>
      <c r="J27" s="2"/>
      <c r="K27" s="2"/>
      <c r="L27" s="60"/>
      <c r="M27" s="60"/>
      <c r="N27" s="60"/>
      <c r="O27" s="60"/>
      <c r="P27" s="21"/>
      <c r="Q27" s="21"/>
      <c r="R27" s="21"/>
      <c r="S27" s="21"/>
      <c r="T27" s="21"/>
      <c r="U27" s="21"/>
      <c r="V27" s="21"/>
      <c r="W27" s="21"/>
      <c r="X27" s="21"/>
      <c r="Y27" s="21"/>
      <c r="Z27" s="21"/>
      <c r="AA27" s="21"/>
      <c r="AB27" s="21"/>
    </row>
    <row r="28" spans="2:28" x14ac:dyDescent="0.2">
      <c r="B28" s="21"/>
      <c r="C28" s="60"/>
      <c r="D28" s="60"/>
      <c r="E28" s="60"/>
      <c r="F28" s="60"/>
      <c r="G28" s="60"/>
      <c r="H28" s="3" t="s">
        <v>21</v>
      </c>
      <c r="I28" s="2"/>
      <c r="J28" s="2"/>
      <c r="K28" s="2"/>
      <c r="L28" s="60"/>
      <c r="M28" s="60"/>
      <c r="N28" s="60"/>
      <c r="O28" s="60"/>
      <c r="P28" s="21"/>
      <c r="Q28" s="21"/>
      <c r="R28" s="21"/>
      <c r="S28" s="21"/>
      <c r="T28" s="21"/>
      <c r="U28" s="21"/>
      <c r="V28" s="21"/>
      <c r="W28" s="21"/>
      <c r="X28" s="21"/>
      <c r="Y28" s="21"/>
      <c r="Z28" s="21"/>
      <c r="AA28" s="21"/>
      <c r="AB28" s="21"/>
    </row>
    <row r="29" spans="2:28" x14ac:dyDescent="0.2">
      <c r="B29" s="21"/>
      <c r="C29" s="60"/>
      <c r="D29" s="60"/>
      <c r="E29" s="60"/>
      <c r="F29" s="60"/>
      <c r="G29" s="60"/>
      <c r="H29" s="3" t="s">
        <v>22</v>
      </c>
      <c r="I29" s="2"/>
      <c r="J29" s="2"/>
      <c r="K29" s="2"/>
      <c r="L29" s="60"/>
      <c r="M29" s="60"/>
      <c r="N29" s="60"/>
      <c r="O29" s="60"/>
      <c r="P29" s="21"/>
      <c r="Q29" s="21"/>
      <c r="R29" s="21"/>
      <c r="S29" s="21"/>
      <c r="T29" s="21"/>
      <c r="U29" s="21"/>
      <c r="V29" s="21"/>
      <c r="W29" s="21"/>
      <c r="X29" s="21"/>
      <c r="Y29" s="21"/>
      <c r="Z29" s="21"/>
      <c r="AA29" s="21"/>
      <c r="AB29" s="21"/>
    </row>
    <row r="30" spans="2:28" x14ac:dyDescent="0.2">
      <c r="B30" s="21"/>
      <c r="C30" s="60"/>
      <c r="D30" s="60"/>
      <c r="E30" s="60"/>
      <c r="F30" s="60"/>
      <c r="G30" s="60"/>
      <c r="H30" s="60"/>
      <c r="I30" s="60"/>
      <c r="J30" s="60"/>
      <c r="K30" s="60"/>
      <c r="L30" s="60"/>
      <c r="M30" s="60"/>
      <c r="N30" s="60"/>
      <c r="O30" s="60"/>
      <c r="P30" s="21"/>
      <c r="Q30" s="21"/>
      <c r="R30" s="21"/>
      <c r="S30" s="21"/>
      <c r="T30" s="21"/>
      <c r="U30" s="21"/>
      <c r="V30" s="21"/>
      <c r="W30" s="21"/>
      <c r="X30" s="21"/>
      <c r="Y30" s="21"/>
      <c r="Z30" s="21"/>
      <c r="AA30" s="21"/>
      <c r="AB30" s="21"/>
    </row>
    <row r="31" spans="2:28" x14ac:dyDescent="0.2">
      <c r="B31" s="21"/>
      <c r="C31" s="60"/>
      <c r="D31" s="60"/>
      <c r="E31" s="60"/>
      <c r="F31" s="60"/>
      <c r="G31" s="60"/>
      <c r="H31" s="60"/>
      <c r="I31" s="60"/>
      <c r="J31" s="60"/>
      <c r="K31" s="60"/>
      <c r="L31" s="60"/>
      <c r="M31" s="60"/>
      <c r="N31" s="60"/>
      <c r="O31" s="60"/>
      <c r="P31" s="21"/>
      <c r="Q31" s="21"/>
      <c r="R31" s="21"/>
      <c r="S31" s="21"/>
      <c r="T31" s="21"/>
      <c r="U31" s="21"/>
      <c r="V31" s="21"/>
      <c r="W31" s="21"/>
      <c r="X31" s="21"/>
      <c r="Y31" s="21"/>
      <c r="Z31" s="21"/>
      <c r="AA31" s="21"/>
      <c r="AB31" s="21"/>
    </row>
    <row r="32" spans="2:28" x14ac:dyDescent="0.2">
      <c r="B32" s="21"/>
      <c r="C32" s="60"/>
      <c r="D32" s="60"/>
      <c r="E32" s="60"/>
      <c r="F32" s="60"/>
      <c r="G32" s="60"/>
      <c r="H32" s="60"/>
      <c r="I32" s="60"/>
      <c r="J32" s="60"/>
      <c r="K32" s="60"/>
      <c r="L32" s="60"/>
      <c r="M32" s="60"/>
      <c r="N32" s="60"/>
      <c r="O32" s="60"/>
      <c r="P32" s="21"/>
      <c r="Q32" s="21"/>
      <c r="R32" s="21"/>
      <c r="S32" s="21"/>
      <c r="T32" s="21"/>
      <c r="U32" s="21"/>
      <c r="V32" s="21"/>
      <c r="W32" s="21"/>
      <c r="X32" s="21"/>
      <c r="Y32" s="21"/>
      <c r="Z32" s="21"/>
      <c r="AA32" s="21"/>
      <c r="AB32" s="21"/>
    </row>
    <row r="33" spans="2:28" ht="18" x14ac:dyDescent="0.25">
      <c r="B33" s="68" t="s">
        <v>23</v>
      </c>
      <c r="C33" s="69" t="s">
        <v>29</v>
      </c>
      <c r="D33" s="60"/>
      <c r="E33" s="60"/>
      <c r="F33" s="60"/>
      <c r="G33" s="60"/>
      <c r="H33" s="60"/>
      <c r="I33" s="60"/>
      <c r="J33" s="60"/>
      <c r="K33" s="60"/>
      <c r="L33" s="60"/>
      <c r="M33" s="60"/>
      <c r="N33" s="60"/>
      <c r="O33" s="60"/>
      <c r="P33" s="21"/>
      <c r="Q33" s="21"/>
      <c r="R33" s="21"/>
      <c r="S33" s="21"/>
      <c r="T33" s="21"/>
      <c r="U33" s="21"/>
      <c r="V33" s="21"/>
      <c r="W33" s="21"/>
      <c r="X33" s="21"/>
      <c r="Y33" s="21"/>
      <c r="Z33" s="21"/>
      <c r="AA33" s="21"/>
      <c r="AB33" s="21"/>
    </row>
    <row r="34" spans="2:28" ht="13.5" thickBot="1" x14ac:dyDescent="0.25">
      <c r="B34" s="21"/>
      <c r="C34" s="61"/>
      <c r="D34" s="60"/>
      <c r="E34" s="60"/>
      <c r="F34" s="60"/>
      <c r="G34" s="60"/>
      <c r="H34" s="60"/>
      <c r="I34" s="60"/>
      <c r="J34" s="60"/>
      <c r="K34" s="60"/>
      <c r="L34" s="60"/>
      <c r="M34" s="60"/>
      <c r="N34" s="60"/>
      <c r="O34" s="60"/>
      <c r="P34" s="21"/>
      <c r="Q34" s="21"/>
      <c r="R34" s="21"/>
      <c r="S34" s="21"/>
      <c r="T34" s="21"/>
      <c r="U34" s="21"/>
      <c r="V34" s="21"/>
      <c r="W34" s="21"/>
      <c r="X34" s="3" t="s">
        <v>24</v>
      </c>
      <c r="Y34" s="2"/>
      <c r="Z34" s="2"/>
      <c r="AA34" s="2"/>
      <c r="AB34" s="21"/>
    </row>
    <row r="35" spans="2:28" ht="13.5" thickBot="1" x14ac:dyDescent="0.25">
      <c r="B35" s="56" t="s">
        <v>31</v>
      </c>
      <c r="C35" s="5">
        <f>D25+O25</f>
        <v>25932400</v>
      </c>
      <c r="D35" s="60"/>
      <c r="E35" s="60"/>
      <c r="F35" s="60"/>
      <c r="G35" s="60"/>
      <c r="H35" s="60"/>
      <c r="I35" s="60"/>
      <c r="J35" s="60"/>
      <c r="K35" s="60"/>
      <c r="L35" s="60"/>
      <c r="M35" s="60"/>
      <c r="N35" s="60"/>
      <c r="O35" s="60"/>
      <c r="P35" s="21"/>
      <c r="Q35" s="21"/>
      <c r="R35" s="21"/>
      <c r="S35" s="21"/>
      <c r="T35" s="21"/>
      <c r="U35" s="21"/>
      <c r="V35" s="21"/>
      <c r="W35" s="21"/>
      <c r="X35" s="3" t="s">
        <v>21</v>
      </c>
      <c r="Y35" s="2"/>
      <c r="Z35" s="2"/>
      <c r="AA35" s="2"/>
      <c r="AB35" s="21"/>
    </row>
    <row r="36" spans="2:28" x14ac:dyDescent="0.2">
      <c r="B36" s="21"/>
      <c r="C36" s="21"/>
      <c r="D36" s="21"/>
      <c r="E36" s="21"/>
      <c r="F36" s="21"/>
      <c r="G36" s="21"/>
      <c r="H36" s="21"/>
      <c r="I36" s="21"/>
      <c r="J36" s="21"/>
      <c r="K36" s="21"/>
      <c r="L36" s="21"/>
      <c r="M36" s="21"/>
      <c r="N36" s="21"/>
      <c r="O36" s="21"/>
      <c r="P36" s="21"/>
      <c r="Q36" s="21"/>
      <c r="R36" s="21"/>
      <c r="S36" s="21"/>
      <c r="T36" s="21"/>
      <c r="U36" s="21"/>
      <c r="V36" s="21"/>
      <c r="W36" s="21"/>
      <c r="X36" s="3" t="s">
        <v>22</v>
      </c>
      <c r="Y36" s="2"/>
      <c r="Z36" s="2"/>
      <c r="AA36" s="2"/>
      <c r="AB36" s="21"/>
    </row>
    <row r="37" spans="2:28" x14ac:dyDescent="0.2">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row>
  </sheetData>
  <mergeCells count="4">
    <mergeCell ref="D12:F12"/>
    <mergeCell ref="O13:Q13"/>
    <mergeCell ref="B14:B15"/>
    <mergeCell ref="M15:M17"/>
  </mergeCells>
  <conditionalFormatting sqref="D6:F7">
    <cfRule type="cellIs" dxfId="4" priority="2" operator="greaterThan">
      <formula>4400</formula>
    </cfRule>
  </conditionalFormatting>
  <conditionalFormatting sqref="O6:V8">
    <cfRule type="cellIs" dxfId="3" priority="1" operator="greaterThan">
      <formula>4400</formula>
    </cfRule>
  </conditionalFormatting>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B39"/>
  <sheetViews>
    <sheetView zoomScale="70" zoomScaleNormal="70" workbookViewId="0">
      <selection activeCell="AD12" sqref="AD12"/>
    </sheetView>
  </sheetViews>
  <sheetFormatPr defaultRowHeight="12.75" x14ac:dyDescent="0.2"/>
  <cols>
    <col min="2" max="2" width="36.28515625" bestFit="1" customWidth="1"/>
    <col min="3" max="3" width="20.42578125" bestFit="1" customWidth="1"/>
    <col min="4" max="4" width="17.28515625" bestFit="1" customWidth="1"/>
    <col min="5" max="7" width="9.28515625" bestFit="1" customWidth="1"/>
    <col min="9" max="9" width="9.28515625" bestFit="1" customWidth="1"/>
    <col min="11" max="11" width="9.28515625" bestFit="1" customWidth="1"/>
    <col min="15" max="15" width="17" bestFit="1" customWidth="1"/>
    <col min="16" max="23" width="9.28515625" bestFit="1" customWidth="1"/>
    <col min="25" max="25" width="9.28515625" bestFit="1" customWidth="1"/>
    <col min="27" max="27" width="9.28515625" bestFit="1" customWidth="1"/>
  </cols>
  <sheetData>
    <row r="1" spans="2:28" x14ac:dyDescent="0.2">
      <c r="B1" s="21"/>
      <c r="C1" s="21"/>
      <c r="D1" s="21"/>
      <c r="E1" s="21"/>
      <c r="F1" s="21"/>
      <c r="G1" s="21"/>
      <c r="H1" s="21"/>
      <c r="I1" s="21"/>
      <c r="J1" s="21"/>
      <c r="K1" s="21"/>
      <c r="L1" s="21"/>
      <c r="M1" s="21"/>
      <c r="N1" s="21"/>
      <c r="O1" s="21"/>
      <c r="P1" s="21"/>
      <c r="Q1" s="21"/>
      <c r="R1" s="21"/>
      <c r="S1" s="21"/>
      <c r="T1" s="21"/>
      <c r="U1" s="21"/>
      <c r="V1" s="21"/>
      <c r="W1" s="21"/>
      <c r="X1" s="21"/>
      <c r="Y1" s="21"/>
      <c r="Z1" s="21"/>
      <c r="AA1" s="21"/>
      <c r="AB1" s="21"/>
    </row>
    <row r="2" spans="2:28" x14ac:dyDescent="0.2">
      <c r="B2" s="22" t="s">
        <v>28</v>
      </c>
      <c r="C2" s="21"/>
      <c r="D2" s="21"/>
      <c r="E2" s="21"/>
      <c r="F2" s="21"/>
      <c r="G2" s="21"/>
      <c r="H2" s="21"/>
      <c r="I2" s="21"/>
      <c r="J2" s="21"/>
      <c r="K2" s="21"/>
      <c r="L2" s="21"/>
      <c r="M2" s="22" t="s">
        <v>27</v>
      </c>
      <c r="N2" s="21"/>
      <c r="O2" s="21"/>
      <c r="P2" s="21"/>
      <c r="Q2" s="21"/>
      <c r="R2" s="21"/>
      <c r="S2" s="21"/>
      <c r="T2" s="21"/>
      <c r="U2" s="21"/>
      <c r="V2" s="21"/>
      <c r="W2" s="21"/>
      <c r="X2" s="21"/>
      <c r="Y2" s="21"/>
      <c r="Z2" s="21"/>
      <c r="AA2" s="21"/>
      <c r="AB2" s="21"/>
    </row>
    <row r="3" spans="2:28" x14ac:dyDescent="0.2">
      <c r="B3" s="22" t="s">
        <v>1</v>
      </c>
      <c r="C3" s="23"/>
      <c r="D3" s="23"/>
      <c r="E3" s="23"/>
      <c r="F3" s="23"/>
      <c r="G3" s="23"/>
      <c r="H3" s="23"/>
      <c r="I3" s="23"/>
      <c r="J3" s="23"/>
      <c r="K3" s="23"/>
      <c r="L3" s="21"/>
      <c r="M3" s="22" t="s">
        <v>1</v>
      </c>
      <c r="N3" s="23"/>
      <c r="O3" s="23"/>
      <c r="P3" s="23"/>
      <c r="Q3" s="23"/>
      <c r="R3" s="23"/>
      <c r="S3" s="23"/>
      <c r="T3" s="23"/>
      <c r="U3" s="23"/>
      <c r="V3" s="23"/>
      <c r="W3" s="21"/>
      <c r="X3" s="21"/>
      <c r="Y3" s="21"/>
      <c r="Z3" s="21"/>
      <c r="AA3" s="21"/>
      <c r="AB3" s="21"/>
    </row>
    <row r="4" spans="2:28" x14ac:dyDescent="0.2">
      <c r="B4" s="23"/>
      <c r="C4" s="23"/>
      <c r="D4" s="23"/>
      <c r="E4" s="23"/>
      <c r="F4" s="23"/>
      <c r="G4" s="23"/>
      <c r="H4" s="23"/>
      <c r="I4" s="23"/>
      <c r="J4" s="23"/>
      <c r="K4" s="23"/>
      <c r="L4" s="21"/>
      <c r="M4" s="23"/>
      <c r="N4" s="23"/>
      <c r="O4" s="23"/>
      <c r="P4" s="23"/>
      <c r="Q4" s="23"/>
      <c r="R4" s="23"/>
      <c r="S4" s="23"/>
      <c r="T4" s="23"/>
      <c r="U4" s="23"/>
      <c r="V4" s="23"/>
      <c r="W4" s="21"/>
      <c r="X4" s="21"/>
      <c r="Y4" s="21"/>
      <c r="Z4" s="21"/>
      <c r="AA4" s="21"/>
      <c r="AB4" s="21"/>
    </row>
    <row r="5" spans="2:28" x14ac:dyDescent="0.2">
      <c r="B5" s="23"/>
      <c r="C5" s="22" t="s">
        <v>2</v>
      </c>
      <c r="D5" s="22" t="s">
        <v>12</v>
      </c>
      <c r="E5" s="22" t="s">
        <v>13</v>
      </c>
      <c r="F5" s="22" t="s">
        <v>14</v>
      </c>
      <c r="G5" s="24" t="s">
        <v>3</v>
      </c>
      <c r="H5" s="24"/>
      <c r="I5" s="23"/>
      <c r="J5" s="23"/>
      <c r="K5" s="23"/>
      <c r="L5" s="21"/>
      <c r="M5" s="23"/>
      <c r="N5" s="22" t="s">
        <v>2</v>
      </c>
      <c r="O5" s="22" t="s">
        <v>15</v>
      </c>
      <c r="P5" s="22" t="s">
        <v>16</v>
      </c>
      <c r="Q5" s="22" t="s">
        <v>25</v>
      </c>
      <c r="R5" s="24" t="s">
        <v>17</v>
      </c>
      <c r="S5" s="24" t="s">
        <v>18</v>
      </c>
      <c r="T5" s="22" t="s">
        <v>26</v>
      </c>
      <c r="U5" s="22" t="s">
        <v>13</v>
      </c>
      <c r="V5" s="22" t="s">
        <v>19</v>
      </c>
      <c r="W5" s="22" t="s">
        <v>3</v>
      </c>
      <c r="X5" s="21"/>
      <c r="Y5" s="21"/>
      <c r="Z5" s="21"/>
      <c r="AA5" s="21"/>
      <c r="AB5" s="21"/>
    </row>
    <row r="6" spans="2:28" x14ac:dyDescent="0.2">
      <c r="B6" s="23"/>
      <c r="C6" s="25" t="s">
        <v>11</v>
      </c>
      <c r="D6" s="6">
        <f>2096*2</f>
        <v>4192</v>
      </c>
      <c r="E6" s="7">
        <f>1769*2</f>
        <v>3538</v>
      </c>
      <c r="F6" s="7">
        <f>781*2</f>
        <v>1562</v>
      </c>
      <c r="G6" s="26">
        <v>5000</v>
      </c>
      <c r="H6" s="27"/>
      <c r="I6" s="23"/>
      <c r="J6" s="23"/>
      <c r="K6" s="23"/>
      <c r="L6" s="21"/>
      <c r="M6" s="23"/>
      <c r="N6" s="25" t="s">
        <v>12</v>
      </c>
      <c r="O6" s="6">
        <f>1135*2</f>
        <v>2270</v>
      </c>
      <c r="P6" s="7">
        <f>807*2</f>
        <v>1614</v>
      </c>
      <c r="Q6" s="7">
        <f>1505*2</f>
        <v>3010</v>
      </c>
      <c r="R6" s="7">
        <f>2344*2</f>
        <v>4688</v>
      </c>
      <c r="S6" s="7">
        <f>2067*2</f>
        <v>4134</v>
      </c>
      <c r="T6" s="65">
        <f>2857*2</f>
        <v>5714</v>
      </c>
      <c r="U6" s="65">
        <f>3051*2</f>
        <v>6102</v>
      </c>
      <c r="V6" s="66">
        <f>3302*2</f>
        <v>6604</v>
      </c>
      <c r="W6" s="28">
        <f>D17</f>
        <v>500</v>
      </c>
      <c r="X6" s="21"/>
      <c r="Y6" s="21"/>
      <c r="Z6" s="21"/>
      <c r="AA6" s="21"/>
      <c r="AB6" s="21"/>
    </row>
    <row r="7" spans="2:28" x14ac:dyDescent="0.2">
      <c r="B7" s="23"/>
      <c r="C7" s="25" t="s">
        <v>20</v>
      </c>
      <c r="D7" s="64">
        <f>2800*2</f>
        <v>5600</v>
      </c>
      <c r="E7" s="8">
        <f>310*2</f>
        <v>620</v>
      </c>
      <c r="F7" s="9">
        <f>777*2</f>
        <v>1554</v>
      </c>
      <c r="G7" s="29">
        <v>3000</v>
      </c>
      <c r="H7" s="27"/>
      <c r="I7" s="23"/>
      <c r="J7" s="23"/>
      <c r="K7" s="23"/>
      <c r="L7" s="21"/>
      <c r="M7" s="23"/>
      <c r="N7" s="25" t="s">
        <v>11</v>
      </c>
      <c r="O7" s="64">
        <f>1438*2</f>
        <v>2876</v>
      </c>
      <c r="P7" s="8">
        <f>1733*2</f>
        <v>3466</v>
      </c>
      <c r="Q7" s="8">
        <f>1065*2</f>
        <v>2130</v>
      </c>
      <c r="R7" s="8">
        <f>238*2</f>
        <v>476</v>
      </c>
      <c r="S7" s="8">
        <f>968*2</f>
        <v>1936</v>
      </c>
      <c r="T7" s="8">
        <f>1548*2</f>
        <v>3096</v>
      </c>
      <c r="U7" s="8">
        <f>1762*2</f>
        <v>3524</v>
      </c>
      <c r="V7" s="57">
        <f>1317*2</f>
        <v>2634</v>
      </c>
      <c r="W7" s="28">
        <v>3000</v>
      </c>
      <c r="X7" s="21"/>
      <c r="Y7" s="21"/>
      <c r="Z7" s="21"/>
      <c r="AA7" s="21"/>
      <c r="AB7" s="21"/>
    </row>
    <row r="8" spans="2:28" x14ac:dyDescent="0.2">
      <c r="B8" s="23"/>
      <c r="C8" s="31" t="s">
        <v>4</v>
      </c>
      <c r="D8" s="32">
        <v>4000</v>
      </c>
      <c r="E8" s="33">
        <v>4000</v>
      </c>
      <c r="F8" s="33">
        <v>4000</v>
      </c>
      <c r="G8" s="34"/>
      <c r="H8" s="35"/>
      <c r="I8" s="23"/>
      <c r="J8" s="23"/>
      <c r="K8" s="23"/>
      <c r="L8" s="21"/>
      <c r="M8" s="23"/>
      <c r="N8" s="25" t="s">
        <v>13</v>
      </c>
      <c r="O8" s="64">
        <f>2987*2</f>
        <v>5974</v>
      </c>
      <c r="P8" s="8">
        <f>3101*2</f>
        <v>6202</v>
      </c>
      <c r="Q8" s="8">
        <f>2650*2</f>
        <v>5300</v>
      </c>
      <c r="R8" s="8">
        <f>1849*2</f>
        <v>3698</v>
      </c>
      <c r="S8" s="8">
        <f>982*2</f>
        <v>1964</v>
      </c>
      <c r="T8" s="30">
        <f>200*2</f>
        <v>400</v>
      </c>
      <c r="U8" s="30">
        <v>0</v>
      </c>
      <c r="V8" s="57">
        <f>1500*2</f>
        <v>3000</v>
      </c>
      <c r="W8" s="28">
        <f>E17</f>
        <v>3000</v>
      </c>
      <c r="X8" s="21"/>
      <c r="Y8" s="21"/>
      <c r="Z8" s="21"/>
      <c r="AA8" s="21"/>
      <c r="AB8" s="21"/>
    </row>
    <row r="9" spans="2:28" x14ac:dyDescent="0.2">
      <c r="B9" s="23"/>
      <c r="C9" s="23"/>
      <c r="D9" s="23"/>
      <c r="E9" s="23"/>
      <c r="F9" s="23"/>
      <c r="G9" s="23"/>
      <c r="H9" s="23"/>
      <c r="I9" s="23"/>
      <c r="J9" s="23"/>
      <c r="K9" s="23"/>
      <c r="L9" s="21"/>
      <c r="M9" s="23"/>
      <c r="N9" s="25" t="s">
        <v>14</v>
      </c>
      <c r="O9" s="67">
        <f>2220*2</f>
        <v>4440</v>
      </c>
      <c r="P9" s="36">
        <f>2476*2</f>
        <v>4952</v>
      </c>
      <c r="Q9" s="36">
        <f>1864*2</f>
        <v>3728</v>
      </c>
      <c r="R9" s="36">
        <f>793*2</f>
        <v>1586</v>
      </c>
      <c r="S9" s="36">
        <f>718*2</f>
        <v>1436</v>
      </c>
      <c r="T9" s="37">
        <f>865*2</f>
        <v>1730</v>
      </c>
      <c r="U9" s="37">
        <f>1078*2</f>
        <v>2156</v>
      </c>
      <c r="V9" s="38">
        <f>664*2</f>
        <v>1328</v>
      </c>
      <c r="W9" s="28">
        <f>F17</f>
        <v>1400</v>
      </c>
      <c r="X9" s="21"/>
      <c r="Y9" s="21"/>
      <c r="Z9" s="21"/>
      <c r="AA9" s="21"/>
      <c r="AB9" s="21"/>
    </row>
    <row r="10" spans="2:28" x14ac:dyDescent="0.2">
      <c r="B10" s="23"/>
      <c r="C10" s="23"/>
      <c r="D10" s="23"/>
      <c r="E10" s="23"/>
      <c r="F10" s="23"/>
      <c r="G10" s="23"/>
      <c r="H10" s="23"/>
      <c r="I10" s="23"/>
      <c r="J10" s="23"/>
      <c r="K10" s="23"/>
      <c r="L10" s="21"/>
      <c r="M10" s="23"/>
      <c r="N10" s="31" t="s">
        <v>4</v>
      </c>
      <c r="O10" s="39">
        <v>1400</v>
      </c>
      <c r="P10" s="40">
        <v>500</v>
      </c>
      <c r="Q10" s="40">
        <v>700</v>
      </c>
      <c r="R10" s="41">
        <v>1100</v>
      </c>
      <c r="S10" s="41">
        <v>1200</v>
      </c>
      <c r="T10" s="41">
        <v>1300</v>
      </c>
      <c r="U10" s="41">
        <v>1000</v>
      </c>
      <c r="V10" s="42">
        <v>700</v>
      </c>
      <c r="W10" s="21"/>
      <c r="X10" s="21"/>
      <c r="Y10" s="21"/>
      <c r="Z10" s="21"/>
      <c r="AA10" s="21"/>
      <c r="AB10" s="21"/>
    </row>
    <row r="11" spans="2:28" x14ac:dyDescent="0.2">
      <c r="B11" s="22" t="s">
        <v>5</v>
      </c>
      <c r="C11" s="23"/>
      <c r="D11" s="23"/>
      <c r="E11" s="23"/>
      <c r="F11" s="23"/>
      <c r="G11" s="23"/>
      <c r="H11" s="23"/>
      <c r="I11" s="23"/>
      <c r="J11" s="23"/>
      <c r="K11" s="23"/>
      <c r="L11" s="21"/>
      <c r="M11" s="23"/>
      <c r="N11" s="23"/>
      <c r="O11" s="23"/>
      <c r="P11" s="23"/>
      <c r="Q11" s="23"/>
      <c r="R11" s="23"/>
      <c r="S11" s="23"/>
      <c r="T11" s="23"/>
      <c r="U11" s="23"/>
      <c r="V11" s="23"/>
      <c r="W11" s="21"/>
      <c r="X11" s="21"/>
      <c r="Y11" s="21"/>
      <c r="Z11" s="21"/>
      <c r="AA11" s="21"/>
      <c r="AB11" s="21"/>
    </row>
    <row r="12" spans="2:28" x14ac:dyDescent="0.2">
      <c r="B12" s="23"/>
      <c r="C12" s="23"/>
      <c r="D12" s="73" t="s">
        <v>10</v>
      </c>
      <c r="E12" s="73"/>
      <c r="F12" s="73"/>
      <c r="G12" s="23"/>
      <c r="H12" s="23"/>
      <c r="I12" s="23"/>
      <c r="J12" s="23"/>
      <c r="K12" s="23"/>
      <c r="L12" s="21"/>
      <c r="M12" s="23"/>
      <c r="N12" s="23"/>
      <c r="O12" s="23"/>
      <c r="P12" s="23"/>
      <c r="Q12" s="23"/>
      <c r="R12" s="23"/>
      <c r="S12" s="23"/>
      <c r="T12" s="23"/>
      <c r="U12" s="23"/>
      <c r="V12" s="23"/>
      <c r="W12" s="21"/>
      <c r="X12" s="21"/>
      <c r="Y12" s="21"/>
      <c r="Z12" s="21"/>
      <c r="AA12" s="21"/>
      <c r="AB12" s="21"/>
    </row>
    <row r="13" spans="2:28" x14ac:dyDescent="0.2">
      <c r="B13" s="23"/>
      <c r="C13" s="23"/>
      <c r="D13" s="43" t="s">
        <v>12</v>
      </c>
      <c r="E13" s="43" t="s">
        <v>13</v>
      </c>
      <c r="F13" s="43" t="s">
        <v>14</v>
      </c>
      <c r="G13" s="23"/>
      <c r="H13" s="23"/>
      <c r="I13" s="44" t="s">
        <v>3</v>
      </c>
      <c r="J13" s="23"/>
      <c r="K13" s="23"/>
      <c r="L13" s="21"/>
      <c r="M13" s="22" t="s">
        <v>5</v>
      </c>
      <c r="N13" s="23"/>
      <c r="O13" s="23"/>
      <c r="P13" s="23"/>
      <c r="Q13" s="23"/>
      <c r="R13" s="23"/>
      <c r="S13" s="23"/>
      <c r="T13" s="23"/>
      <c r="U13" s="23"/>
      <c r="V13" s="23"/>
      <c r="W13" s="21"/>
      <c r="X13" s="21"/>
      <c r="Y13" s="21"/>
      <c r="Z13" s="21"/>
      <c r="AA13" s="21"/>
      <c r="AB13" s="21"/>
    </row>
    <row r="14" spans="2:28" x14ac:dyDescent="0.2">
      <c r="B14" s="74" t="s">
        <v>9</v>
      </c>
      <c r="C14" s="48" t="s">
        <v>11</v>
      </c>
      <c r="D14" s="10">
        <v>500</v>
      </c>
      <c r="E14" s="11">
        <v>0</v>
      </c>
      <c r="F14" s="11">
        <v>1400</v>
      </c>
      <c r="G14" s="23"/>
      <c r="H14" s="23"/>
      <c r="I14" s="49">
        <f>SUM(D14:F14)</f>
        <v>1900</v>
      </c>
      <c r="J14" s="17" t="s">
        <v>6</v>
      </c>
      <c r="K14" s="50">
        <f>G6</f>
        <v>5000</v>
      </c>
      <c r="L14" s="21"/>
      <c r="M14" s="23"/>
      <c r="N14" s="23"/>
      <c r="O14" s="73" t="s">
        <v>10</v>
      </c>
      <c r="P14" s="73"/>
      <c r="Q14" s="73"/>
      <c r="R14" s="45"/>
      <c r="S14" s="46"/>
      <c r="T14" s="46"/>
      <c r="U14" s="46"/>
      <c r="V14" s="47"/>
      <c r="W14" s="21"/>
      <c r="X14" s="23"/>
      <c r="AB14" s="21"/>
    </row>
    <row r="15" spans="2:28" x14ac:dyDescent="0.2">
      <c r="B15" s="74"/>
      <c r="C15" s="48" t="s">
        <v>20</v>
      </c>
      <c r="D15" s="12">
        <v>0</v>
      </c>
      <c r="E15" s="13">
        <v>3000</v>
      </c>
      <c r="F15" s="13">
        <v>0</v>
      </c>
      <c r="G15" s="23"/>
      <c r="H15" s="23"/>
      <c r="I15" s="51">
        <f>SUM(D15:F15)</f>
        <v>3000</v>
      </c>
      <c r="J15" s="17" t="s">
        <v>6</v>
      </c>
      <c r="K15" s="52">
        <f>G7</f>
        <v>3000</v>
      </c>
      <c r="L15" s="21"/>
      <c r="M15" s="23"/>
      <c r="N15" s="23"/>
      <c r="O15" s="43" t="s">
        <v>15</v>
      </c>
      <c r="P15" s="43" t="s">
        <v>16</v>
      </c>
      <c r="Q15" s="43" t="s">
        <v>25</v>
      </c>
      <c r="R15" s="43" t="s">
        <v>17</v>
      </c>
      <c r="S15" s="43" t="s">
        <v>18</v>
      </c>
      <c r="T15" s="43" t="s">
        <v>26</v>
      </c>
      <c r="U15" s="43" t="s">
        <v>13</v>
      </c>
      <c r="V15" s="43" t="s">
        <v>19</v>
      </c>
      <c r="W15" s="23"/>
      <c r="X15" s="23"/>
      <c r="Y15" s="44" t="s">
        <v>3</v>
      </c>
      <c r="Z15" s="23"/>
      <c r="AA15" s="23"/>
      <c r="AB15" s="21"/>
    </row>
    <row r="16" spans="2:28" x14ac:dyDescent="0.2">
      <c r="B16" s="23"/>
      <c r="C16" s="53"/>
      <c r="D16" s="23"/>
      <c r="E16" s="23"/>
      <c r="F16" s="23"/>
      <c r="G16" s="23"/>
      <c r="H16" s="23"/>
      <c r="I16" s="23"/>
      <c r="J16" s="23"/>
      <c r="K16" s="23"/>
      <c r="L16" s="21"/>
      <c r="M16" s="75" t="s">
        <v>9</v>
      </c>
      <c r="N16" s="48" t="s">
        <v>12</v>
      </c>
      <c r="O16" s="10">
        <v>0</v>
      </c>
      <c r="P16" s="11">
        <v>500</v>
      </c>
      <c r="Q16" s="11">
        <v>0</v>
      </c>
      <c r="R16" s="11">
        <v>0</v>
      </c>
      <c r="S16" s="11">
        <v>0</v>
      </c>
      <c r="T16" s="11">
        <v>0</v>
      </c>
      <c r="U16" s="11">
        <v>0</v>
      </c>
      <c r="V16" s="11">
        <v>0</v>
      </c>
      <c r="W16" s="23"/>
      <c r="X16" s="23"/>
      <c r="Y16" s="49">
        <f>SUM(O16:V16)</f>
        <v>500</v>
      </c>
      <c r="Z16" s="63" t="s">
        <v>6</v>
      </c>
      <c r="AA16" s="50">
        <f>D17</f>
        <v>500</v>
      </c>
      <c r="AB16" s="21"/>
    </row>
    <row r="17" spans="2:28" x14ac:dyDescent="0.2">
      <c r="B17" s="23"/>
      <c r="C17" s="31" t="s">
        <v>4</v>
      </c>
      <c r="D17" s="14">
        <f>SUM(D14:D15)</f>
        <v>500</v>
      </c>
      <c r="E17" s="15">
        <f>SUM(E14:E15)</f>
        <v>3000</v>
      </c>
      <c r="F17" s="16">
        <f>SUM(F14:F15)</f>
        <v>1400</v>
      </c>
      <c r="G17" s="23"/>
      <c r="H17" s="23"/>
      <c r="I17" s="23"/>
      <c r="J17" s="23"/>
      <c r="K17" s="23"/>
      <c r="L17" s="21"/>
      <c r="M17" s="76"/>
      <c r="N17" s="48" t="s">
        <v>11</v>
      </c>
      <c r="O17" s="13">
        <v>1400</v>
      </c>
      <c r="P17" s="13">
        <v>0</v>
      </c>
      <c r="Q17" s="13">
        <v>700</v>
      </c>
      <c r="R17" s="13">
        <v>900</v>
      </c>
      <c r="S17" s="13">
        <v>0</v>
      </c>
      <c r="T17" s="13">
        <v>0</v>
      </c>
      <c r="U17" s="13">
        <v>0</v>
      </c>
      <c r="V17" s="13">
        <v>0</v>
      </c>
      <c r="W17" s="23"/>
      <c r="X17" s="23"/>
      <c r="Y17" s="71">
        <f>SUM(O17:V17)</f>
        <v>3000</v>
      </c>
      <c r="Z17" s="63" t="s">
        <v>6</v>
      </c>
      <c r="AA17" s="72">
        <v>3000</v>
      </c>
      <c r="AB17" s="21"/>
    </row>
    <row r="18" spans="2:28" x14ac:dyDescent="0.2">
      <c r="B18" s="23"/>
      <c r="C18" s="23"/>
      <c r="D18" s="17" t="s">
        <v>6</v>
      </c>
      <c r="E18" s="17" t="s">
        <v>6</v>
      </c>
      <c r="F18" s="17" t="s">
        <v>6</v>
      </c>
      <c r="G18" s="23"/>
      <c r="H18" s="23"/>
      <c r="I18" s="23"/>
      <c r="J18" s="23"/>
      <c r="K18" s="23"/>
      <c r="L18" s="21"/>
      <c r="M18" s="76"/>
      <c r="N18" s="48" t="s">
        <v>13</v>
      </c>
      <c r="O18" s="12">
        <v>0</v>
      </c>
      <c r="P18" s="13">
        <v>0</v>
      </c>
      <c r="Q18" s="13">
        <v>0</v>
      </c>
      <c r="R18" s="13">
        <v>0</v>
      </c>
      <c r="S18" s="13">
        <v>700</v>
      </c>
      <c r="T18" s="13">
        <v>1300</v>
      </c>
      <c r="U18" s="13">
        <v>1000</v>
      </c>
      <c r="V18" s="13">
        <v>0</v>
      </c>
      <c r="W18" s="23"/>
      <c r="X18" s="23"/>
      <c r="Y18" s="71">
        <f>SUM(O18:V18)</f>
        <v>3000</v>
      </c>
      <c r="Z18" s="63" t="s">
        <v>6</v>
      </c>
      <c r="AA18" s="72">
        <f>E17</f>
        <v>3000</v>
      </c>
      <c r="AB18" s="21"/>
    </row>
    <row r="19" spans="2:28" x14ac:dyDescent="0.2">
      <c r="B19" s="23"/>
      <c r="C19" s="23"/>
      <c r="D19" s="18">
        <f>D8</f>
        <v>4000</v>
      </c>
      <c r="E19" s="19">
        <f>E8</f>
        <v>4000</v>
      </c>
      <c r="F19" s="20">
        <f>F8</f>
        <v>4000</v>
      </c>
      <c r="G19" s="23"/>
      <c r="H19" s="23"/>
      <c r="I19" s="23"/>
      <c r="J19" s="23"/>
      <c r="K19" s="23"/>
      <c r="L19" s="21"/>
      <c r="M19" s="77"/>
      <c r="N19" s="48" t="s">
        <v>14</v>
      </c>
      <c r="O19" s="12">
        <v>0</v>
      </c>
      <c r="P19" s="13">
        <v>0</v>
      </c>
      <c r="Q19" s="13">
        <v>0</v>
      </c>
      <c r="R19" s="13">
        <v>200</v>
      </c>
      <c r="S19" s="13">
        <v>500</v>
      </c>
      <c r="T19" s="13">
        <v>0</v>
      </c>
      <c r="U19" s="13">
        <v>0</v>
      </c>
      <c r="V19" s="13">
        <v>700</v>
      </c>
      <c r="W19" s="23"/>
      <c r="X19" s="23"/>
      <c r="Y19" s="51">
        <f>SUM(O19:V19)</f>
        <v>1400</v>
      </c>
      <c r="Z19" s="63" t="s">
        <v>6</v>
      </c>
      <c r="AA19" s="52">
        <f>F17</f>
        <v>1400</v>
      </c>
      <c r="AB19" s="21"/>
    </row>
    <row r="20" spans="2:28" x14ac:dyDescent="0.2">
      <c r="B20" s="23"/>
      <c r="C20" s="23"/>
      <c r="D20" s="23"/>
      <c r="E20" s="23"/>
      <c r="F20" s="23"/>
      <c r="G20" s="23"/>
      <c r="H20" s="23"/>
      <c r="I20" s="23"/>
      <c r="J20" s="23"/>
      <c r="K20" s="23"/>
      <c r="L20" s="21"/>
      <c r="M20" s="23"/>
      <c r="N20" s="53"/>
      <c r="O20" s="23"/>
      <c r="P20" s="23"/>
      <c r="Q20" s="23"/>
      <c r="R20" s="23"/>
      <c r="S20" s="23"/>
      <c r="T20" s="23"/>
      <c r="U20" s="23"/>
      <c r="V20" s="23"/>
      <c r="W20" s="23"/>
      <c r="X20" s="23"/>
      <c r="Y20" s="23"/>
      <c r="Z20" s="23"/>
      <c r="AA20" s="23"/>
      <c r="AB20" s="21"/>
    </row>
    <row r="21" spans="2:28" x14ac:dyDescent="0.2">
      <c r="B21" s="23"/>
      <c r="C21" s="23"/>
      <c r="D21" s="23"/>
      <c r="E21" s="23"/>
      <c r="F21" s="23"/>
      <c r="G21" s="23"/>
      <c r="H21" s="23"/>
      <c r="I21" s="23"/>
      <c r="J21" s="21"/>
      <c r="K21" s="21"/>
      <c r="L21" s="21"/>
      <c r="M21" s="23"/>
      <c r="N21" s="31" t="s">
        <v>4</v>
      </c>
      <c r="O21" s="14">
        <f t="shared" ref="O21:V21" si="0">SUM(O16:O19)</f>
        <v>1400</v>
      </c>
      <c r="P21" s="14">
        <f t="shared" si="0"/>
        <v>500</v>
      </c>
      <c r="Q21" s="14">
        <f t="shared" si="0"/>
        <v>700</v>
      </c>
      <c r="R21" s="14">
        <f t="shared" si="0"/>
        <v>1100</v>
      </c>
      <c r="S21" s="14">
        <f t="shared" si="0"/>
        <v>1200</v>
      </c>
      <c r="T21" s="14">
        <f t="shared" si="0"/>
        <v>1300</v>
      </c>
      <c r="U21" s="14">
        <f t="shared" si="0"/>
        <v>1000</v>
      </c>
      <c r="V21" s="54">
        <f t="shared" si="0"/>
        <v>700</v>
      </c>
      <c r="W21" s="23"/>
      <c r="X21" s="21"/>
      <c r="Y21" s="23"/>
      <c r="Z21" s="23"/>
      <c r="AA21" s="23"/>
      <c r="AB21" s="21"/>
    </row>
    <row r="22" spans="2:28" x14ac:dyDescent="0.2">
      <c r="B22" s="23"/>
      <c r="C22" s="23"/>
      <c r="D22" s="23"/>
      <c r="E22" s="23"/>
      <c r="F22" s="23"/>
      <c r="G22" s="23"/>
      <c r="H22" s="23"/>
      <c r="I22" s="23"/>
      <c r="J22" s="21"/>
      <c r="K22" s="21"/>
      <c r="L22" s="21"/>
      <c r="M22" s="23"/>
      <c r="N22" s="23"/>
      <c r="O22" s="17" t="s">
        <v>7</v>
      </c>
      <c r="P22" s="17" t="s">
        <v>7</v>
      </c>
      <c r="Q22" s="17" t="s">
        <v>7</v>
      </c>
      <c r="R22" s="17" t="s">
        <v>7</v>
      </c>
      <c r="S22" s="17" t="s">
        <v>7</v>
      </c>
      <c r="T22" s="17" t="s">
        <v>7</v>
      </c>
      <c r="U22" s="17" t="s">
        <v>7</v>
      </c>
      <c r="V22" s="17" t="s">
        <v>7</v>
      </c>
      <c r="W22" s="21"/>
      <c r="X22" s="21"/>
      <c r="Y22" s="21"/>
      <c r="Z22" s="21"/>
      <c r="AA22" s="21"/>
      <c r="AB22" s="21"/>
    </row>
    <row r="23" spans="2:28" x14ac:dyDescent="0.2">
      <c r="B23" s="22" t="s">
        <v>8</v>
      </c>
      <c r="C23" s="23"/>
      <c r="D23" s="23"/>
      <c r="E23" s="23"/>
      <c r="F23" s="23"/>
      <c r="G23" s="23"/>
      <c r="H23" s="23"/>
      <c r="I23" s="23"/>
      <c r="J23" s="21"/>
      <c r="K23" s="21"/>
      <c r="L23" s="21"/>
      <c r="M23" s="23"/>
      <c r="N23" s="23"/>
      <c r="O23" s="18">
        <f>O10</f>
        <v>1400</v>
      </c>
      <c r="P23" s="18">
        <f t="shared" ref="P23:V23" si="1">P10</f>
        <v>500</v>
      </c>
      <c r="Q23" s="18">
        <f t="shared" si="1"/>
        <v>700</v>
      </c>
      <c r="R23" s="18">
        <f t="shared" si="1"/>
        <v>1100</v>
      </c>
      <c r="S23" s="18">
        <f t="shared" si="1"/>
        <v>1200</v>
      </c>
      <c r="T23" s="18">
        <f t="shared" si="1"/>
        <v>1300</v>
      </c>
      <c r="U23" s="18">
        <f t="shared" si="1"/>
        <v>1000</v>
      </c>
      <c r="V23" s="55">
        <f t="shared" si="1"/>
        <v>700</v>
      </c>
      <c r="W23" s="21"/>
      <c r="X23" s="21"/>
      <c r="Y23" s="21"/>
      <c r="Z23" s="21"/>
      <c r="AA23" s="21"/>
      <c r="AB23" s="21"/>
    </row>
    <row r="24" spans="2:28" x14ac:dyDescent="0.2">
      <c r="B24" s="23"/>
      <c r="C24" s="58"/>
      <c r="D24" s="59"/>
      <c r="E24" s="60"/>
      <c r="F24" s="60"/>
      <c r="G24" s="60"/>
      <c r="H24" s="60"/>
      <c r="I24" s="60"/>
      <c r="J24" s="60"/>
      <c r="K24" s="60"/>
      <c r="L24" s="60"/>
      <c r="M24" s="22" t="s">
        <v>8</v>
      </c>
      <c r="N24" s="23"/>
      <c r="O24" s="23"/>
      <c r="P24" s="23"/>
      <c r="Q24" s="23"/>
      <c r="R24" s="23"/>
      <c r="S24" s="23"/>
      <c r="T24" s="23"/>
      <c r="U24" s="23"/>
      <c r="V24" s="23"/>
      <c r="W24" s="21"/>
      <c r="X24" s="21"/>
      <c r="Y24" s="21"/>
      <c r="Z24" s="21"/>
      <c r="AA24" s="21"/>
      <c r="AB24" s="21"/>
    </row>
    <row r="25" spans="2:28" x14ac:dyDescent="0.2">
      <c r="B25" s="23"/>
      <c r="C25" s="62" t="s">
        <v>0</v>
      </c>
      <c r="D25" s="1">
        <f>SUMPRODUCT(D6:F7,D14:F15)</f>
        <v>6142800</v>
      </c>
      <c r="E25" s="60"/>
      <c r="F25" s="60"/>
      <c r="G25" s="60"/>
      <c r="H25" s="60"/>
      <c r="I25" s="60"/>
      <c r="J25" s="60"/>
      <c r="K25" s="60"/>
      <c r="L25" s="60"/>
      <c r="M25" s="61"/>
      <c r="N25" s="23"/>
      <c r="O25" s="23"/>
      <c r="P25" s="23"/>
      <c r="Q25" s="23"/>
      <c r="R25" s="23"/>
      <c r="S25" s="23"/>
      <c r="T25" s="23"/>
      <c r="U25" s="23"/>
      <c r="V25" s="23"/>
      <c r="W25" s="21"/>
      <c r="X25" s="21"/>
      <c r="Y25" s="21"/>
      <c r="Z25" s="21"/>
      <c r="AA25" s="21"/>
      <c r="AB25" s="21"/>
    </row>
    <row r="26" spans="2:28" x14ac:dyDescent="0.2">
      <c r="B26" s="21"/>
      <c r="C26" s="60"/>
      <c r="D26" s="60"/>
      <c r="E26" s="60"/>
      <c r="F26" s="60"/>
      <c r="G26" s="60"/>
      <c r="H26" s="60"/>
      <c r="I26" s="60"/>
      <c r="J26" s="60"/>
      <c r="K26" s="60"/>
      <c r="L26" s="60"/>
      <c r="M26" s="61"/>
      <c r="N26" s="58"/>
      <c r="O26" s="59"/>
      <c r="P26" s="23"/>
      <c r="Q26" s="23"/>
      <c r="R26" s="23"/>
      <c r="S26" s="23"/>
      <c r="T26" s="23"/>
      <c r="U26" s="23"/>
      <c r="V26" s="23"/>
      <c r="W26" s="21"/>
      <c r="X26" s="21"/>
      <c r="Y26" s="21"/>
      <c r="Z26" s="21"/>
      <c r="AA26" s="21"/>
      <c r="AB26" s="21"/>
    </row>
    <row r="27" spans="2:28" x14ac:dyDescent="0.2">
      <c r="B27" s="21"/>
      <c r="C27" s="60"/>
      <c r="D27" s="60"/>
      <c r="E27" s="60"/>
      <c r="F27" s="60"/>
      <c r="G27" s="60"/>
      <c r="H27" s="3" t="s">
        <v>24</v>
      </c>
      <c r="I27" s="2"/>
      <c r="J27" s="2"/>
      <c r="K27" s="2"/>
      <c r="L27" s="60"/>
      <c r="M27" s="60"/>
      <c r="N27" s="62" t="s">
        <v>0</v>
      </c>
      <c r="O27" s="1">
        <f>SUMPRODUCT(O6:V9,O16:V19)</f>
        <v>10612400</v>
      </c>
      <c r="P27" s="23"/>
      <c r="Q27" s="23"/>
      <c r="R27" s="23"/>
      <c r="S27" s="23"/>
      <c r="T27" s="23"/>
      <c r="U27" s="23"/>
      <c r="V27" s="23"/>
      <c r="W27" s="21"/>
      <c r="X27" s="21"/>
      <c r="Y27" s="21"/>
      <c r="Z27" s="21"/>
      <c r="AA27" s="21"/>
      <c r="AB27" s="21"/>
    </row>
    <row r="28" spans="2:28" x14ac:dyDescent="0.2">
      <c r="B28" s="21"/>
      <c r="C28" s="60"/>
      <c r="D28" s="60"/>
      <c r="E28" s="60"/>
      <c r="F28" s="60"/>
      <c r="G28" s="60"/>
      <c r="H28" s="3" t="s">
        <v>21</v>
      </c>
      <c r="I28" s="2"/>
      <c r="J28" s="2"/>
      <c r="K28" s="2"/>
      <c r="L28" s="60"/>
      <c r="M28" s="60"/>
      <c r="N28" s="60"/>
      <c r="O28" s="60"/>
      <c r="P28" s="21"/>
      <c r="Q28" s="21"/>
      <c r="R28" s="21"/>
      <c r="S28" s="21"/>
      <c r="T28" s="21"/>
      <c r="U28" s="21"/>
      <c r="V28" s="21"/>
      <c r="W28" s="21"/>
      <c r="X28" s="21"/>
      <c r="Y28" s="21"/>
      <c r="Z28" s="21"/>
      <c r="AA28" s="21"/>
      <c r="AB28" s="21"/>
    </row>
    <row r="29" spans="2:28" x14ac:dyDescent="0.2">
      <c r="B29" s="21"/>
      <c r="C29" s="60"/>
      <c r="D29" s="60"/>
      <c r="E29" s="60"/>
      <c r="F29" s="60"/>
      <c r="G29" s="60"/>
      <c r="H29" s="3" t="s">
        <v>22</v>
      </c>
      <c r="I29" s="2"/>
      <c r="J29" s="2"/>
      <c r="K29" s="2"/>
      <c r="L29" s="60"/>
      <c r="M29" s="60"/>
      <c r="N29" s="60"/>
      <c r="O29" s="60"/>
      <c r="P29" s="21"/>
      <c r="Q29" s="21"/>
      <c r="R29" s="21"/>
      <c r="S29" s="21"/>
      <c r="T29" s="21"/>
      <c r="U29" s="21"/>
      <c r="V29" s="21"/>
      <c r="W29" s="21"/>
      <c r="X29" s="21"/>
      <c r="Y29" s="21"/>
      <c r="Z29" s="21"/>
      <c r="AA29" s="21"/>
      <c r="AB29" s="21"/>
    </row>
    <row r="30" spans="2:28" x14ac:dyDescent="0.2">
      <c r="B30" s="21"/>
      <c r="C30" s="60"/>
      <c r="D30" s="60"/>
      <c r="E30" s="60"/>
      <c r="F30" s="60"/>
      <c r="G30" s="60"/>
      <c r="H30" s="60"/>
      <c r="I30" s="60"/>
      <c r="J30" s="60"/>
      <c r="K30" s="60"/>
      <c r="L30" s="60"/>
      <c r="M30" s="60"/>
      <c r="N30" s="60"/>
      <c r="O30" s="60"/>
      <c r="P30" s="21"/>
      <c r="Q30" s="21"/>
      <c r="R30" s="21"/>
      <c r="S30" s="21"/>
      <c r="T30" s="21"/>
      <c r="U30" s="21"/>
      <c r="V30" s="21"/>
      <c r="W30" s="21"/>
      <c r="X30" s="21"/>
      <c r="Y30" s="21"/>
      <c r="Z30" s="21"/>
      <c r="AA30" s="21"/>
      <c r="AB30" s="21"/>
    </row>
    <row r="31" spans="2:28" x14ac:dyDescent="0.2">
      <c r="B31" s="21"/>
      <c r="C31" s="60"/>
      <c r="D31" s="60"/>
      <c r="E31" s="60"/>
      <c r="F31" s="60"/>
      <c r="G31" s="60"/>
      <c r="H31" s="60"/>
      <c r="I31" s="60"/>
      <c r="J31" s="60"/>
      <c r="K31" s="60"/>
      <c r="L31" s="60"/>
      <c r="M31" s="60"/>
      <c r="N31" s="60"/>
      <c r="O31" s="60"/>
      <c r="P31" s="21"/>
      <c r="Q31" s="21"/>
      <c r="R31" s="21"/>
      <c r="S31" s="21"/>
      <c r="T31" s="21"/>
      <c r="U31" s="21"/>
      <c r="V31" s="21"/>
      <c r="W31" s="21"/>
      <c r="X31" s="21"/>
      <c r="Y31" s="21"/>
      <c r="Z31" s="21"/>
      <c r="AA31" s="21"/>
      <c r="AB31" s="21"/>
    </row>
    <row r="32" spans="2:28" x14ac:dyDescent="0.2">
      <c r="B32" s="21"/>
      <c r="C32" s="60"/>
      <c r="D32" s="60"/>
      <c r="E32" s="60"/>
      <c r="F32" s="60"/>
      <c r="G32" s="60"/>
      <c r="H32" s="60"/>
      <c r="I32" s="60"/>
      <c r="J32" s="60"/>
      <c r="K32" s="60"/>
      <c r="L32" s="60"/>
      <c r="M32" s="60"/>
      <c r="N32" s="60"/>
      <c r="O32" s="60"/>
      <c r="P32" s="21"/>
      <c r="Q32" s="21"/>
      <c r="R32" s="21"/>
      <c r="S32" s="21"/>
      <c r="T32" s="21"/>
      <c r="U32" s="21"/>
      <c r="V32" s="21"/>
      <c r="W32" s="21"/>
      <c r="X32" s="21"/>
      <c r="Y32" s="21"/>
      <c r="Z32" s="21"/>
      <c r="AA32" s="21"/>
      <c r="AB32" s="21"/>
    </row>
    <row r="33" spans="2:28" ht="50.25" customHeight="1" x14ac:dyDescent="0.25">
      <c r="B33" s="68" t="s">
        <v>23</v>
      </c>
      <c r="C33" s="78" t="s">
        <v>30</v>
      </c>
      <c r="D33" s="78"/>
      <c r="E33" s="78"/>
      <c r="F33" s="78"/>
      <c r="G33" s="78"/>
      <c r="H33" s="78"/>
      <c r="I33" s="78"/>
      <c r="J33" s="78"/>
      <c r="K33" s="78"/>
      <c r="L33" s="78"/>
      <c r="M33" s="78"/>
      <c r="N33" s="78"/>
      <c r="O33" s="78"/>
      <c r="P33" s="78"/>
      <c r="Q33" s="78"/>
      <c r="R33" s="78"/>
      <c r="S33" s="78"/>
      <c r="T33" s="78"/>
      <c r="U33" s="78"/>
      <c r="V33" s="78"/>
      <c r="W33" s="78"/>
      <c r="X33" s="21"/>
      <c r="Y33" s="21"/>
      <c r="Z33" s="21"/>
      <c r="AA33" s="21"/>
      <c r="AB33" s="21"/>
    </row>
    <row r="34" spans="2:28" ht="13.5" thickBot="1" x14ac:dyDescent="0.25">
      <c r="B34" s="21"/>
      <c r="C34" s="61"/>
      <c r="D34" s="60"/>
      <c r="E34" s="60"/>
      <c r="F34" s="60"/>
      <c r="G34" s="60"/>
      <c r="H34" s="60"/>
      <c r="I34" s="60"/>
      <c r="J34" s="60"/>
      <c r="K34" s="60"/>
      <c r="L34" s="60"/>
      <c r="M34" s="60"/>
      <c r="N34" s="60"/>
      <c r="O34" s="60"/>
      <c r="P34" s="21"/>
      <c r="Q34" s="21"/>
      <c r="R34" s="21"/>
      <c r="S34" s="21"/>
      <c r="T34" s="21"/>
      <c r="U34" s="21"/>
      <c r="V34" s="21"/>
      <c r="W34" s="21"/>
      <c r="X34" s="3" t="s">
        <v>24</v>
      </c>
      <c r="Y34" s="70"/>
      <c r="Z34" s="70"/>
      <c r="AA34" s="70"/>
      <c r="AB34" s="21"/>
    </row>
    <row r="35" spans="2:28" ht="13.5" thickBot="1" x14ac:dyDescent="0.25">
      <c r="B35" s="56" t="s">
        <v>31</v>
      </c>
      <c r="C35" s="5">
        <f>D25+O27</f>
        <v>16755200</v>
      </c>
      <c r="D35" s="60"/>
      <c r="E35" s="60"/>
      <c r="F35" s="60"/>
      <c r="G35" s="60"/>
      <c r="H35" s="60"/>
      <c r="I35" s="60"/>
      <c r="J35" s="60"/>
      <c r="K35" s="60"/>
      <c r="L35" s="60"/>
      <c r="M35" s="60"/>
      <c r="N35" s="60"/>
      <c r="O35" s="60"/>
      <c r="P35" s="21"/>
      <c r="Q35" s="21"/>
      <c r="R35" s="21"/>
      <c r="S35" s="21"/>
      <c r="T35" s="21"/>
      <c r="U35" s="21"/>
      <c r="V35" s="21"/>
      <c r="W35" s="21"/>
      <c r="X35" s="3" t="s">
        <v>21</v>
      </c>
      <c r="Y35" s="2"/>
      <c r="Z35" s="2"/>
      <c r="AA35" s="2"/>
      <c r="AB35" s="21"/>
    </row>
    <row r="36" spans="2:28" x14ac:dyDescent="0.2">
      <c r="B36" s="21"/>
      <c r="C36" s="21"/>
      <c r="D36" s="21"/>
      <c r="E36" s="21"/>
      <c r="F36" s="21"/>
      <c r="G36" s="21"/>
      <c r="H36" s="21"/>
      <c r="I36" s="21"/>
      <c r="J36" s="21"/>
      <c r="K36" s="21"/>
      <c r="L36" s="21"/>
      <c r="M36" s="60"/>
      <c r="N36" s="60"/>
      <c r="O36" s="60"/>
      <c r="P36" s="21"/>
      <c r="Q36" s="21"/>
      <c r="R36" s="21"/>
      <c r="S36" s="21"/>
      <c r="T36" s="21"/>
      <c r="U36" s="21"/>
      <c r="V36" s="21"/>
      <c r="W36" s="21"/>
      <c r="X36" s="3" t="s">
        <v>22</v>
      </c>
      <c r="Y36" s="2"/>
      <c r="Z36" s="2"/>
      <c r="AA36" s="2"/>
      <c r="AB36" s="21"/>
    </row>
    <row r="37" spans="2:28" x14ac:dyDescent="0.2">
      <c r="C37" s="21"/>
      <c r="D37" s="21"/>
      <c r="E37" s="21"/>
      <c r="F37" s="21"/>
      <c r="G37" s="21"/>
      <c r="H37" s="21"/>
      <c r="I37" s="21"/>
      <c r="J37" s="21"/>
      <c r="K37" s="21"/>
      <c r="L37" s="21"/>
      <c r="M37" s="21"/>
      <c r="N37" s="60"/>
      <c r="O37" s="60"/>
      <c r="P37" s="21"/>
      <c r="Q37" s="21"/>
      <c r="R37" s="21"/>
      <c r="S37" s="21"/>
      <c r="T37" s="21"/>
      <c r="U37" s="21"/>
      <c r="V37" s="21"/>
      <c r="W37" s="21"/>
      <c r="X37" s="21"/>
      <c r="Y37" s="4"/>
      <c r="Z37" s="4"/>
      <c r="AA37" s="4"/>
      <c r="AB37" s="21"/>
    </row>
    <row r="38" spans="2:28" x14ac:dyDescent="0.2">
      <c r="M38" s="21"/>
      <c r="N38" s="21"/>
      <c r="O38" s="21"/>
      <c r="P38" s="21"/>
      <c r="Q38" s="21"/>
      <c r="R38" s="21"/>
      <c r="S38" s="21"/>
      <c r="T38" s="21"/>
      <c r="U38" s="21"/>
      <c r="V38" s="21"/>
      <c r="W38" s="21"/>
      <c r="Y38" s="21"/>
      <c r="Z38" s="21"/>
      <c r="AA38" s="21"/>
    </row>
    <row r="39" spans="2:28" x14ac:dyDescent="0.2">
      <c r="N39" s="21"/>
      <c r="O39" s="21"/>
      <c r="P39" s="21"/>
      <c r="Q39" s="21"/>
      <c r="R39" s="21"/>
      <c r="S39" s="21"/>
      <c r="T39" s="21"/>
      <c r="U39" s="21"/>
      <c r="V39" s="21"/>
    </row>
  </sheetData>
  <mergeCells count="5">
    <mergeCell ref="D12:F12"/>
    <mergeCell ref="O14:Q14"/>
    <mergeCell ref="B14:B15"/>
    <mergeCell ref="M16:M19"/>
    <mergeCell ref="C33:W33"/>
  </mergeCells>
  <conditionalFormatting sqref="D6:F7 O6:V6 O8:V9">
    <cfRule type="cellIs" dxfId="2" priority="4" operator="greaterThan">
      <formula>4400</formula>
    </cfRule>
  </conditionalFormatting>
  <conditionalFormatting sqref="V7">
    <cfRule type="cellIs" dxfId="1" priority="1" operator="greaterThan">
      <formula>4400</formula>
    </cfRule>
  </conditionalFormatting>
  <conditionalFormatting sqref="O7:U7">
    <cfRule type="cellIs" dxfId="0" priority="2" operator="greaterThan">
      <formula>4400</formula>
    </cfRule>
  </conditionalFormatting>
  <pageMargins left="0.7" right="0.7" top="0.75" bottom="0.75" header="0.3" footer="0.3"/>
  <pageSetup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O39" sqref="O39"/>
    </sheetView>
  </sheetViews>
  <sheetFormatPr defaultRowHeight="12.7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Q1</vt:lpstr>
      <vt:lpstr>Q2</vt:lpstr>
      <vt:lpstr>Q3</vt:lpstr>
      <vt:lpstr>Q4</vt:lpstr>
    </vt:vector>
  </TitlesOfParts>
  <Company>somewhere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norrisjb</dc:creator>
  <cp:lastModifiedBy>munju kam</cp:lastModifiedBy>
  <cp:lastPrinted>2004-02-02T18:49:42Z</cp:lastPrinted>
  <dcterms:created xsi:type="dcterms:W3CDTF">2004-01-30T16:19:47Z</dcterms:created>
  <dcterms:modified xsi:type="dcterms:W3CDTF">2020-11-19T20:05:33Z</dcterms:modified>
</cp:coreProperties>
</file>